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10.xml" ContentType="application/vnd.openxmlformats-officedocument.drawingml.chartshapes+xml"/>
  <Override PartName="/xl/charts/chart12.xml" ContentType="application/vnd.openxmlformats-officedocument.drawingml.chart+xml"/>
  <Override PartName="/xl/drawings/drawing11.xml" ContentType="application/vnd.openxmlformats-officedocument.drawingml.chartshape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12.xml" ContentType="application/vnd.openxmlformats-officedocument.drawingml.chartshapes+xml"/>
  <Override PartName="/xl/charts/chart15.xml" ContentType="application/vnd.openxmlformats-officedocument.drawingml.chart+xml"/>
  <Override PartName="/xl/drawings/drawing13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20" windowWidth="7620" windowHeight="7335" tabRatio="784"/>
  </bookViews>
  <sheets>
    <sheet name="DCF" sheetId="12" r:id="rId1"/>
    <sheet name="Panel" sheetId="37" r:id="rId2"/>
    <sheet name="Assumptions" sheetId="6" r:id="rId3"/>
    <sheet name="IS" sheetId="8" r:id="rId4"/>
    <sheet name="Sheet2" sheetId="34" r:id="rId5"/>
    <sheet name="Strategy Table" sheetId="39" r:id="rId6"/>
    <sheet name="Summary" sheetId="28" r:id="rId7"/>
    <sheet name="BS" sheetId="11" r:id="rId8"/>
    <sheet name="CFS" sheetId="7" r:id="rId9"/>
    <sheet name="Investments" sheetId="25" r:id="rId10"/>
    <sheet name="DEp" sheetId="13" r:id="rId11"/>
    <sheet name="Coal" sheetId="35" r:id="rId12"/>
    <sheet name="Sheet3" sheetId="40" r:id="rId13"/>
    <sheet name="Sheet1" sheetId="31" r:id="rId14"/>
    <sheet name="Power" sheetId="36" r:id="rId15"/>
    <sheet name="Solution" sheetId="26" r:id="rId16"/>
    <sheet name="Sheet2 (2)" sheetId="38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</externalReferences>
  <definedNames>
    <definedName name="\P">[1]ECHLIN!#REF!</definedName>
    <definedName name="\r">#N/A</definedName>
    <definedName name="\XG_D_">#N/A</definedName>
    <definedName name="_?__">#N/A</definedName>
    <definedName name="_1994">#REF!</definedName>
    <definedName name="_1995">#REF!</definedName>
    <definedName name="_1996">#REF!</definedName>
    <definedName name="_1997">#REF!</definedName>
    <definedName name="_1998">#REF!</definedName>
    <definedName name="_1999">#REF!</definedName>
    <definedName name="_1P">[1]ECHLIN!#REF!</definedName>
    <definedName name="_1Q94">#REF!</definedName>
    <definedName name="_1Q95">#REF!</definedName>
    <definedName name="_2Q94">#REF!</definedName>
    <definedName name="_2Q95">#REF!</definedName>
    <definedName name="_2Total_M">'[2]Current Price Information'!#REF!</definedName>
    <definedName name="_3Q94">#REF!</definedName>
    <definedName name="_3Q95">#REF!</definedName>
    <definedName name="_4Q94">#REF!</definedName>
    <definedName name="_4Q95">#REF!</definedName>
    <definedName name="_9_25_95_9_35">"YR2YR"</definedName>
    <definedName name="_DCF2">#REF!</definedName>
    <definedName name="_DOWN__">#N/A</definedName>
    <definedName name="_EVA2" localSheetId="1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_EVA2" localSheetId="14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_EVA2" localSheetId="16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_EVA2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_EVA3" localSheetId="1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_EVA3" localSheetId="14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_EVA3" localSheetId="16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_EVA3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_EVA4" localSheetId="1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_EVA4" localSheetId="14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_EVA4" localSheetId="16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_EVA4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_EVA5" localSheetId="1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_EVA5" localSheetId="14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_EVA5" localSheetId="16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_EVA5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_MTH01">1</definedName>
    <definedName name="_MTH02">2</definedName>
    <definedName name="_MTH03">3</definedName>
    <definedName name="_MTH04">4</definedName>
    <definedName name="_MTH05">5</definedName>
    <definedName name="_MTH06">6</definedName>
    <definedName name="_MTH07">8</definedName>
    <definedName name="_MTH08">9</definedName>
    <definedName name="_MTH09">10</definedName>
    <definedName name="_MTH10">11</definedName>
    <definedName name="_MTH11">12</definedName>
    <definedName name="_MTH12">13</definedName>
    <definedName name="_MTH13">16</definedName>
    <definedName name="_MTH14">17</definedName>
    <definedName name="_MTH15">18</definedName>
    <definedName name="_MTH16">19</definedName>
    <definedName name="_MTH17">20</definedName>
    <definedName name="_MTH18">21</definedName>
    <definedName name="_MTH19">23</definedName>
    <definedName name="_MTH20">24</definedName>
    <definedName name="_MTH21">25</definedName>
    <definedName name="_MTH22">26</definedName>
    <definedName name="_MTH23">27</definedName>
    <definedName name="_MTH24">28</definedName>
    <definedName name="_MTH25">31</definedName>
    <definedName name="_MTH26">32</definedName>
    <definedName name="_MTH27">33</definedName>
    <definedName name="_MTH28">34</definedName>
    <definedName name="_MTH29">35</definedName>
    <definedName name="_MTH30">36</definedName>
    <definedName name="_MTH31">38</definedName>
    <definedName name="_MTH32">39</definedName>
    <definedName name="_MTH33">40</definedName>
    <definedName name="_MTH34">41</definedName>
    <definedName name="_MTH35">42</definedName>
    <definedName name="_MTH36">43</definedName>
    <definedName name="_Order1" hidden="1">0</definedName>
    <definedName name="_SUM1">1</definedName>
    <definedName name="_SUM2">2</definedName>
    <definedName name="_SUM3">3</definedName>
    <definedName name="_SUM4">4</definedName>
    <definedName name="_SUM5">5</definedName>
    <definedName name="_SUM6">6</definedName>
    <definedName name="_Table1_In1" hidden="1">#REF!</definedName>
    <definedName name="_Table2_In2" hidden="1">#REF!</definedName>
    <definedName name="_tax1">#REF!</definedName>
    <definedName name="_XG\D_">#N/A</definedName>
    <definedName name="AAB">#REF!</definedName>
    <definedName name="acq">[3]ARVIN!#REF!</definedName>
    <definedName name="Analyst">#REF!</definedName>
    <definedName name="Analyst_Email">#REF!</definedName>
    <definedName name="Analyst_Phone">#REF!</definedName>
    <definedName name="Annual_interest_rate" localSheetId="11">#REF!</definedName>
    <definedName name="Annual_interest_rate">#REF!</definedName>
    <definedName name="anscount" hidden="1">1</definedName>
    <definedName name="As_of">#REF!</definedName>
    <definedName name="Aus_New_Regs.">'[4]Current Price Information'!$L$4:$L$29</definedName>
    <definedName name="austria">'[5]Current Price Information'!$L$4:$L$29</definedName>
    <definedName name="avgturn3m">[6]GEMiner!$B$21</definedName>
    <definedName name="avia">'[7]Current Price Information'!#REF!</definedName>
    <definedName name="Aviation">'[8]Current Price Information'!#REF!</definedName>
    <definedName name="bal">#REF!</definedName>
    <definedName name="Balance_Sheet">#REF!</definedName>
    <definedName name="BanksOnly">'[9]PK-ICI'!$A$147:$IV$147,'[9]PK-ICI'!$A$150:$IV$165,'[9]PK-ICI'!$A$186:$IV$187,'[9]PK-ICI'!$A$196:$IV$202,'[9]PK-ICI'!$A$216:$IV$216,'[9]PK-ICI'!$A$229:$IV$235,'[9]PK-ICI'!$A$237:$IV$237,'[9]PK-ICI'!$A$239:$IV$240,'[9]PK-ICI'!$A$324:$IV$335,'[9]PK-ICI'!$A$339:$IV$375</definedName>
    <definedName name="BaseCase" localSheetId="14">'[10]Basic Input'!$B$3</definedName>
    <definedName name="BaseCase">'[10]Basic Input'!$B$3</definedName>
    <definedName name="Batteries___CEAC">'[8]Current Price Information'!#REF!</definedName>
    <definedName name="Bel_New_Regs.">'[4]Current Price Information'!$L$4:$L$29</definedName>
    <definedName name="Beta">[6]Input!$M$9</definedName>
    <definedName name="capital">'[11]BS-a'!$H$4</definedName>
    <definedName name="cash" localSheetId="16">#REF!</definedName>
    <definedName name="cash">#REF!</definedName>
    <definedName name="Cash_Flow" localSheetId="16">#REF!</definedName>
    <definedName name="Cash_Flow">#REF!</definedName>
    <definedName name="CFPS_Curr_Yr" localSheetId="16">#REF!</definedName>
    <definedName name="CFPS_Curr_Yr">#REF!</definedName>
    <definedName name="CFPS_Lst_Yr">#REF!</definedName>
    <definedName name="CFPS_Next_Yr">#REF!</definedName>
    <definedName name="chg.">'[8]Current Price Information'!#REF!</definedName>
    <definedName name="Civil_Engineering">'[8]Current Price Information'!#REF!</definedName>
    <definedName name="COD" localSheetId="14">[12]Ctrl!$D$10</definedName>
    <definedName name="COD">[12]Ctrl!$D$10</definedName>
    <definedName name="ColNum1">[6]Cover!$A$3:$IV$3</definedName>
    <definedName name="ColNum2">[6]BTp2.1!$A$2:$IV$2</definedName>
    <definedName name="ColNum3">[6]BTp3!$A$2:$IV$2</definedName>
    <definedName name="ColNum4" localSheetId="11">#REF!</definedName>
    <definedName name="ColNum4" localSheetId="14">#REF!</definedName>
    <definedName name="ColNum4" localSheetId="16">#REF!</definedName>
    <definedName name="ColNum4">#REF!</definedName>
    <definedName name="ColNumOther">'[6]other stuff'!$A$3:$IV$3</definedName>
    <definedName name="ColNumStress">[6]stresstest!$A$1:$IV$1</definedName>
    <definedName name="comps2">[13]AZO!$AN$30:$BE$89,[13]AZO!$AN$89:$BE$95</definedName>
    <definedName name="Consolidated_sales" localSheetId="16">'[8]Current Price Information'!#REF!</definedName>
    <definedName name="Consolidated_sales">'[8]Current Price Information'!#REF!</definedName>
    <definedName name="ConvRate">[6]Input!$F$12</definedName>
    <definedName name="CPV" localSheetId="16">#REF!</definedName>
    <definedName name="CPV">#REF!</definedName>
    <definedName name="Currency">[6]Input!$E$13</definedName>
    <definedName name="currencyList">'[9]PK-ICI'!#REF!</definedName>
    <definedName name="CurrencyTable">'[6]other stuff'!$AC$4:$AE$30</definedName>
    <definedName name="CurrEPS">[6]Input!$E$12</definedName>
    <definedName name="CurrShare">[6]Input!$E$10</definedName>
    <definedName name="CurrSym">[6]Input!$F$13</definedName>
    <definedName name="d" localSheetId="16">#REF!</definedName>
    <definedName name="d">#REF!</definedName>
    <definedName name="_xlnm.Database">[6]Input!$M$3</definedName>
    <definedName name="DataForex">[6]price!$AF$1:$AG$65536</definedName>
    <definedName name="DataGDR">[6]price!$X$1:$Y$65536</definedName>
    <definedName name="DataIndex">[6]price!$AB$1:$AC$65536</definedName>
    <definedName name="DataIndexEPS">[6]Input!$C$15:$M$16</definedName>
    <definedName name="DataIndexEPS1">[6]GEMiner!$A$31:$B$43</definedName>
    <definedName name="DataInterim">[6]Input!$F$51:$M$61</definedName>
    <definedName name="DataLocal">[6]price!$T$1:$V$65536</definedName>
    <definedName name="date">[6]GEMiner!$B$14</definedName>
    <definedName name="Den_New_Regs.">'[4]Current Price Information'!$L$4:$L$29</definedName>
    <definedName name="Diversified_Operations">'[8]Current Price Information'!#REF!</definedName>
    <definedName name="DPS_Curr_Yr">#REF!</definedName>
    <definedName name="DPS_Lst_Yr">#REF!</definedName>
    <definedName name="DPS_Next_Yr">#REF!</definedName>
    <definedName name="DRAFT_RCnum">#REF!</definedName>
    <definedName name="Drivers1">[6]Input!$H$19:$M$23</definedName>
    <definedName name="Drivers1a">[6]Input!$J$19:$M$23</definedName>
    <definedName name="Drivers2">[6]Input!$H$24:$M$28</definedName>
    <definedName name="Drivers2a">[6]Input!$J$24:$M$28</definedName>
    <definedName name="DriverT1">[6]Input!$C$19:$C$23</definedName>
    <definedName name="DriverT2">[6]Input!$C$24:$C$28</definedName>
    <definedName name="dupont_model">'[1]CTB-DK'!$N$195:$AZ$217</definedName>
    <definedName name="Email">[6]Input!$H$9</definedName>
    <definedName name="Enterprise_Value" localSheetId="16">#REF!</definedName>
    <definedName name="Enterprise_Value">#REF!</definedName>
    <definedName name="EPS_Curr_Qtr" localSheetId="16">#REF!</definedName>
    <definedName name="EPS_Curr_Qtr">#REF!</definedName>
    <definedName name="EPS_Curr_Yr" localSheetId="16">#REF!</definedName>
    <definedName name="EPS_Curr_Yr">#REF!</definedName>
    <definedName name="EPS_Growth_Rate">#REF!</definedName>
    <definedName name="EPS_Lst_Yr">#REF!</definedName>
    <definedName name="EPS_Next_Yr">#REF!</definedName>
    <definedName name="EPS_Qtr_Date">#REF!</definedName>
    <definedName name="Equity_Ticker">#REF!</definedName>
    <definedName name="ExchangeRates">[6]price!$AJ$1:$AK$65536</definedName>
    <definedName name="ExRate">[6]Input!$D$10</definedName>
    <definedName name="EXTRA1">[14]Country!#REF!</definedName>
    <definedName name="EXTRA2" localSheetId="16">#REF!</definedName>
    <definedName name="EXTRA2">#REF!</definedName>
    <definedName name="f">'[15]ICC Cricket World Cup 2007'!$BJ$14</definedName>
    <definedName name="FavTeam" localSheetId="11">'[16]ICC Cricket World Cup 2007'!$BJ$14</definedName>
    <definedName name="FavTeam" localSheetId="1">'[16]ICC Cricket World Cup 2007'!$BJ$14</definedName>
    <definedName name="FavTeam" localSheetId="14">'[15]ICC Cricket World Cup 2007'!$BJ$14</definedName>
    <definedName name="FavTeam" localSheetId="16">'[17]ICC Cricket World Cup 2007'!$BJ$14</definedName>
    <definedName name="FavTeam">'[18]ICC Cricket World Cup 2007'!$BJ$14</definedName>
    <definedName name="Fin_New_Regs.">'[4]Current Price Information'!$L$4:$L$29</definedName>
    <definedName name="Financial_Services">'[8]Current Price Information'!#REF!</definedName>
    <definedName name="FIOPS">'[9]PK-ICI'!$A$146:$IV$147,'[9]PK-ICI'!$A$149:$IV$165</definedName>
    <definedName name="First_payment_due" localSheetId="11">#REF!</definedName>
    <definedName name="First_payment_due">#REF!</definedName>
    <definedName name="FMO_products">#REF!</definedName>
    <definedName name="footnote">#REF!</definedName>
    <definedName name="FootnoteDrop">#REF!</definedName>
    <definedName name="FootnoteDrop1">#REF!</definedName>
    <definedName name="FootnoteDrop10">#REF!</definedName>
    <definedName name="FootnoteDrop100">#REF!</definedName>
    <definedName name="FootnoteDrop11">#REF!</definedName>
    <definedName name="FootnoteDrop12">#REF!</definedName>
    <definedName name="FootnoteDrop13">#REF!</definedName>
    <definedName name="FootnoteDrop14">#REF!</definedName>
    <definedName name="FootnoteDrop15">#REF!</definedName>
    <definedName name="FootnoteDrop16">#REF!</definedName>
    <definedName name="FootnoteDrop17">#REF!</definedName>
    <definedName name="FootnoteDrop18">#REF!</definedName>
    <definedName name="FootnoteDrop19">#REF!</definedName>
    <definedName name="FootnoteDrop2">#REF!</definedName>
    <definedName name="FootnoteDrop20">#REF!</definedName>
    <definedName name="FootnoteDrop21">#REF!</definedName>
    <definedName name="FootnoteDrop22">#REF!</definedName>
    <definedName name="FootnoteDrop23">#REF!</definedName>
    <definedName name="FootnoteDrop24">#REF!</definedName>
    <definedName name="FootnoteDrop25">#REF!</definedName>
    <definedName name="FootnoteDrop26">#REF!</definedName>
    <definedName name="FootnoteDrop27">#REF!</definedName>
    <definedName name="FootnoteDrop28">#REF!</definedName>
    <definedName name="FootnoteDrop29">#REF!</definedName>
    <definedName name="FootnoteDrop3">#REF!</definedName>
    <definedName name="FootnoteDrop30">#REF!</definedName>
    <definedName name="FootnoteDrop31">#REF!</definedName>
    <definedName name="FootnoteDrop32">#REF!</definedName>
    <definedName name="FootnoteDrop33">#REF!</definedName>
    <definedName name="FootnoteDrop34">#REF!</definedName>
    <definedName name="FootnoteDrop35">#REF!</definedName>
    <definedName name="FootnoteDrop36">#REF!</definedName>
    <definedName name="FootnoteDrop37">#REF!</definedName>
    <definedName name="FootnoteDrop38">#REF!</definedName>
    <definedName name="FootnoteDrop39">#REF!</definedName>
    <definedName name="FootnoteDrop4">#REF!</definedName>
    <definedName name="FootnoteDrop40">#REF!</definedName>
    <definedName name="FootnoteDrop41">#REF!</definedName>
    <definedName name="FootnoteDrop42">#REF!</definedName>
    <definedName name="FootnoteDrop43">#REF!</definedName>
    <definedName name="FootnoteDrop44">#REF!</definedName>
    <definedName name="FootnoteDrop45">#REF!</definedName>
    <definedName name="FootnoteDrop46">#REF!</definedName>
    <definedName name="FootnoteDrop47">#REF!</definedName>
    <definedName name="FootnoteDrop48">#REF!</definedName>
    <definedName name="FootnoteDrop49">#REF!</definedName>
    <definedName name="FootnoteDrop5">#REF!</definedName>
    <definedName name="FootnoteDrop50">#REF!</definedName>
    <definedName name="FootnoteDrop51">#REF!</definedName>
    <definedName name="FootnoteDrop52">#REF!</definedName>
    <definedName name="FootnoteDrop53">#REF!</definedName>
    <definedName name="FootnoteDrop54">#REF!</definedName>
    <definedName name="FootnoteDrop55">#REF!</definedName>
    <definedName name="FootnoteDrop56">#REF!</definedName>
    <definedName name="FootnoteDrop57">#REF!</definedName>
    <definedName name="FootnoteDrop58">#REF!</definedName>
    <definedName name="FootnoteDrop59">#REF!</definedName>
    <definedName name="FootnoteDrop6">#REF!</definedName>
    <definedName name="FootnoteDrop60">#REF!</definedName>
    <definedName name="FootnoteDrop61">#REF!</definedName>
    <definedName name="FootnoteDrop62">#REF!</definedName>
    <definedName name="FootnoteDrop63">#REF!</definedName>
    <definedName name="FootnoteDrop64">#REF!</definedName>
    <definedName name="FootnoteDrop65">#REF!</definedName>
    <definedName name="FootnoteDrop66">#REF!</definedName>
    <definedName name="FootnoteDrop67">#REF!</definedName>
    <definedName name="FootnoteDrop68">#REF!</definedName>
    <definedName name="FootnoteDrop69">#REF!</definedName>
    <definedName name="FootnoteDrop7">#REF!</definedName>
    <definedName name="FootnoteDrop70">#REF!</definedName>
    <definedName name="FootnoteDrop71">#REF!</definedName>
    <definedName name="FootnoteDrop72">#REF!</definedName>
    <definedName name="FootnoteDrop73">#REF!</definedName>
    <definedName name="FootnoteDrop74">#REF!</definedName>
    <definedName name="FootnoteDrop75">#REF!</definedName>
    <definedName name="FootnoteDrop76">#REF!</definedName>
    <definedName name="FootnoteDrop77">#REF!</definedName>
    <definedName name="FootnoteDrop78">#REF!</definedName>
    <definedName name="FootnoteDrop79">#REF!</definedName>
    <definedName name="FootnoteDrop8">#REF!</definedName>
    <definedName name="FootnoteDrop80">#REF!</definedName>
    <definedName name="FootnoteDrop81">#REF!</definedName>
    <definedName name="FootnoteDrop82">#REF!</definedName>
    <definedName name="FootnoteDrop83">#REF!</definedName>
    <definedName name="FootnoteDrop84">#REF!</definedName>
    <definedName name="FootnoteDrop85">#REF!</definedName>
    <definedName name="FootnoteDrop86">#REF!</definedName>
    <definedName name="FootnoteDrop87">#REF!</definedName>
    <definedName name="FootnoteDrop88">#REF!</definedName>
    <definedName name="FootnoteDrop89">#REF!</definedName>
    <definedName name="FootnoteDrop9">#REF!</definedName>
    <definedName name="FootnoteDrop90">#REF!</definedName>
    <definedName name="FootnoteDrop91">#REF!</definedName>
    <definedName name="FootnoteDrop92">#REF!</definedName>
    <definedName name="FootnoteDrop93">#REF!</definedName>
    <definedName name="FootnoteDrop94">#REF!</definedName>
    <definedName name="FootnoteDrop95">#REF!</definedName>
    <definedName name="FootnoteDrop96">#REF!</definedName>
    <definedName name="FootnoteDrop97">#REF!</definedName>
    <definedName name="FootnoteDrop98">#REF!</definedName>
    <definedName name="FootnoteDrop99">#REF!</definedName>
    <definedName name="fys">[6]Input!$D$8</definedName>
    <definedName name="GDRshares">[6]Input!$M$7</definedName>
    <definedName name="GEMinerCode">[6]Input!$M$5</definedName>
    <definedName name="geo" localSheetId="16">#REF!</definedName>
    <definedName name="geo">#REF!</definedName>
    <definedName name="GM_Schedule" localSheetId="16">#REF!</definedName>
    <definedName name="GM_Schedule">#REF!</definedName>
    <definedName name="Gre_New_Regs.">'[4]Current Price Information'!$L$4:$L$29</definedName>
    <definedName name="HeadInterim">[6]Input!$F$51:$M$51</definedName>
    <definedName name="hi12m">[6]GEMiner!$B$16</definedName>
    <definedName name="HighCase" localSheetId="14">'[10]Basic Input'!$B$4</definedName>
    <definedName name="HighCase">'[10]Basic Input'!$B$4</definedName>
    <definedName name="ian">[6]GEMiner!$B$3</definedName>
    <definedName name="ibc">[6]GEMiner!$B$5</definedName>
    <definedName name="icd">[6]GEMiner!$D$2:$Q$2</definedName>
    <definedName name="ict">[6]GEMiner!$B$13</definedName>
    <definedName name="icu">[6]GEMiner!$B$6</definedName>
    <definedName name="icuRate">[6]Input!$D$10</definedName>
    <definedName name="iff">[6]GEMiner!$B$7</definedName>
    <definedName name="ifo">[6]GEMiner!$B$8</definedName>
    <definedName name="inc">#REF!</definedName>
    <definedName name="index">[6]GEMiner!$B$22</definedName>
    <definedName name="index1m">[6]GEMiner!$B$23</definedName>
    <definedName name="index1y">[6]GEMiner!$B$25</definedName>
    <definedName name="index3m">[6]GEMiner!$B$24</definedName>
    <definedName name="IndexName">[6]Input!$E$16</definedName>
    <definedName name="IndexRIC">[6]Input!$D$16</definedName>
    <definedName name="Insurance">'[8]Current Price Information'!#REF!</definedName>
    <definedName name="ip1_">[6]GEMiner!$B$9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ASSA_OUTSTANDING_BS_DATE" hidden="1">"c1971"</definedName>
    <definedName name="IQ_CLASSA_OUTSTANDING_FILING_DATE" hidden="1">"c1973"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" hidden="1">"c1648"</definedName>
    <definedName name="IQ_EST_CURRENCY" hidden="1">"c2140"</definedName>
    <definedName name="IQ_EST_DATE" hidden="1">"c1634"</definedName>
    <definedName name="IQ_EST_EPS_DIFF" hidden="1">"c1864"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LAND" hidden="1">"c645"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REPAIR" hidden="1">"c2087"</definedName>
    <definedName name="IQ_MARKETCAP" hidden="1">"c712"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OIL_PRODUCT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ISSUED" hidden="1">"c857"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S" hidden="1">"c2119"</definedName>
    <definedName name="IQ_TOTAL_UNUSUAL" hidden="1">"c1508"</definedName>
    <definedName name="IQ_TRADE_AR" hidden="1">"c1345"</definedName>
    <definedName name="IQ_TRADE_PRINCIPAL" hidden="1">"c1309"</definedName>
    <definedName name="IQ_TRADING_ASSETS" hidden="1">"c1310"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USUAL_EXP" hidden="1">"c1456"</definedName>
    <definedName name="IQ_US_GAAP" hidden="1">"c1331"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"c2104"</definedName>
    <definedName name="IQ_YEARHIGH" hidden="1">"c1337"</definedName>
    <definedName name="IQ_YEARLOW" hidden="1">"c1338"</definedName>
    <definedName name="IQ_YTD" hidden="1">3000</definedName>
    <definedName name="IQ_Z_SCORE" hidden="1">"c1339"</definedName>
    <definedName name="iQShowHideColumns" hidden="1">"iQShowQuarterlyAnnual"</definedName>
    <definedName name="ire">[6]GEMiner!$B$12</definedName>
    <definedName name="Ire_New_Regs.">'[4]Current Price Information'!$L$4:$L$29</definedName>
    <definedName name="irf">[6]GEMiner!$B$4</definedName>
    <definedName name="irgList">'[9]PK-ICI'!#REF!</definedName>
    <definedName name="IS_96Q">#REF!</definedName>
    <definedName name="IS_97Q">#REF!</definedName>
    <definedName name="IS_98_Q">[19]MGA!#REF!</definedName>
    <definedName name="IS_98Q" localSheetId="14">#REF!</definedName>
    <definedName name="IS_98Q" localSheetId="16">#REF!</definedName>
    <definedName name="IS_98Q">#REF!</definedName>
    <definedName name="IS_99_CALENDAR_Qs" localSheetId="16">[20]MGA!#REF!</definedName>
    <definedName name="IS_99_CALENDAR_Qs">[20]MGA!#REF!</definedName>
    <definedName name="IS_99Q" localSheetId="14">#REF!</definedName>
    <definedName name="IS_99Q" localSheetId="16">#REF!</definedName>
    <definedName name="IS_99Q">#REF!</definedName>
    <definedName name="is1_">[6]GEMiner!$B$10</definedName>
    <definedName name="isc">[6]GEMiner!$B$2</definedName>
    <definedName name="isi">[6]GEMiner!$B$11</definedName>
    <definedName name="iueList">[9]ICI!#REF!</definedName>
    <definedName name="labor_prod">'[1]CTB-DK'!$AN$175:$BE$184</definedName>
    <definedName name="LastListUpdate">0</definedName>
    <definedName name="LatestResult">[6]Input!$M$8</definedName>
    <definedName name="lo12m">[6]GEMiner!$B$17</definedName>
    <definedName name="LowCase" localSheetId="14">'[10]Basic Input'!$B$5</definedName>
    <definedName name="LowCase">'[10]Basic Input'!$B$5</definedName>
    <definedName name="Metallurgical_Products____Teksid">'[8]Current Price Information'!#REF!</definedName>
    <definedName name="Miscel._and_eliminations">'[8]Current Price Information'!#REF!</definedName>
    <definedName name="Model_Name">#REF!</definedName>
    <definedName name="MonitorCol">1</definedName>
    <definedName name="MonitorRow">1</definedName>
    <definedName name="net_New_Regs.">'[4]Current Price Information'!$L$4:$L$29</definedName>
    <definedName name="Nor_New_Regs.">'[4]Current Price Information'!$L$4:$L$29</definedName>
    <definedName name="Payments_per_year" localSheetId="11">#REF!</definedName>
    <definedName name="Payments_per_year">#REF!</definedName>
    <definedName name="PB1_">[6]price!$H$2</definedName>
    <definedName name="PB2_">[6]price!$I$2</definedName>
    <definedName name="PB3_">[6]price!$J$2</definedName>
    <definedName name="PB4_">[6]price!$K$2</definedName>
    <definedName name="PE1_">[6]price!$C$2</definedName>
    <definedName name="PE2_">[6]price!$D$2</definedName>
    <definedName name="PE3_">[6]price!$E$2</definedName>
    <definedName name="PE4_">[6]price!$F$2</definedName>
    <definedName name="PEOne">[6]price!$C$2</definedName>
    <definedName name="phosphoric">[21]Phosphates!$B$4</definedName>
    <definedName name="Pmt_to_use" localSheetId="11">#REF!</definedName>
    <definedName name="Pmt_to_use" localSheetId="1">#REF!</definedName>
    <definedName name="Pmt_to_use" localSheetId="14">#REF!</definedName>
    <definedName name="Pmt_to_use" localSheetId="16">#REF!</definedName>
    <definedName name="Pmt_to_use">#REF!</definedName>
    <definedName name="Por_New_Regs.">'[4]Current Price Information'!$L$4:$L$29</definedName>
    <definedName name="price">[6]GEMiner!$B$15</definedName>
    <definedName name="price1m">[6]GEMiner!$B$18</definedName>
    <definedName name="price1y">[6]GEMiner!$B$20</definedName>
    <definedName name="price3m">[6]GEMiner!$B$19</definedName>
    <definedName name="PriceChartDate">[6]Input!$M$10</definedName>
    <definedName name="_xlnm.Print_Area" localSheetId="7">BS!$A$1:$G$60</definedName>
    <definedName name="_xlnm.Print_Area" localSheetId="8">CFS!$A$1:$G$46</definedName>
    <definedName name="_xlnm.Print_Area" localSheetId="3">IS!$A$6:$H$44</definedName>
    <definedName name="_xlnm.Print_Area" localSheetId="15">Solution!$A$35:$F$76</definedName>
    <definedName name="_xlnm.Print_Titles" localSheetId="3">IS!$1:$4</definedName>
    <definedName name="Print_Titles_MI">[22]CTB!$A$3:$IV$8,[22]CTB!$A$1:$A$65536</definedName>
    <definedName name="Production_Systems___Comau_Finanziaria" localSheetId="14">'[8]Current Price Information'!#REF!</definedName>
    <definedName name="Production_Systems___Comau_Finanziaria" localSheetId="16">'[8]Current Price Information'!#REF!</definedName>
    <definedName name="Production_Systems___Comau_Finanziaria">'[8]Current Price Information'!#REF!</definedName>
    <definedName name="profitbreakdown" localSheetId="14">#REF!</definedName>
    <definedName name="profitbreakdown" localSheetId="16">#REF!</definedName>
    <definedName name="profitbreakdown">#REF!</definedName>
    <definedName name="psCurrency">[6]Input!$E$12</definedName>
    <definedName name="psUnits">[6]Input!$D$12</definedName>
    <definedName name="PUB_FileID" hidden="1">"L10003649.xls"</definedName>
    <definedName name="PUB_UserID" hidden="1">"MAYERX"</definedName>
    <definedName name="Publishing_and_Communications">'[8]Current Price Information'!#REF!</definedName>
    <definedName name="Range_Names">#REF!</definedName>
    <definedName name="RDBcode">[6]GEMiner!$D$1:$D$65536</definedName>
    <definedName name="RDBdata">[6]GEMiner!$D$1:$Q$65536</definedName>
    <definedName name="RDBf1col">[6]GEMiner!$B$62</definedName>
    <definedName name="RDByear">[6]GEMiner!$D$1:$Q$1</definedName>
    <definedName name="redo" localSheetId="1" hidden="1">{#N/A,#N/A,FALSE,"ACQ_GRAPHS";#N/A,#N/A,FALSE,"T_1 GRAPHS";#N/A,#N/A,FALSE,"T_2 GRAPHS";#N/A,#N/A,FALSE,"COMB_GRAPHS"}</definedName>
    <definedName name="redo" localSheetId="14" hidden="1">{#N/A,#N/A,FALSE,"ACQ_GRAPHS";#N/A,#N/A,FALSE,"T_1 GRAPHS";#N/A,#N/A,FALSE,"T_2 GRAPHS";#N/A,#N/A,FALSE,"COMB_GRAPHS"}</definedName>
    <definedName name="redo" localSheetId="16" hidden="1">{#N/A,#N/A,FALSE,"ACQ_GRAPHS";#N/A,#N/A,FALSE,"T_1 GRAPHS";#N/A,#N/A,FALSE,"T_2 GRAPHS";#N/A,#N/A,FALSE,"COMB_GRAPHS"}</definedName>
    <definedName name="redo" hidden="1">{#N/A,#N/A,FALSE,"ACQ_GRAPHS";#N/A,#N/A,FALSE,"T_1 GRAPHS";#N/A,#N/A,FALSE,"T_2 GRAPHS";#N/A,#N/A,FALSE,"COMB_GRAPHS"}</definedName>
    <definedName name="Retailing">'[8]Current Price Information'!#REF!</definedName>
    <definedName name="ReutersCode">[6]Input!$M$4</definedName>
    <definedName name="ReutersCodeGDR">[6]Input!$M$6</definedName>
    <definedName name="Rolling_Stock_and_Railway_systems">'[8]Current Price Information'!#REF!</definedName>
    <definedName name="rredo" localSheetId="1" hidden="1">{#N/A,#N/A,FALSE,"ACQ_GRAPHS";#N/A,#N/A,FALSE,"T_1 GRAPHS";#N/A,#N/A,FALSE,"T_2 GRAPHS";#N/A,#N/A,FALSE,"COMB_GRAPHS"}</definedName>
    <definedName name="rredo" localSheetId="14" hidden="1">{#N/A,#N/A,FALSE,"ACQ_GRAPHS";#N/A,#N/A,FALSE,"T_1 GRAPHS";#N/A,#N/A,FALSE,"T_2 GRAPHS";#N/A,#N/A,FALSE,"COMB_GRAPHS"}</definedName>
    <definedName name="rredo" localSheetId="16" hidden="1">{#N/A,#N/A,FALSE,"ACQ_GRAPHS";#N/A,#N/A,FALSE,"T_1 GRAPHS";#N/A,#N/A,FALSE,"T_2 GRAPHS";#N/A,#N/A,FALSE,"COMB_GRAPHS"}</definedName>
    <definedName name="rredo" hidden="1">{#N/A,#N/A,FALSE,"ACQ_GRAPHS";#N/A,#N/A,FALSE,"T_1 GRAPHS";#N/A,#N/A,FALSE,"T_2 GRAPHS";#N/A,#N/A,FALSE,"COMB_GRAPHS"}</definedName>
    <definedName name="Seasonality">#REF!</definedName>
    <definedName name="seg">#REF!</definedName>
    <definedName name="SelectedCase" localSheetId="14">'[10]Basic Input'!$B$9</definedName>
    <definedName name="SelectedCase">'[10]Basic Input'!$B$9</definedName>
    <definedName name="Service_companies">'[8]Current Price Information'!#REF!</definedName>
    <definedName name="shares">[11]Ratios!$G$6</definedName>
    <definedName name="SIXMTH01">7</definedName>
    <definedName name="SIXMTH02">14</definedName>
    <definedName name="SIXMTH03">22</definedName>
    <definedName name="SIXMTH04">29</definedName>
    <definedName name="SIXMTH05">37</definedName>
    <definedName name="SIXMTH06">44</definedName>
    <definedName name="Snia_BPD">'[8]Current Price Information'!#REF!</definedName>
    <definedName name="SPR">[23]model!#REF!</definedName>
    <definedName name="StartYr" localSheetId="14">'[10]Basic Input'!$B$13</definedName>
    <definedName name="StartYr">'[10]Basic Input'!$B$13</definedName>
    <definedName name="StockName">[6]Input!$F$7</definedName>
    <definedName name="Stress1">[6]stresstest!$E$4:$J$8</definedName>
    <definedName name="Stress2">[6]stresstest!$E$11:$J$15</definedName>
    <definedName name="Stress2a">[6]stresstest!$E$11:$J$12</definedName>
    <definedName name="Stress2b">[6]stresstest!$E$14:$J$15</definedName>
    <definedName name="Stress3">[6]stresstest!$E$17:$J$20</definedName>
    <definedName name="Stress4">[6]stresstest!$E$22:$J$24</definedName>
    <definedName name="StressS1">[6]stresstest!$P$4:$Q$8</definedName>
    <definedName name="StressS2">[6]stresstest!$P$11:$Q$15</definedName>
    <definedName name="StressS2a">[6]stresstest!$P$11:$Q$12</definedName>
    <definedName name="StressS2b">[6]stresstest!$P$14:$Q$15</definedName>
    <definedName name="StressS3">[6]stresstest!$P$17:$Q$20</definedName>
    <definedName name="StressS4">[6]stresstest!$P$22:$Q$24</definedName>
    <definedName name="StressT1">[6]stresstest!$C$4:$C$8</definedName>
    <definedName name="StressTitles">[6]stresstest!$C$3:$C$24</definedName>
    <definedName name="sulphuric">[21]Phosphates!$B$5</definedName>
    <definedName name="Summary_Date" localSheetId="14">#REF!</definedName>
    <definedName name="Summary_Date" localSheetId="16">#REF!</definedName>
    <definedName name="Summary_Date">#REF!</definedName>
    <definedName name="Swe_New_Regs.">'[4]Current Price Information'!$L$4:$L$29</definedName>
    <definedName name="Swi_New_Regs.">'[4]Current Price Information'!$L$4:$L$29</definedName>
    <definedName name="TAus_New_Regs.">'[4]Current Price Information'!$L$4:$L$29</definedName>
    <definedName name="tax">#REF!</definedName>
    <definedName name="TBel_New_Regs.">'[4]Current Price Information'!$L$4:$L$29</definedName>
    <definedName name="tcd">[9]ICI!#REF!</definedName>
    <definedName name="TDen_New_Regs.">'[4]Current Price Information'!$L$4:$L$29</definedName>
    <definedName name="Telecommunications">'[8]Current Price Information'!#REF!</definedName>
    <definedName name="Telephone">[6]Input!$H$10</definedName>
    <definedName name="Term_in_years" localSheetId="11">#REF!</definedName>
    <definedName name="Term_in_years" localSheetId="1">#REF!</definedName>
    <definedName name="Term_in_years" localSheetId="16">#REF!</definedName>
    <definedName name="Term_in_years">#REF!</definedName>
    <definedName name="TFin_New_Regs.">'[4]Current Price Information'!$L$4:$L$29</definedName>
    <definedName name="tfx">[9]ICI!#REF!</definedName>
    <definedName name="TGR">[24]DCF!$E$25</definedName>
    <definedName name="TGr_New_Regs.">'[4]Current Price Information'!$L$4:$L$29</definedName>
    <definedName name="TIre_New_Regs.">'[4]Current Price Information'!$L$4:$L$29</definedName>
    <definedName name="Title">[6]Input!$H$12</definedName>
    <definedName name="titles" localSheetId="16">#REF!</definedName>
    <definedName name="titles">#REF!</definedName>
    <definedName name="TN_products" localSheetId="16">#REF!</definedName>
    <definedName name="TN_products">#REF!</definedName>
    <definedName name="TNed_New_Regs.">'[4]Current Price Information'!$L$4:$L$29</definedName>
    <definedName name="TNor_New_Regs.">'[4]Current Price Information'!$L$4:$L$29</definedName>
    <definedName name="TopLeftForex">[6]price!$AF$3</definedName>
    <definedName name="TopLeftGDR">[6]price!$X$3</definedName>
    <definedName name="TopLeftIndex">[6]price!$AB$3</definedName>
    <definedName name="TopLeftLocal">[6]price!$T$3</definedName>
    <definedName name="Total">'[8]Current Price Information'!#REF!</definedName>
    <definedName name="Total_Mfg.">'[8]Current Price Information'!#REF!</definedName>
    <definedName name="TPor_New_Regs.">'[4]Current Price Information'!$L$4:$L$29</definedName>
    <definedName name="TSwe_New_Regs.">'[4]Current Price Information'!$L$4:$L$29</definedName>
    <definedName name="TSwi_New_Regs.">'[4]Current Price Information'!$L$4:$L$29</definedName>
    <definedName name="tzs">[9]ICI!#REF!</definedName>
    <definedName name="Units">[6]Input!$D$11</definedName>
    <definedName name="UnitSymbol">[6]Input!$E$11</definedName>
    <definedName name="WACC">[24]WACC!$B$33</definedName>
    <definedName name="Worst" localSheetId="14">[25]Intro!$D$49</definedName>
    <definedName name="Worst">[25]Intro!$D$49</definedName>
    <definedName name="wrn.ALL." localSheetId="1" hidden="1">{#N/A,#N/A,FALSE,"INPUTS";#N/A,#N/A,FALSE,"PROFORMA BSHEET";#N/A,#N/A,FALSE,"COMBINED";#N/A,#N/A,FALSE,"ACQUIROR";#N/A,#N/A,FALSE,"TARGET 1";#N/A,#N/A,FALSE,"TARGET 2";#N/A,#N/A,FALSE,"HIGH YIELD";#N/A,#N/A,FALSE,"OVERFUND"}</definedName>
    <definedName name="wrn.ALL." localSheetId="14" hidden="1">{#N/A,#N/A,FALSE,"INPUTS";#N/A,#N/A,FALSE,"PROFORMA BSHEET";#N/A,#N/A,FALSE,"COMBINED";#N/A,#N/A,FALSE,"ACQUIROR";#N/A,#N/A,FALSE,"TARGET 1";#N/A,#N/A,FALSE,"TARGET 2";#N/A,#N/A,FALSE,"HIGH YIELD";#N/A,#N/A,FALSE,"OVERFUND"}</definedName>
    <definedName name="wrn.ALL." localSheetId="16" hidden="1">{#N/A,#N/A,FALSE,"INPUTS";#N/A,#N/A,FALSE,"PROFORMA BSHEET";#N/A,#N/A,FALSE,"COMBINED";#N/A,#N/A,FALSE,"ACQUIROR";#N/A,#N/A,FALSE,"TARGET 1";#N/A,#N/A,FALSE,"TARGET 2";#N/A,#N/A,FALSE,"HIGH YIELD";#N/A,#N/A,FALSE,"OVERFUND"}</definedName>
    <definedName name="wrn.ALL." hidden="1">{#N/A,#N/A,FALSE,"INPUTS";#N/A,#N/A,FALSE,"PROFORMA BSHEET";#N/A,#N/A,FALSE,"COMBINED";#N/A,#N/A,FALSE,"ACQUIROR";#N/A,#N/A,FALSE,"TARGET 1";#N/A,#N/A,FALSE,"TARGET 2";#N/A,#N/A,FALSE,"HIGH YIELD";#N/A,#N/A,FALSE,"OVERFUND"}</definedName>
    <definedName name="wrn.All._.Pages." localSheetId="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" localSheetId="1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" localSheetId="16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COMBINED." localSheetId="1" hidden="1">{#N/A,#N/A,FALSE,"INPUTS";#N/A,#N/A,FALSE,"PROFORMA BSHEET";#N/A,#N/A,FALSE,"COMBINED";#N/A,#N/A,FALSE,"HIGH YIELD";#N/A,#N/A,FALSE,"COMB_GRAPHS"}</definedName>
    <definedName name="wrn.COMBINED." localSheetId="14" hidden="1">{#N/A,#N/A,FALSE,"INPUTS";#N/A,#N/A,FALSE,"PROFORMA BSHEET";#N/A,#N/A,FALSE,"COMBINED";#N/A,#N/A,FALSE,"HIGH YIELD";#N/A,#N/A,FALSE,"COMB_GRAPHS"}</definedName>
    <definedName name="wrn.COMBINED." localSheetId="16" hidden="1">{#N/A,#N/A,FALSE,"INPUTS";#N/A,#N/A,FALSE,"PROFORMA BSHEET";#N/A,#N/A,FALSE,"COMBINED";#N/A,#N/A,FALSE,"HIGH YIELD";#N/A,#N/A,FALSE,"COMB_GRAPHS"}</definedName>
    <definedName name="wrn.COMBINED." hidden="1">{#N/A,#N/A,FALSE,"INPUTS";#N/A,#N/A,FALSE,"PROFORMA BSHEET";#N/A,#N/A,FALSE,"COMBINED";#N/A,#N/A,FALSE,"HIGH YIELD";#N/A,#N/A,FALSE,"COMB_GRAPHS"}</definedName>
    <definedName name="wrn.Complete._.Report." localSheetId="16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 localSheetId="16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GRAPHS." localSheetId="1" hidden="1">{#N/A,#N/A,FALSE,"ACQ_GRAPHS";#N/A,#N/A,FALSE,"T_1 GRAPHS";#N/A,#N/A,FALSE,"T_2 GRAPHS";#N/A,#N/A,FALSE,"COMB_GRAPHS"}</definedName>
    <definedName name="wrn.GRAPHS." localSheetId="14" hidden="1">{#N/A,#N/A,FALSE,"ACQ_GRAPHS";#N/A,#N/A,FALSE,"T_1 GRAPHS";#N/A,#N/A,FALSE,"T_2 GRAPHS";#N/A,#N/A,FALSE,"COMB_GRAPHS"}</definedName>
    <definedName name="wrn.GRAPHS." localSheetId="16" hidden="1">{#N/A,#N/A,FALSE,"ACQ_GRAPHS";#N/A,#N/A,FALSE,"T_1 GRAPHS";#N/A,#N/A,FALSE,"T_2 GRAPHS";#N/A,#N/A,FALSE,"COMB_GRAPHS"}</definedName>
    <definedName name="wrn.GRAPHS." hidden="1">{#N/A,#N/A,FALSE,"ACQ_GRAPHS";#N/A,#N/A,FALSE,"T_1 GRAPHS";#N/A,#N/A,FALSE,"T_2 GRAPHS";#N/A,#N/A,FALSE,"COMB_GRAPHS"}</definedName>
    <definedName name="wrn.Print." localSheetId="1" hidden="1">{"vi1",#N/A,FALSE,"Financial Statements";"vi2",#N/A,FALSE,"Financial Statements";#N/A,#N/A,FALSE,"DCF"}</definedName>
    <definedName name="wrn.Print." localSheetId="14" hidden="1">{"vi1",#N/A,FALSE,"Financial Statements";"vi2",#N/A,FALSE,"Financial Statements";#N/A,#N/A,FALSE,"DCF"}</definedName>
    <definedName name="wrn.Print." localSheetId="16" hidden="1">{"vi1",#N/A,FALSE,"Financial Statements";"vi2",#N/A,FALSE,"Financial Statements";#N/A,#N/A,FALSE,"DCF"}</definedName>
    <definedName name="wrn.Print." hidden="1">{"vi1",#N/A,FALSE,"Financial Statements";"vi2",#N/A,FALSE,"Financial Statements";#N/A,#N/A,FALSE,"DCF"}</definedName>
    <definedName name="wrn.VALUATION." localSheetId="1" hidden="1">{#N/A,#N/A,FALSE,"Valuation Assumptions";#N/A,#N/A,FALSE,"Summary";#N/A,#N/A,FALSE,"DCF";#N/A,#N/A,FALSE,"Valuation";#N/A,#N/A,FALSE,"WACC";#N/A,#N/A,FALSE,"UBVH";#N/A,#N/A,FALSE,"Free Cash Flow"}</definedName>
    <definedName name="wrn.VALUATION." localSheetId="14" hidden="1">{#N/A,#N/A,FALSE,"Valuation Assumptions";#N/A,#N/A,FALSE,"Summary";#N/A,#N/A,FALSE,"DCF";#N/A,#N/A,FALSE,"Valuation";#N/A,#N/A,FALSE,"WACC";#N/A,#N/A,FALSE,"UBVH";#N/A,#N/A,FALSE,"Free Cash Flow"}</definedName>
    <definedName name="wrn.VALUATION." localSheetId="16" hidden="1">{#N/A,#N/A,FALSE,"Valuation Assumptions";#N/A,#N/A,FALSE,"Summary";#N/A,#N/A,FALSE,"DCF";#N/A,#N/A,FALSE,"Valuation";#N/A,#N/A,FALSE,"WACC";#N/A,#N/A,FALSE,"UBVH";#N/A,#N/A,FALSE,"Free Cash Flow"}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YEAR01">15</definedName>
    <definedName name="YEAR02">30</definedName>
    <definedName name="YEAR03">45</definedName>
    <definedName name="Year1">[6]Cover!$A$2:$IV$2</definedName>
    <definedName name="Year3" localSheetId="11">#REF!</definedName>
    <definedName name="Year3" localSheetId="14">#REF!</definedName>
    <definedName name="Year3" localSheetId="16">#REF!</definedName>
    <definedName name="Year3">#REF!</definedName>
    <definedName name="Year4" localSheetId="11">#REF!</definedName>
    <definedName name="Year4" localSheetId="14">#REF!</definedName>
    <definedName name="Year4" localSheetId="16">#REF!</definedName>
    <definedName name="Year4">#REF!</definedName>
    <definedName name="YearEnd">[6]Input!$D$14</definedName>
    <definedName name="YearIndexEPS">[6]Input!$C$15:$M$15</definedName>
    <definedName name="YearInput">[6]Input!$A$18:$IV$18</definedName>
    <definedName name="YearOther">'[6]other stuff'!$A$2:$IV$2</definedName>
    <definedName name="YearStress">[6]stresstest!$A$2:$IV$2</definedName>
  </definedNames>
  <calcPr calcId="144525"/>
</workbook>
</file>

<file path=xl/calcChain.xml><?xml version="1.0" encoding="utf-8"?>
<calcChain xmlns="http://schemas.openxmlformats.org/spreadsheetml/2006/main">
  <c r="BY88" i="8" l="1"/>
  <c r="BY89" i="8"/>
  <c r="BY36" i="8" l="1"/>
  <c r="BN97" i="6"/>
  <c r="BN99" i="6" s="1"/>
  <c r="L186" i="31"/>
  <c r="BS62" i="6"/>
  <c r="B28" i="25" l="1"/>
  <c r="BR47" i="8" l="1"/>
  <c r="BS23" i="8"/>
  <c r="B27" i="25"/>
  <c r="B24" i="25"/>
  <c r="B25" i="25"/>
  <c r="D24" i="25"/>
  <c r="BS1" i="8"/>
  <c r="BS2" i="8" s="1"/>
  <c r="BQ18" i="8"/>
  <c r="BS15" i="8" l="1"/>
  <c r="BQ158" i="6" s="1"/>
  <c r="BQ249" i="6"/>
  <c r="BP158" i="6"/>
  <c r="BQ154" i="6"/>
  <c r="BQ139" i="6"/>
  <c r="BQ136" i="6"/>
  <c r="BQ138" i="6" s="1"/>
  <c r="BQ131" i="6"/>
  <c r="BQ133" i="6" s="1"/>
  <c r="BQ127" i="6"/>
  <c r="BQ126" i="6"/>
  <c r="BQ125" i="6"/>
  <c r="BQ124" i="6"/>
  <c r="BQ120" i="6"/>
  <c r="BP32" i="6"/>
  <c r="BP26" i="6" s="1"/>
  <c r="BJ32" i="6"/>
  <c r="BP128" i="6"/>
  <c r="BP129" i="6" s="1"/>
  <c r="BP134" i="6" s="1"/>
  <c r="BQ98" i="6"/>
  <c r="BQ45" i="6"/>
  <c r="BS11" i="8" s="1"/>
  <c r="BQ26" i="6"/>
  <c r="BQ25" i="6" s="1"/>
  <c r="BQ37" i="6"/>
  <c r="BQ36" i="6"/>
  <c r="BM1" i="6"/>
  <c r="BN1" i="6" s="1"/>
  <c r="BO1" i="6" s="1"/>
  <c r="BT1" i="6"/>
  <c r="BR1" i="6"/>
  <c r="BS1" i="6" s="1"/>
  <c r="BQ1" i="6"/>
  <c r="BR63" i="8"/>
  <c r="BR61" i="8"/>
  <c r="BR60" i="8"/>
  <c r="BR56" i="8"/>
  <c r="BR54" i="8"/>
  <c r="BR53" i="8"/>
  <c r="BR52" i="8"/>
  <c r="BR51" i="8"/>
  <c r="BR50" i="8"/>
  <c r="BR21" i="8"/>
  <c r="BR14" i="8"/>
  <c r="BR17" i="8" s="1"/>
  <c r="BP140" i="6" l="1"/>
  <c r="BP144" i="6"/>
  <c r="BV1" i="6"/>
  <c r="BP142" i="6"/>
  <c r="BP146" i="6"/>
  <c r="BP25" i="6"/>
  <c r="BR55" i="8"/>
  <c r="BR20" i="8"/>
  <c r="BR22" i="8" s="1"/>
  <c r="BR59" i="8" s="1"/>
  <c r="BQ128" i="6"/>
  <c r="BU1" i="6"/>
  <c r="E26" i="12"/>
  <c r="M235" i="31"/>
  <c r="C63" i="34"/>
  <c r="BR25" i="8" l="1"/>
  <c r="BR28" i="8" s="1"/>
  <c r="BR57" i="8"/>
  <c r="BR30" i="8"/>
  <c r="BR62" i="8"/>
  <c r="BO44" i="6"/>
  <c r="E56" i="34"/>
  <c r="F51" i="34"/>
  <c r="D51" i="34"/>
  <c r="C51" i="34"/>
  <c r="E55" i="34"/>
  <c r="G55" i="34"/>
  <c r="G54" i="34"/>
  <c r="E53" i="34"/>
  <c r="E52" i="34"/>
  <c r="G52" i="34"/>
  <c r="E50" i="34"/>
  <c r="G50" i="34"/>
  <c r="E49" i="34"/>
  <c r="D42" i="34"/>
  <c r="D41" i="34"/>
  <c r="D40" i="34"/>
  <c r="D37" i="34"/>
  <c r="BT1" i="8"/>
  <c r="BN18" i="8"/>
  <c r="BO243" i="6"/>
  <c r="BQ243" i="6" s="1"/>
  <c r="BO160" i="6"/>
  <c r="BO84" i="6"/>
  <c r="BO4" i="6"/>
  <c r="BO86" i="6"/>
  <c r="BQ86" i="6" s="1"/>
  <c r="BQ87" i="6" s="1"/>
  <c r="BO58" i="6"/>
  <c r="BO31" i="6"/>
  <c r="BO30" i="6"/>
  <c r="BO24" i="6"/>
  <c r="BQ24" i="6" s="1"/>
  <c r="BO37" i="6"/>
  <c r="BO36" i="6"/>
  <c r="BO32" i="6"/>
  <c r="BQ35" i="6" s="1"/>
  <c r="BO154" i="6" l="1"/>
  <c r="BQ155" i="6"/>
  <c r="BQ22" i="6"/>
  <c r="BQ23" i="6"/>
  <c r="BQ10" i="8"/>
  <c r="BQ58" i="6"/>
  <c r="BS10" i="8" s="1"/>
  <c r="BO43" i="6"/>
  <c r="BO85" i="6"/>
  <c r="BQ84" i="6"/>
  <c r="BQ85" i="6" s="1"/>
  <c r="BQ88" i="6" s="1"/>
  <c r="BR64" i="8"/>
  <c r="BR33" i="8"/>
  <c r="G49" i="34"/>
  <c r="G53" i="34"/>
  <c r="E54" i="34"/>
  <c r="BO155" i="6"/>
  <c r="BQ151" i="6" s="1"/>
  <c r="BO26" i="6"/>
  <c r="BQ152" i="6" l="1"/>
  <c r="BQ153" i="6" s="1"/>
  <c r="BQ122" i="6"/>
  <c r="BQ89" i="6"/>
  <c r="BQ90" i="6" s="1"/>
  <c r="BO25" i="6"/>
  <c r="BO23" i="6"/>
  <c r="BO23" i="8"/>
  <c r="F42" i="34" s="1"/>
  <c r="BO19" i="8"/>
  <c r="F41" i="34" s="1"/>
  <c r="BO18" i="8"/>
  <c r="BO16" i="8"/>
  <c r="F40" i="34" s="1"/>
  <c r="BO15" i="8"/>
  <c r="BQ15" i="8" s="1"/>
  <c r="BN10" i="8"/>
  <c r="BN15" i="8"/>
  <c r="BO22" i="6" l="1"/>
  <c r="BO87" i="6"/>
  <c r="BO88" i="6" s="1"/>
  <c r="Q7" i="11"/>
  <c r="BJ73" i="8"/>
  <c r="R45" i="11"/>
  <c r="T15" i="13"/>
  <c r="R8" i="13"/>
  <c r="R22" i="11"/>
  <c r="R81" i="11"/>
  <c r="S82" i="11"/>
  <c r="S81" i="11"/>
  <c r="S80" i="11"/>
  <c r="S21" i="7"/>
  <c r="S57" i="11"/>
  <c r="T57" i="11" s="1"/>
  <c r="S49" i="11"/>
  <c r="T49" i="11" s="1"/>
  <c r="S45" i="11"/>
  <c r="T48" i="11"/>
  <c r="T56" i="11"/>
  <c r="T8" i="13"/>
  <c r="S37" i="11"/>
  <c r="S34" i="11"/>
  <c r="S22" i="11"/>
  <c r="L180" i="40"/>
  <c r="H176" i="40"/>
  <c r="I176" i="40" s="1"/>
  <c r="F176" i="40"/>
  <c r="E176" i="40"/>
  <c r="C176" i="40"/>
  <c r="G171" i="40"/>
  <c r="H169" i="40" s="1"/>
  <c r="D170" i="40"/>
  <c r="E169" i="40"/>
  <c r="F165" i="40"/>
  <c r="F167" i="40" s="1"/>
  <c r="E165" i="40"/>
  <c r="E167" i="40" s="1"/>
  <c r="B165" i="40"/>
  <c r="B167" i="40" s="1"/>
  <c r="G164" i="40"/>
  <c r="H164" i="40" s="1"/>
  <c r="H163" i="40"/>
  <c r="G163" i="40"/>
  <c r="D163" i="40"/>
  <c r="C163" i="40"/>
  <c r="E149" i="40"/>
  <c r="E150" i="40" s="1"/>
  <c r="E151" i="40" s="1"/>
  <c r="E152" i="40" s="1"/>
  <c r="E153" i="40" s="1"/>
  <c r="E154" i="40" s="1"/>
  <c r="E155" i="40" s="1"/>
  <c r="D149" i="40"/>
  <c r="B146" i="40"/>
  <c r="B147" i="40" s="1"/>
  <c r="B148" i="40" s="1"/>
  <c r="B149" i="40" s="1"/>
  <c r="B150" i="40" s="1"/>
  <c r="B151" i="40" s="1"/>
  <c r="B152" i="40" s="1"/>
  <c r="B153" i="40" s="1"/>
  <c r="B154" i="40" s="1"/>
  <c r="B155" i="40" s="1"/>
  <c r="B156" i="40" s="1"/>
  <c r="B157" i="40" s="1"/>
  <c r="B158" i="40" s="1"/>
  <c r="D145" i="40"/>
  <c r="B143" i="40"/>
  <c r="E148" i="40" s="1"/>
  <c r="B142" i="40"/>
  <c r="G158" i="40" s="1"/>
  <c r="B128" i="40"/>
  <c r="B129" i="40" s="1"/>
  <c r="B130" i="40" s="1"/>
  <c r="B131" i="40" s="1"/>
  <c r="B132" i="40" s="1"/>
  <c r="B133" i="40" s="1"/>
  <c r="B134" i="40" s="1"/>
  <c r="B135" i="40" s="1"/>
  <c r="B136" i="40" s="1"/>
  <c r="J127" i="40"/>
  <c r="D127" i="40"/>
  <c r="B125" i="40"/>
  <c r="E135" i="40" s="1"/>
  <c r="B124" i="40"/>
  <c r="G136" i="40" s="1"/>
  <c r="E121" i="40"/>
  <c r="E108" i="40"/>
  <c r="E109" i="40" s="1"/>
  <c r="E110" i="40" s="1"/>
  <c r="E111" i="40" s="1"/>
  <c r="E112" i="40" s="1"/>
  <c r="E113" i="40" s="1"/>
  <c r="E114" i="40" s="1"/>
  <c r="E115" i="40" s="1"/>
  <c r="E116" i="40" s="1"/>
  <c r="D108" i="40"/>
  <c r="D104" i="40"/>
  <c r="B102" i="40"/>
  <c r="E106" i="40" s="1"/>
  <c r="B101" i="40"/>
  <c r="G118" i="40" s="1"/>
  <c r="D78" i="40"/>
  <c r="B76" i="40"/>
  <c r="E78" i="40" s="1"/>
  <c r="E79" i="40" s="1"/>
  <c r="E80" i="40" s="1"/>
  <c r="E81" i="40" s="1"/>
  <c r="E82" i="40" s="1"/>
  <c r="E83" i="40" s="1"/>
  <c r="E84" i="40" s="1"/>
  <c r="E85" i="40" s="1"/>
  <c r="E86" i="40" s="1"/>
  <c r="E87" i="40" s="1"/>
  <c r="E88" i="40" s="1"/>
  <c r="E89" i="40" s="1"/>
  <c r="E90" i="40" s="1"/>
  <c r="E91" i="40" s="1"/>
  <c r="E92" i="40" s="1"/>
  <c r="E93" i="40" s="1"/>
  <c r="E94" i="40" s="1"/>
  <c r="E95" i="40" s="1"/>
  <c r="B75" i="40"/>
  <c r="D59" i="40"/>
  <c r="B57" i="40"/>
  <c r="E69" i="40" s="1"/>
  <c r="B56" i="40"/>
  <c r="D37" i="40"/>
  <c r="D33" i="40"/>
  <c r="B31" i="40"/>
  <c r="E44" i="40" s="1"/>
  <c r="B30" i="40"/>
  <c r="G43" i="40" s="1"/>
  <c r="E15" i="40"/>
  <c r="E16" i="40" s="1"/>
  <c r="E17" i="40" s="1"/>
  <c r="E18" i="40" s="1"/>
  <c r="E19" i="40" s="1"/>
  <c r="D15" i="40"/>
  <c r="D11" i="40"/>
  <c r="B9" i="40"/>
  <c r="E13" i="40" s="1"/>
  <c r="B8" i="40"/>
  <c r="G24" i="40" s="1"/>
  <c r="BP29" i="8"/>
  <c r="BN136" i="6"/>
  <c r="BP12" i="8"/>
  <c r="D33" i="39"/>
  <c r="C33" i="39"/>
  <c r="O10" i="39"/>
  <c r="G9" i="39"/>
  <c r="B33" i="39" s="1"/>
  <c r="G14" i="39"/>
  <c r="B36" i="39" s="1"/>
  <c r="H14" i="39"/>
  <c r="C36" i="39" s="1"/>
  <c r="C10" i="39"/>
  <c r="B10" i="39"/>
  <c r="C9" i="39"/>
  <c r="B9" i="39"/>
  <c r="BN23" i="8"/>
  <c r="BQ23" i="8" s="1"/>
  <c r="BN26" i="8"/>
  <c r="BN27" i="8" s="1"/>
  <c r="BO89" i="6" l="1"/>
  <c r="BO90" i="6" s="1"/>
  <c r="BO122" i="6"/>
  <c r="C42" i="34"/>
  <c r="I149" i="40"/>
  <c r="D150" i="40" s="1"/>
  <c r="I150" i="40" s="1"/>
  <c r="D151" i="40" s="1"/>
  <c r="BO158" i="6"/>
  <c r="BO12" i="8"/>
  <c r="R7" i="11"/>
  <c r="T45" i="11"/>
  <c r="I108" i="40"/>
  <c r="D109" i="40" s="1"/>
  <c r="I109" i="40" s="1"/>
  <c r="D110" i="40" s="1"/>
  <c r="F169" i="40"/>
  <c r="F182" i="40" s="1"/>
  <c r="I15" i="40"/>
  <c r="D16" i="40" s="1"/>
  <c r="I16" i="40" s="1"/>
  <c r="D17" i="40" s="1"/>
  <c r="E20" i="40"/>
  <c r="E21" i="40" s="1"/>
  <c r="F186" i="40"/>
  <c r="F187" i="40" s="1"/>
  <c r="G95" i="40"/>
  <c r="G93" i="40"/>
  <c r="G91" i="40"/>
  <c r="G89" i="40"/>
  <c r="G87" i="40"/>
  <c r="G85" i="40"/>
  <c r="G83" i="40"/>
  <c r="G81" i="40"/>
  <c r="G79" i="40"/>
  <c r="G69" i="40"/>
  <c r="G94" i="40"/>
  <c r="G92" i="40"/>
  <c r="G90" i="40"/>
  <c r="G88" i="40"/>
  <c r="G86" i="40"/>
  <c r="G84" i="40"/>
  <c r="G82" i="40"/>
  <c r="G80" i="40"/>
  <c r="G78" i="40"/>
  <c r="H78" i="40" s="1"/>
  <c r="G68" i="40"/>
  <c r="I163" i="40"/>
  <c r="J176" i="40"/>
  <c r="G11" i="40"/>
  <c r="H11" i="40" s="1"/>
  <c r="E12" i="40"/>
  <c r="G13" i="40"/>
  <c r="E14" i="40"/>
  <c r="G16" i="40"/>
  <c r="G18" i="40"/>
  <c r="G20" i="40"/>
  <c r="G33" i="40"/>
  <c r="H33" i="40" s="1"/>
  <c r="E34" i="40"/>
  <c r="G35" i="40"/>
  <c r="E36" i="40"/>
  <c r="E37" i="40"/>
  <c r="I37" i="40" s="1"/>
  <c r="D38" i="40" s="1"/>
  <c r="G38" i="40"/>
  <c r="E39" i="40"/>
  <c r="G40" i="40"/>
  <c r="E41" i="40"/>
  <c r="G42" i="40"/>
  <c r="E43" i="40"/>
  <c r="G44" i="40"/>
  <c r="G45" i="40"/>
  <c r="G46" i="40"/>
  <c r="G47" i="40"/>
  <c r="G48" i="40"/>
  <c r="G59" i="40"/>
  <c r="H59" i="40" s="1"/>
  <c r="E60" i="40"/>
  <c r="G61" i="40"/>
  <c r="E62" i="40"/>
  <c r="G63" i="40"/>
  <c r="E64" i="40"/>
  <c r="G65" i="40"/>
  <c r="E66" i="40"/>
  <c r="G67" i="40"/>
  <c r="E117" i="40"/>
  <c r="E118" i="40" s="1"/>
  <c r="E11" i="40"/>
  <c r="I11" i="40" s="1"/>
  <c r="D12" i="40" s="1"/>
  <c r="G12" i="40"/>
  <c r="G14" i="40"/>
  <c r="G15" i="40"/>
  <c r="H15" i="40" s="1"/>
  <c r="G17" i="40"/>
  <c r="G19" i="40"/>
  <c r="G21" i="40"/>
  <c r="G22" i="40"/>
  <c r="G23" i="40"/>
  <c r="E33" i="40"/>
  <c r="I33" i="40" s="1"/>
  <c r="D34" i="40" s="1"/>
  <c r="G34" i="40"/>
  <c r="E35" i="40"/>
  <c r="G36" i="40"/>
  <c r="G37" i="40"/>
  <c r="H37" i="40" s="1"/>
  <c r="E38" i="40"/>
  <c r="G39" i="40"/>
  <c r="E40" i="40"/>
  <c r="G41" i="40"/>
  <c r="E42" i="40"/>
  <c r="E59" i="40"/>
  <c r="I59" i="40" s="1"/>
  <c r="D60" i="40" s="1"/>
  <c r="G60" i="40"/>
  <c r="E61" i="40"/>
  <c r="G62" i="40"/>
  <c r="E63" i="40"/>
  <c r="G64" i="40"/>
  <c r="E65" i="40"/>
  <c r="G66" i="40"/>
  <c r="E67" i="40"/>
  <c r="E68" i="40"/>
  <c r="I78" i="40"/>
  <c r="D79" i="40" s="1"/>
  <c r="G104" i="40"/>
  <c r="H104" i="40" s="1"/>
  <c r="E105" i="40"/>
  <c r="G106" i="40"/>
  <c r="E107" i="40"/>
  <c r="G109" i="40"/>
  <c r="H109" i="40" s="1"/>
  <c r="G111" i="40"/>
  <c r="G113" i="40"/>
  <c r="G115" i="40"/>
  <c r="G117" i="40"/>
  <c r="G127" i="40"/>
  <c r="H127" i="40" s="1"/>
  <c r="K127" i="40" s="1"/>
  <c r="I127" i="40"/>
  <c r="E128" i="40"/>
  <c r="J128" i="40" s="1"/>
  <c r="G129" i="40"/>
  <c r="E130" i="40"/>
  <c r="G131" i="40"/>
  <c r="E132" i="40"/>
  <c r="G133" i="40"/>
  <c r="E134" i="40"/>
  <c r="G135" i="40"/>
  <c r="E136" i="40"/>
  <c r="E145" i="40"/>
  <c r="I145" i="40" s="1"/>
  <c r="D146" i="40" s="1"/>
  <c r="E146" i="40"/>
  <c r="E147" i="40"/>
  <c r="G149" i="40"/>
  <c r="H149" i="40" s="1"/>
  <c r="G150" i="40"/>
  <c r="G151" i="40"/>
  <c r="G152" i="40"/>
  <c r="G153" i="40"/>
  <c r="G154" i="40"/>
  <c r="G155" i="40"/>
  <c r="G157" i="40"/>
  <c r="I164" i="40"/>
  <c r="C165" i="40"/>
  <c r="E182" i="40"/>
  <c r="E104" i="40"/>
  <c r="I104" i="40" s="1"/>
  <c r="D105" i="40" s="1"/>
  <c r="G105" i="40"/>
  <c r="G107" i="40"/>
  <c r="G108" i="40"/>
  <c r="H108" i="40" s="1"/>
  <c r="G110" i="40"/>
  <c r="G112" i="40"/>
  <c r="G114" i="40"/>
  <c r="G116" i="40"/>
  <c r="G128" i="40"/>
  <c r="E129" i="40"/>
  <c r="G130" i="40"/>
  <c r="E131" i="40"/>
  <c r="G132" i="40"/>
  <c r="E133" i="40"/>
  <c r="G134" i="40"/>
  <c r="G145" i="40"/>
  <c r="H145" i="40" s="1"/>
  <c r="G146" i="40"/>
  <c r="G147" i="40"/>
  <c r="G148" i="40"/>
  <c r="G156" i="40"/>
  <c r="G165" i="40"/>
  <c r="E171" i="40"/>
  <c r="E175" i="40"/>
  <c r="BL162" i="6"/>
  <c r="BL163" i="6" s="1"/>
  <c r="BL246" i="6"/>
  <c r="S7" i="11" l="1"/>
  <c r="H150" i="40"/>
  <c r="H16" i="40"/>
  <c r="E42" i="34"/>
  <c r="G42" i="34"/>
  <c r="F37" i="34"/>
  <c r="BO53" i="8"/>
  <c r="BO56" i="8"/>
  <c r="BO59" i="8"/>
  <c r="BO54" i="8"/>
  <c r="BO50" i="8"/>
  <c r="BO61" i="8"/>
  <c r="BO60" i="8"/>
  <c r="F175" i="40"/>
  <c r="I146" i="40"/>
  <c r="D147" i="40" s="1"/>
  <c r="H146" i="40"/>
  <c r="I60" i="40"/>
  <c r="D61" i="40" s="1"/>
  <c r="H60" i="40"/>
  <c r="I12" i="40"/>
  <c r="D13" i="40" s="1"/>
  <c r="H12" i="40"/>
  <c r="H38" i="40"/>
  <c r="I38" i="40"/>
  <c r="D39" i="40" s="1"/>
  <c r="I105" i="40"/>
  <c r="D106" i="40" s="1"/>
  <c r="H105" i="40"/>
  <c r="I34" i="40"/>
  <c r="D35" i="40" s="1"/>
  <c r="H34" i="40"/>
  <c r="D128" i="40"/>
  <c r="L127" i="40"/>
  <c r="I79" i="40"/>
  <c r="D80" i="40" s="1"/>
  <c r="H79" i="40"/>
  <c r="H165" i="40"/>
  <c r="I165" i="40" s="1"/>
  <c r="H151" i="40"/>
  <c r="I151" i="40"/>
  <c r="D152" i="40" s="1"/>
  <c r="F170" i="40"/>
  <c r="F171" i="40" s="1"/>
  <c r="K176" i="40"/>
  <c r="K163" i="40" s="1"/>
  <c r="J163" i="40"/>
  <c r="I110" i="40"/>
  <c r="D111" i="40" s="1"/>
  <c r="H110" i="40"/>
  <c r="I17" i="40"/>
  <c r="D18" i="40" s="1"/>
  <c r="H17" i="40"/>
  <c r="J164" i="40"/>
  <c r="K164" i="40" s="1"/>
  <c r="BK246" i="6"/>
  <c r="BL74" i="6"/>
  <c r="BL138" i="6"/>
  <c r="BL128" i="6"/>
  <c r="BL51" i="6"/>
  <c r="BQ53" i="6" s="1"/>
  <c r="BQ54" i="6" s="1"/>
  <c r="BS6" i="8" l="1"/>
  <c r="BM53" i="6"/>
  <c r="BO53" i="6"/>
  <c r="BO54" i="6" s="1"/>
  <c r="H152" i="40"/>
  <c r="I152" i="40"/>
  <c r="D153" i="40" s="1"/>
  <c r="H80" i="40"/>
  <c r="I80" i="40"/>
  <c r="D81" i="40" s="1"/>
  <c r="I128" i="40"/>
  <c r="H128" i="40"/>
  <c r="K128" i="40" s="1"/>
  <c r="H35" i="40"/>
  <c r="I35" i="40"/>
  <c r="D36" i="40" s="1"/>
  <c r="H36" i="40" s="1"/>
  <c r="H106" i="40"/>
  <c r="I106" i="40"/>
  <c r="D107" i="40" s="1"/>
  <c r="H107" i="40" s="1"/>
  <c r="H13" i="40"/>
  <c r="I13" i="40"/>
  <c r="D14" i="40" s="1"/>
  <c r="H14" i="40" s="1"/>
  <c r="H61" i="40"/>
  <c r="I61" i="40"/>
  <c r="D62" i="40" s="1"/>
  <c r="I147" i="40"/>
  <c r="D148" i="40" s="1"/>
  <c r="H148" i="40" s="1"/>
  <c r="H147" i="40"/>
  <c r="H18" i="40"/>
  <c r="I18" i="40"/>
  <c r="D19" i="40" s="1"/>
  <c r="H111" i="40"/>
  <c r="I111" i="40"/>
  <c r="D112" i="40" s="1"/>
  <c r="I39" i="40"/>
  <c r="D40" i="40" s="1"/>
  <c r="H39" i="40"/>
  <c r="J165" i="40"/>
  <c r="K165" i="40" s="1"/>
  <c r="BL38" i="6"/>
  <c r="BO52" i="6" l="1"/>
  <c r="C169" i="40"/>
  <c r="C171" i="40" s="1"/>
  <c r="I19" i="40"/>
  <c r="D20" i="40" s="1"/>
  <c r="H19" i="40"/>
  <c r="H40" i="40"/>
  <c r="I40" i="40"/>
  <c r="D41" i="40" s="1"/>
  <c r="C170" i="40"/>
  <c r="I62" i="40"/>
  <c r="D63" i="40" s="1"/>
  <c r="H62" i="40"/>
  <c r="D129" i="40"/>
  <c r="L128" i="40"/>
  <c r="D169" i="40"/>
  <c r="C162" i="40"/>
  <c r="C167" i="40" s="1"/>
  <c r="I112" i="40"/>
  <c r="D113" i="40" s="1"/>
  <c r="H112" i="40"/>
  <c r="I81" i="40"/>
  <c r="D82" i="40" s="1"/>
  <c r="H81" i="40"/>
  <c r="H153" i="40"/>
  <c r="I153" i="40"/>
  <c r="D154" i="40" s="1"/>
  <c r="G10" i="34"/>
  <c r="G9" i="34"/>
  <c r="G8" i="34"/>
  <c r="G7" i="34"/>
  <c r="G4" i="34"/>
  <c r="F10" i="34"/>
  <c r="C10" i="34"/>
  <c r="D10" i="34"/>
  <c r="D9" i="34"/>
  <c r="D8" i="34"/>
  <c r="D7" i="34"/>
  <c r="D4" i="34"/>
  <c r="BL52" i="6"/>
  <c r="BQ6" i="8" l="1"/>
  <c r="C175" i="40"/>
  <c r="H82" i="40"/>
  <c r="I82" i="40"/>
  <c r="D83" i="40" s="1"/>
  <c r="H113" i="40"/>
  <c r="I113" i="40"/>
  <c r="D114" i="40" s="1"/>
  <c r="D171" i="40"/>
  <c r="D175" i="40"/>
  <c r="H129" i="40"/>
  <c r="I129" i="40"/>
  <c r="H63" i="40"/>
  <c r="I63" i="40"/>
  <c r="D64" i="40" s="1"/>
  <c r="H20" i="40"/>
  <c r="I20" i="40"/>
  <c r="D21" i="40" s="1"/>
  <c r="H154" i="40"/>
  <c r="I154" i="40"/>
  <c r="D155" i="40" s="1"/>
  <c r="D162" i="40"/>
  <c r="D167" i="40" s="1"/>
  <c r="I41" i="40"/>
  <c r="D42" i="40" s="1"/>
  <c r="H41" i="40"/>
  <c r="BK249" i="6"/>
  <c r="BK248" i="6"/>
  <c r="BK162" i="6"/>
  <c r="BK163" i="6" s="1"/>
  <c r="BL85" i="6"/>
  <c r="BK74" i="6"/>
  <c r="BK138" i="6"/>
  <c r="BK128" i="6"/>
  <c r="H42" i="40" l="1"/>
  <c r="I42" i="40"/>
  <c r="D43" i="40" s="1"/>
  <c r="H155" i="40"/>
  <c r="I155" i="40"/>
  <c r="D156" i="40" s="1"/>
  <c r="I21" i="40"/>
  <c r="D22" i="40" s="1"/>
  <c r="H21" i="40"/>
  <c r="I64" i="40"/>
  <c r="D65" i="40" s="1"/>
  <c r="H64" i="40"/>
  <c r="D130" i="40"/>
  <c r="I114" i="40"/>
  <c r="D115" i="40" s="1"/>
  <c r="H114" i="40"/>
  <c r="I83" i="40"/>
  <c r="D84" i="40" s="1"/>
  <c r="H83" i="40"/>
  <c r="BK51" i="6"/>
  <c r="BJ51" i="6"/>
  <c r="I156" i="40" l="1"/>
  <c r="D157" i="40" s="1"/>
  <c r="H156" i="40"/>
  <c r="I43" i="40"/>
  <c r="D44" i="40" s="1"/>
  <c r="H43" i="40"/>
  <c r="H84" i="40"/>
  <c r="I84" i="40"/>
  <c r="D85" i="40" s="1"/>
  <c r="H115" i="40"/>
  <c r="I115" i="40"/>
  <c r="D116" i="40" s="1"/>
  <c r="I130" i="40"/>
  <c r="H130" i="40"/>
  <c r="H65" i="40"/>
  <c r="I65" i="40"/>
  <c r="D66" i="40" s="1"/>
  <c r="I22" i="40"/>
  <c r="D23" i="40" s="1"/>
  <c r="H22" i="40"/>
  <c r="G162" i="40"/>
  <c r="H11" i="37"/>
  <c r="I29" i="37"/>
  <c r="H29" i="37"/>
  <c r="P37" i="12"/>
  <c r="Q37" i="12" s="1"/>
  <c r="P38" i="12"/>
  <c r="Q38" i="12" s="1"/>
  <c r="P39" i="12"/>
  <c r="Q39" i="12" s="1"/>
  <c r="P40" i="12"/>
  <c r="Q40" i="12" s="1"/>
  <c r="P36" i="12"/>
  <c r="Q36" i="12" s="1"/>
  <c r="P41" i="12" l="1"/>
  <c r="G175" i="40"/>
  <c r="G167" i="40"/>
  <c r="G182" i="40"/>
  <c r="I23" i="40"/>
  <c r="D24" i="40" s="1"/>
  <c r="H23" i="40"/>
  <c r="D131" i="40"/>
  <c r="I66" i="40"/>
  <c r="D67" i="40" s="1"/>
  <c r="H66" i="40"/>
  <c r="I116" i="40"/>
  <c r="D117" i="40" s="1"/>
  <c r="H116" i="40"/>
  <c r="I85" i="40"/>
  <c r="D86" i="40" s="1"/>
  <c r="H85" i="40"/>
  <c r="H44" i="40"/>
  <c r="I44" i="40"/>
  <c r="D45" i="40" s="1"/>
  <c r="H157" i="40"/>
  <c r="I157" i="40"/>
  <c r="D158" i="40" s="1"/>
  <c r="Q41" i="12"/>
  <c r="Q42" i="12" l="1"/>
  <c r="H45" i="40"/>
  <c r="I45" i="40"/>
  <c r="D46" i="40" s="1"/>
  <c r="I158" i="40"/>
  <c r="H158" i="40"/>
  <c r="H86" i="40"/>
  <c r="I86" i="40"/>
  <c r="D87" i="40" s="1"/>
  <c r="H117" i="40"/>
  <c r="I117" i="40"/>
  <c r="D118" i="40" s="1"/>
  <c r="H67" i="40"/>
  <c r="I67" i="40"/>
  <c r="D68" i="40" s="1"/>
  <c r="H131" i="40"/>
  <c r="I131" i="40"/>
  <c r="I24" i="40"/>
  <c r="H24" i="40"/>
  <c r="I34" i="12"/>
  <c r="I29" i="25"/>
  <c r="H29" i="25"/>
  <c r="H31" i="25" s="1"/>
  <c r="G29" i="25"/>
  <c r="N9" i="39"/>
  <c r="I14" i="39"/>
  <c r="D36" i="39" s="1"/>
  <c r="U45" i="11"/>
  <c r="V45" i="11" s="1"/>
  <c r="W45" i="11" s="1"/>
  <c r="X45" i="11" s="1"/>
  <c r="Y45" i="11" s="1"/>
  <c r="Z45" i="11" s="1"/>
  <c r="AA45" i="11" s="1"/>
  <c r="AB45" i="11" s="1"/>
  <c r="AC45" i="11" s="1"/>
  <c r="AD45" i="11" s="1"/>
  <c r="B16" i="39"/>
  <c r="B14" i="39"/>
  <c r="N20" i="39"/>
  <c r="N21" i="39" s="1"/>
  <c r="U12" i="39"/>
  <c r="P12" i="39"/>
  <c r="O12" i="39"/>
  <c r="U11" i="39"/>
  <c r="P11" i="39"/>
  <c r="O11" i="39"/>
  <c r="U10" i="39"/>
  <c r="P10" i="39"/>
  <c r="P9" i="39"/>
  <c r="U8" i="39"/>
  <c r="P8" i="39"/>
  <c r="O8" i="39"/>
  <c r="BV48" i="8"/>
  <c r="BW48" i="8" s="1"/>
  <c r="BX48" i="8" s="1"/>
  <c r="BY48" i="8" s="1"/>
  <c r="BZ48" i="8" s="1"/>
  <c r="CA48" i="8" s="1"/>
  <c r="CB48" i="8" s="1"/>
  <c r="CC48" i="8" s="1"/>
  <c r="CD48" i="8" s="1"/>
  <c r="CE48" i="8" s="1"/>
  <c r="B5" i="25"/>
  <c r="B26" i="25" s="1"/>
  <c r="BS18" i="8" s="1"/>
  <c r="M3" i="25"/>
  <c r="BJ55" i="6"/>
  <c r="G31" i="25" l="1"/>
  <c r="D132" i="40"/>
  <c r="H68" i="40"/>
  <c r="I68" i="40"/>
  <c r="D69" i="40" s="1"/>
  <c r="I118" i="40"/>
  <c r="H118" i="40"/>
  <c r="I87" i="40"/>
  <c r="D88" i="40" s="1"/>
  <c r="H87" i="40"/>
  <c r="H46" i="40"/>
  <c r="I46" i="40"/>
  <c r="D47" i="40" s="1"/>
  <c r="J29" i="25"/>
  <c r="BJ246" i="6"/>
  <c r="BJ244" i="6" s="1"/>
  <c r="BM244" i="6" s="1"/>
  <c r="BO244" i="6" s="1"/>
  <c r="BD246" i="6"/>
  <c r="BD244" i="6" s="1"/>
  <c r="BI246" i="6"/>
  <c r="BJ249" i="6"/>
  <c r="BJ248" i="6"/>
  <c r="E61" i="36"/>
  <c r="E64" i="36"/>
  <c r="BJ162" i="6"/>
  <c r="BJ163" i="6" s="1"/>
  <c r="BI162" i="6"/>
  <c r="BG162" i="6"/>
  <c r="BF162" i="6"/>
  <c r="BJ158" i="6"/>
  <c r="BJ160" i="6" s="1"/>
  <c r="BG158" i="6"/>
  <c r="BG160" i="6" s="1"/>
  <c r="BF158" i="6"/>
  <c r="BF160" i="6" s="1"/>
  <c r="BI158" i="6"/>
  <c r="BI29" i="8"/>
  <c r="BI23" i="8"/>
  <c r="BI19" i="8"/>
  <c r="BI18" i="8"/>
  <c r="BI16" i="8"/>
  <c r="BH162" i="6" s="1"/>
  <c r="BH163" i="6" s="1"/>
  <c r="BI15" i="8"/>
  <c r="BH158" i="6" s="1"/>
  <c r="B197" i="31"/>
  <c r="E204" i="31"/>
  <c r="E205" i="31" s="1"/>
  <c r="E206" i="31" s="1"/>
  <c r="E207" i="31" s="1"/>
  <c r="B125" i="31"/>
  <c r="E132" i="31"/>
  <c r="E133" i="31" s="1"/>
  <c r="E134" i="31" s="1"/>
  <c r="E135" i="31" s="1"/>
  <c r="E136" i="31" s="1"/>
  <c r="E137" i="31" s="1"/>
  <c r="E138" i="31" s="1"/>
  <c r="E139" i="31" s="1"/>
  <c r="E140" i="31" s="1"/>
  <c r="E141" i="31" s="1"/>
  <c r="E142" i="31" s="1"/>
  <c r="B99" i="31"/>
  <c r="D102" i="31"/>
  <c r="B100" i="31"/>
  <c r="E102" i="31" s="1"/>
  <c r="E103" i="31" s="1"/>
  <c r="E104" i="31" s="1"/>
  <c r="E105" i="31" s="1"/>
  <c r="E106" i="31" s="1"/>
  <c r="E107" i="31" s="1"/>
  <c r="E108" i="31" s="1"/>
  <c r="E109" i="31" s="1"/>
  <c r="E110" i="31" s="1"/>
  <c r="E111" i="31" s="1"/>
  <c r="E112" i="31" s="1"/>
  <c r="E113" i="31" s="1"/>
  <c r="E114" i="31" s="1"/>
  <c r="E115" i="31" s="1"/>
  <c r="E116" i="31" s="1"/>
  <c r="E117" i="31" s="1"/>
  <c r="E118" i="31" s="1"/>
  <c r="E119" i="31" s="1"/>
  <c r="D44" i="31"/>
  <c r="B41" i="31"/>
  <c r="G44" i="31" s="1"/>
  <c r="H44" i="31" s="1"/>
  <c r="B19" i="31"/>
  <c r="E26" i="31"/>
  <c r="E27" i="31" s="1"/>
  <c r="E28" i="31" s="1"/>
  <c r="E29" i="31" s="1"/>
  <c r="E30" i="31" s="1"/>
  <c r="E31" i="31" s="1"/>
  <c r="E32" i="31" s="1"/>
  <c r="R31" i="7"/>
  <c r="R25" i="7"/>
  <c r="R21" i="7"/>
  <c r="R57" i="11"/>
  <c r="S84" i="11" s="1"/>
  <c r="R49" i="11"/>
  <c r="R34" i="11"/>
  <c r="BJ8" i="8"/>
  <c r="S8" i="13"/>
  <c r="BK7" i="8"/>
  <c r="BK29" i="8"/>
  <c r="BM128" i="6"/>
  <c r="BO128" i="6" s="1"/>
  <c r="BM124" i="6"/>
  <c r="BO124" i="6" s="1"/>
  <c r="BJ107" i="6"/>
  <c r="BE107" i="6"/>
  <c r="BD107" i="6"/>
  <c r="BJ97" i="6"/>
  <c r="BJ99" i="6" s="1"/>
  <c r="BK99" i="6" s="1"/>
  <c r="BI97" i="6"/>
  <c r="BI99" i="6" s="1"/>
  <c r="BG97" i="6"/>
  <c r="BG99" i="6" s="1"/>
  <c r="BF97" i="6"/>
  <c r="BF99" i="6" s="1"/>
  <c r="BE97" i="6"/>
  <c r="BE99" i="6" s="1"/>
  <c r="BJ74" i="6"/>
  <c r="BJ75" i="6" s="1"/>
  <c r="BM75" i="6" s="1"/>
  <c r="BO75" i="6" s="1"/>
  <c r="BI74" i="6"/>
  <c r="BG74" i="6"/>
  <c r="BF74" i="6"/>
  <c r="BE74" i="6"/>
  <c r="BE75" i="6" s="1"/>
  <c r="BJ70" i="6"/>
  <c r="BE70" i="6"/>
  <c r="BJ138" i="6"/>
  <c r="BH127" i="6"/>
  <c r="BH125" i="6"/>
  <c r="BH124" i="6"/>
  <c r="BH123" i="6"/>
  <c r="BH122" i="6"/>
  <c r="BH121" i="6"/>
  <c r="BH74" i="6" s="1"/>
  <c r="BH120" i="6"/>
  <c r="BH97" i="6" s="1"/>
  <c r="BH99" i="6" s="1"/>
  <c r="BH119" i="6"/>
  <c r="BJ128" i="6"/>
  <c r="BI128" i="6"/>
  <c r="BJ12" i="8"/>
  <c r="B7" i="39" s="1"/>
  <c r="BN7" i="6"/>
  <c r="D58" i="36"/>
  <c r="O22" i="35"/>
  <c r="B21" i="25"/>
  <c r="BN4" i="8"/>
  <c r="BM4" i="8"/>
  <c r="BL10" i="8"/>
  <c r="BL4" i="8"/>
  <c r="BK10" i="8"/>
  <c r="BK4" i="8"/>
  <c r="BF4" i="8"/>
  <c r="BG4" i="8"/>
  <c r="BH4" i="8"/>
  <c r="BI4" i="8"/>
  <c r="BF10" i="8"/>
  <c r="BF9" i="8"/>
  <c r="BM125" i="6"/>
  <c r="BO125" i="6" s="1"/>
  <c r="BM138" i="6"/>
  <c r="BO136" i="6" s="1"/>
  <c r="BO138" i="6" s="1"/>
  <c r="BM85" i="6"/>
  <c r="BM83" i="6"/>
  <c r="BM37" i="6"/>
  <c r="BL83" i="6"/>
  <c r="BM126" i="6"/>
  <c r="BO126" i="6" s="1"/>
  <c r="BM120" i="6"/>
  <c r="BO120" i="6" s="1"/>
  <c r="BK85" i="6"/>
  <c r="BK83" i="6"/>
  <c r="BK54" i="6"/>
  <c r="BK45" i="6"/>
  <c r="BL11" i="8" s="1"/>
  <c r="BK32" i="6"/>
  <c r="BK30" i="6"/>
  <c r="BJ131" i="6"/>
  <c r="BK131" i="6" s="1"/>
  <c r="BL131" i="6" s="1"/>
  <c r="BM131" i="6" s="1"/>
  <c r="BM133" i="6" s="1"/>
  <c r="BO131" i="6" s="1"/>
  <c r="BO133" i="6" s="1"/>
  <c r="BJ103" i="6"/>
  <c r="BK103" i="6" s="1"/>
  <c r="BL103" i="6" s="1"/>
  <c r="BM103" i="6" s="1"/>
  <c r="BJ85" i="6"/>
  <c r="BJ57" i="6"/>
  <c r="BK57" i="6" s="1"/>
  <c r="BJ54" i="6"/>
  <c r="BJ56" i="6" s="1"/>
  <c r="BK56" i="6" s="1"/>
  <c r="BL56" i="6" s="1"/>
  <c r="BM56" i="6" s="1"/>
  <c r="BJ45" i="6"/>
  <c r="BK11" i="8" s="1"/>
  <c r="BJ37" i="6"/>
  <c r="BJ36" i="6"/>
  <c r="BO39" i="6"/>
  <c r="F28" i="36"/>
  <c r="E40" i="36"/>
  <c r="E27" i="36"/>
  <c r="BO246" i="6" l="1"/>
  <c r="BQ244" i="6"/>
  <c r="BQ246" i="6" s="1"/>
  <c r="BO74" i="6"/>
  <c r="BO121" i="6" s="1"/>
  <c r="BO146" i="6" s="1"/>
  <c r="BQ75" i="6"/>
  <c r="BQ74" i="6" s="1"/>
  <c r="BQ121" i="6" s="1"/>
  <c r="BQ146" i="6" s="1"/>
  <c r="BN56" i="6"/>
  <c r="BO56" i="6"/>
  <c r="BO29" i="8"/>
  <c r="BO63" i="8" s="1"/>
  <c r="BN29" i="8"/>
  <c r="J129" i="40"/>
  <c r="J130" i="40"/>
  <c r="L129" i="40"/>
  <c r="K129" i="40"/>
  <c r="K130" i="40"/>
  <c r="L130" i="40"/>
  <c r="H47" i="40"/>
  <c r="I47" i="40"/>
  <c r="D48" i="40" s="1"/>
  <c r="I69" i="40"/>
  <c r="H69" i="40"/>
  <c r="H88" i="40"/>
  <c r="I88" i="40"/>
  <c r="D89" i="40" s="1"/>
  <c r="I132" i="40"/>
  <c r="H132" i="40"/>
  <c r="BK154" i="6"/>
  <c r="BK155" i="6" s="1"/>
  <c r="D20" i="34"/>
  <c r="D14" i="34"/>
  <c r="BL47" i="8"/>
  <c r="F9" i="34"/>
  <c r="C9" i="34"/>
  <c r="F7" i="34"/>
  <c r="C7" i="34"/>
  <c r="BL6" i="8"/>
  <c r="BL57" i="6"/>
  <c r="BL9" i="8"/>
  <c r="BK9" i="8"/>
  <c r="BI160" i="6"/>
  <c r="BK26" i="6"/>
  <c r="G46" i="31"/>
  <c r="BJ154" i="6"/>
  <c r="BJ155" i="6" s="1"/>
  <c r="BJ59" i="6"/>
  <c r="BN158" i="6"/>
  <c r="G45" i="31"/>
  <c r="I102" i="31"/>
  <c r="D103" i="31" s="1"/>
  <c r="BK97" i="6"/>
  <c r="BL99" i="6"/>
  <c r="BK6" i="8"/>
  <c r="BM36" i="6"/>
  <c r="BM32" i="6"/>
  <c r="BL46" i="6"/>
  <c r="BK55" i="6"/>
  <c r="BK59" i="6" s="1"/>
  <c r="BK29" i="6"/>
  <c r="BK31" i="6"/>
  <c r="BJ60" i="6"/>
  <c r="BJ102" i="6"/>
  <c r="F51" i="36"/>
  <c r="E58" i="36" s="1"/>
  <c r="F58" i="36" s="1"/>
  <c r="Q64" i="11"/>
  <c r="P64" i="11"/>
  <c r="O64" i="11"/>
  <c r="N64" i="11"/>
  <c r="BO55" i="6" l="1"/>
  <c r="BQ56" i="6"/>
  <c r="BQ55" i="6" s="1"/>
  <c r="BK5" i="8"/>
  <c r="BO35" i="6"/>
  <c r="BO42" i="6"/>
  <c r="BO29" i="6"/>
  <c r="BQ7" i="8"/>
  <c r="BQ8" i="8" s="1"/>
  <c r="BK70" i="6"/>
  <c r="BK244" i="6"/>
  <c r="D133" i="40"/>
  <c r="I89" i="40"/>
  <c r="D90" i="40" s="1"/>
  <c r="H89" i="40"/>
  <c r="H48" i="40"/>
  <c r="I48" i="40"/>
  <c r="BK23" i="6"/>
  <c r="BK75" i="6"/>
  <c r="BK25" i="6"/>
  <c r="BK102" i="6"/>
  <c r="BM57" i="6"/>
  <c r="BK8" i="8"/>
  <c r="I103" i="31"/>
  <c r="D104" i="31" s="1"/>
  <c r="BK60" i="6"/>
  <c r="BL7" i="8"/>
  <c r="BL97" i="6"/>
  <c r="BM99" i="6"/>
  <c r="BM154" i="6"/>
  <c r="BM155" i="6" s="1"/>
  <c r="BM26" i="6"/>
  <c r="BM246" i="6" s="1"/>
  <c r="BK50" i="8"/>
  <c r="BK56" i="8"/>
  <c r="BL54" i="6"/>
  <c r="BM54" i="6"/>
  <c r="BM46" i="6"/>
  <c r="BL45" i="6"/>
  <c r="BJ23" i="6"/>
  <c r="BJ87" i="6"/>
  <c r="BJ88" i="6" s="1"/>
  <c r="BK87" i="6"/>
  <c r="BK88" i="6" s="1"/>
  <c r="BK22" i="6"/>
  <c r="H20" i="25"/>
  <c r="S67" i="11"/>
  <c r="T67" i="11" s="1"/>
  <c r="S1" i="13"/>
  <c r="AJ4" i="28"/>
  <c r="BG138" i="6"/>
  <c r="BG128" i="6"/>
  <c r="F32" i="12"/>
  <c r="BS7" i="8" l="1"/>
  <c r="BS8" i="8" s="1"/>
  <c r="BM45" i="6"/>
  <c r="BN11" i="8" s="1"/>
  <c r="BO46" i="6"/>
  <c r="BO45" i="6" s="1"/>
  <c r="BM97" i="6"/>
  <c r="BO99" i="6"/>
  <c r="BO57" i="6"/>
  <c r="BN9" i="8"/>
  <c r="U67" i="11"/>
  <c r="V67" i="11" s="1"/>
  <c r="W67" i="11" s="1"/>
  <c r="X67" i="11" s="1"/>
  <c r="Y67" i="11" s="1"/>
  <c r="Z67" i="11" s="1"/>
  <c r="AA67" i="11" s="1"/>
  <c r="AB67" i="11" s="1"/>
  <c r="AC67" i="11" s="1"/>
  <c r="AD67" i="11" s="1"/>
  <c r="H133" i="40"/>
  <c r="I133" i="40"/>
  <c r="H90" i="40"/>
  <c r="I90" i="40"/>
  <c r="D91" i="40" s="1"/>
  <c r="BL5" i="8"/>
  <c r="I104" i="31"/>
  <c r="D105" i="31" s="1"/>
  <c r="BL8" i="8"/>
  <c r="BK53" i="8"/>
  <c r="BM55" i="6"/>
  <c r="BN7" i="8" s="1"/>
  <c r="BL55" i="6"/>
  <c r="BJ22" i="6"/>
  <c r="BM74" i="6"/>
  <c r="BM121" i="6" s="1"/>
  <c r="BM23" i="6"/>
  <c r="BM102" i="6"/>
  <c r="BM25" i="6"/>
  <c r="BJ89" i="6"/>
  <c r="BK89" i="6"/>
  <c r="BK118" i="6"/>
  <c r="C39" i="38"/>
  <c r="BO97" i="6" l="1"/>
  <c r="BQ99" i="6"/>
  <c r="BQ97" i="6" s="1"/>
  <c r="BQ11" i="8"/>
  <c r="BO47" i="6"/>
  <c r="BQ9" i="8"/>
  <c r="BO59" i="6"/>
  <c r="BO60" i="6" s="1"/>
  <c r="I91" i="40"/>
  <c r="D92" i="40" s="1"/>
  <c r="H91" i="40"/>
  <c r="D134" i="40"/>
  <c r="I105" i="31"/>
  <c r="D106" i="31" s="1"/>
  <c r="BK158" i="6"/>
  <c r="BL53" i="8" s="1"/>
  <c r="BL56" i="8"/>
  <c r="BL50" i="8"/>
  <c r="BL59" i="6"/>
  <c r="BL60" i="6" s="1"/>
  <c r="BM59" i="6"/>
  <c r="BM60" i="6" s="1"/>
  <c r="BM87" i="6"/>
  <c r="BM88" i="6" s="1"/>
  <c r="BM122" i="6" s="1"/>
  <c r="BM22" i="6"/>
  <c r="BS52" i="6"/>
  <c r="BT52" i="6" s="1"/>
  <c r="BU52" i="6" s="1"/>
  <c r="BV52" i="6" s="1"/>
  <c r="BW52" i="6" s="1"/>
  <c r="BX52" i="6" s="1"/>
  <c r="BY52" i="6" s="1"/>
  <c r="BZ52" i="6" s="1"/>
  <c r="CA52" i="6" s="1"/>
  <c r="CB52" i="6" s="1"/>
  <c r="AB119" i="28"/>
  <c r="AA119" i="28"/>
  <c r="Z119" i="28"/>
  <c r="Y119" i="28"/>
  <c r="X119" i="28"/>
  <c r="AE6" i="28"/>
  <c r="BQ12" i="8" l="1"/>
  <c r="BO248" i="6"/>
  <c r="BQ19" i="8" s="1"/>
  <c r="C37" i="34"/>
  <c r="BQ56" i="8"/>
  <c r="BQ59" i="8"/>
  <c r="BQ50" i="8"/>
  <c r="BQ53" i="8"/>
  <c r="BQ60" i="8"/>
  <c r="I134" i="40"/>
  <c r="H134" i="40"/>
  <c r="H92" i="40"/>
  <c r="I92" i="40"/>
  <c r="D93" i="40" s="1"/>
  <c r="I106" i="31"/>
  <c r="D107" i="31" s="1"/>
  <c r="BM89" i="6"/>
  <c r="C32" i="38"/>
  <c r="C31" i="38"/>
  <c r="K25" i="38"/>
  <c r="K24" i="38"/>
  <c r="E37" i="34" l="1"/>
  <c r="G37" i="34"/>
  <c r="C41" i="34"/>
  <c r="BQ61" i="8"/>
  <c r="I93" i="40"/>
  <c r="D94" i="40" s="1"/>
  <c r="H93" i="40"/>
  <c r="D135" i="40"/>
  <c r="I107" i="31"/>
  <c r="D108" i="31" s="1"/>
  <c r="M28" i="12"/>
  <c r="M26" i="12"/>
  <c r="P11" i="12"/>
  <c r="R103" i="11"/>
  <c r="Q103" i="11"/>
  <c r="Q97" i="11"/>
  <c r="F5" i="25"/>
  <c r="R30" i="28"/>
  <c r="S30" i="28"/>
  <c r="T30" i="28"/>
  <c r="R34" i="28"/>
  <c r="S34" i="28"/>
  <c r="T34" i="28"/>
  <c r="R41" i="28"/>
  <c r="S41" i="28"/>
  <c r="T41" i="28"/>
  <c r="R48" i="28"/>
  <c r="S48" i="28"/>
  <c r="T48" i="28"/>
  <c r="R49" i="28"/>
  <c r="S49" i="28"/>
  <c r="T49" i="28"/>
  <c r="R50" i="28"/>
  <c r="S50" i="28"/>
  <c r="T50" i="28"/>
  <c r="R54" i="28"/>
  <c r="S54" i="28"/>
  <c r="T54" i="28"/>
  <c r="R55" i="28"/>
  <c r="S55" i="28"/>
  <c r="T55" i="28"/>
  <c r="R65" i="28"/>
  <c r="S65" i="28"/>
  <c r="T65" i="28"/>
  <c r="E41" i="34" l="1"/>
  <c r="G41" i="34"/>
  <c r="H135" i="40"/>
  <c r="I135" i="40"/>
  <c r="H94" i="40"/>
  <c r="I94" i="40"/>
  <c r="D95" i="40" s="1"/>
  <c r="I108" i="31"/>
  <c r="D109" i="31" s="1"/>
  <c r="S103" i="11"/>
  <c r="BT62" i="6"/>
  <c r="BU62" i="6" s="1"/>
  <c r="BV62" i="6" s="1"/>
  <c r="BW62" i="6" s="1"/>
  <c r="BX62" i="6" s="1"/>
  <c r="BY62" i="6" s="1"/>
  <c r="BZ62" i="6" s="1"/>
  <c r="CA62" i="6" s="1"/>
  <c r="CB62" i="6" s="1"/>
  <c r="I95" i="40" l="1"/>
  <c r="H95" i="40"/>
  <c r="D136" i="40"/>
  <c r="I109" i="31"/>
  <c r="D110" i="31" s="1"/>
  <c r="L16" i="37"/>
  <c r="M15" i="37"/>
  <c r="M14" i="37"/>
  <c r="M13" i="37"/>
  <c r="M12" i="37"/>
  <c r="I136" i="40" l="1"/>
  <c r="H136" i="40"/>
  <c r="I110" i="31"/>
  <c r="D111" i="31" s="1"/>
  <c r="M11" i="37"/>
  <c r="I111" i="31" l="1"/>
  <c r="D112" i="31" s="1"/>
  <c r="B17" i="25"/>
  <c r="B18" i="25" s="1"/>
  <c r="BF34" i="8"/>
  <c r="BF35" i="8" s="1"/>
  <c r="BG34" i="8"/>
  <c r="BG35" i="8" s="1"/>
  <c r="BE138" i="6"/>
  <c r="BE126" i="6"/>
  <c r="BF138" i="6"/>
  <c r="BF126" i="6"/>
  <c r="BF128" i="6" s="1"/>
  <c r="BF34" i="6"/>
  <c r="BF33" i="6"/>
  <c r="BF26" i="6"/>
  <c r="BF25" i="6"/>
  <c r="B16" i="25"/>
  <c r="E25" i="25" s="1"/>
  <c r="BG34" i="6" l="1"/>
  <c r="BK43" i="6"/>
  <c r="BK37" i="6"/>
  <c r="BF163" i="6"/>
  <c r="BG33" i="6"/>
  <c r="BK42" i="6"/>
  <c r="BK36" i="6"/>
  <c r="BE128" i="6"/>
  <c r="BH128" i="6" s="1"/>
  <c r="BH126" i="6"/>
  <c r="BF70" i="6"/>
  <c r="BF107" i="6"/>
  <c r="BF75" i="6"/>
  <c r="I112" i="31"/>
  <c r="D113" i="31" s="1"/>
  <c r="BH34" i="8"/>
  <c r="BL32" i="6" l="1"/>
  <c r="BM30" i="6"/>
  <c r="BL36" i="6"/>
  <c r="BL30" i="6"/>
  <c r="BM10" i="8"/>
  <c r="BN33" i="6"/>
  <c r="BM9" i="8"/>
  <c r="BM6" i="8"/>
  <c r="BM7" i="8"/>
  <c r="BG163" i="6"/>
  <c r="I113" i="31"/>
  <c r="D114" i="31" s="1"/>
  <c r="AH12" i="28"/>
  <c r="N12" i="28"/>
  <c r="O10" i="28"/>
  <c r="O12" i="28"/>
  <c r="Q22" i="28"/>
  <c r="P22" i="28"/>
  <c r="AG18" i="28"/>
  <c r="AI15" i="28"/>
  <c r="AI18" i="28" s="1"/>
  <c r="AH15" i="28"/>
  <c r="AH18" i="28" s="1"/>
  <c r="AG12" i="28"/>
  <c r="AG11" i="28"/>
  <c r="C20" i="34" l="1"/>
  <c r="C14" i="34"/>
  <c r="E14" i="34" s="1"/>
  <c r="F20" i="34"/>
  <c r="F14" i="34"/>
  <c r="BL154" i="6"/>
  <c r="BL155" i="6" s="1"/>
  <c r="BL26" i="6"/>
  <c r="BL29" i="6"/>
  <c r="BM29" i="6"/>
  <c r="BL37" i="6"/>
  <c r="BN34" i="6"/>
  <c r="BM31" i="6"/>
  <c r="BL31" i="6"/>
  <c r="BM11" i="8"/>
  <c r="BM8" i="8"/>
  <c r="I114" i="31"/>
  <c r="D115" i="31" s="1"/>
  <c r="Y123" i="28"/>
  <c r="AN13" i="28"/>
  <c r="X123" i="28"/>
  <c r="AM13" i="28"/>
  <c r="AI38" i="28"/>
  <c r="D28" i="38"/>
  <c r="AJ38" i="28"/>
  <c r="E28" i="38"/>
  <c r="C34" i="12"/>
  <c r="M27" i="12" s="1"/>
  <c r="M29" i="12" s="1"/>
  <c r="BL70" i="6" l="1"/>
  <c r="BL75" i="6"/>
  <c r="BL244" i="6"/>
  <c r="BM5" i="8"/>
  <c r="BL23" i="6"/>
  <c r="BL25" i="6"/>
  <c r="BL102" i="6"/>
  <c r="I115" i="31"/>
  <c r="D116" i="31" s="1"/>
  <c r="BP46" i="8"/>
  <c r="C4" i="34" l="1"/>
  <c r="F4" i="34"/>
  <c r="BL248" i="6"/>
  <c r="BM56" i="8"/>
  <c r="BL158" i="6"/>
  <c r="BM53" i="8" s="1"/>
  <c r="BM59" i="8"/>
  <c r="BM50" i="8"/>
  <c r="BL22" i="6"/>
  <c r="BL87" i="6"/>
  <c r="BL88" i="6" s="1"/>
  <c r="I116" i="31"/>
  <c r="D117" i="31" s="1"/>
  <c r="Q65" i="28"/>
  <c r="Q55" i="28"/>
  <c r="Q54" i="28"/>
  <c r="Q50" i="28"/>
  <c r="Q49" i="28"/>
  <c r="Q48" i="28"/>
  <c r="Q41" i="28"/>
  <c r="Q34" i="28"/>
  <c r="Q30" i="28"/>
  <c r="P65" i="28"/>
  <c r="P55" i="28"/>
  <c r="P54" i="28"/>
  <c r="P50" i="28"/>
  <c r="P49" i="28"/>
  <c r="P48" i="28"/>
  <c r="P41" i="28"/>
  <c r="P34" i="28"/>
  <c r="P30" i="28"/>
  <c r="Z85" i="37"/>
  <c r="Z73" i="37"/>
  <c r="Y73" i="37"/>
  <c r="W73" i="37"/>
  <c r="V73" i="37"/>
  <c r="Z70" i="37"/>
  <c r="Y70" i="37"/>
  <c r="W70" i="37"/>
  <c r="V70" i="37"/>
  <c r="Z69" i="37"/>
  <c r="Y69" i="37"/>
  <c r="W69" i="37"/>
  <c r="V69" i="37"/>
  <c r="AG68" i="37"/>
  <c r="Z68" i="37"/>
  <c r="Y68" i="37"/>
  <c r="W68" i="37"/>
  <c r="V68" i="37"/>
  <c r="AG67" i="37"/>
  <c r="Z67" i="37"/>
  <c r="Y67" i="37"/>
  <c r="W67" i="37"/>
  <c r="V67" i="37"/>
  <c r="AG66" i="37"/>
  <c r="Z66" i="37"/>
  <c r="Y66" i="37"/>
  <c r="W66" i="37"/>
  <c r="V66" i="37"/>
  <c r="Z65" i="37"/>
  <c r="Y65" i="37"/>
  <c r="W65" i="37"/>
  <c r="V65" i="37"/>
  <c r="Z64" i="37"/>
  <c r="Y64" i="37"/>
  <c r="W64" i="37"/>
  <c r="V64" i="37"/>
  <c r="Z63" i="37"/>
  <c r="Y63" i="37"/>
  <c r="W63" i="37"/>
  <c r="V63" i="37"/>
  <c r="Z62" i="37"/>
  <c r="Y62" i="37"/>
  <c r="W62" i="37"/>
  <c r="V62" i="37"/>
  <c r="Z61" i="37"/>
  <c r="Y61" i="37"/>
  <c r="W61" i="37"/>
  <c r="V61" i="37"/>
  <c r="V76" i="37" s="1"/>
  <c r="AF60" i="37"/>
  <c r="AE60" i="37"/>
  <c r="AE61" i="37" s="1"/>
  <c r="AH57" i="37"/>
  <c r="AH58" i="37" s="1"/>
  <c r="J42" i="37"/>
  <c r="J34" i="37"/>
  <c r="I30" i="37"/>
  <c r="H30" i="37"/>
  <c r="G30" i="37"/>
  <c r="J15" i="37"/>
  <c r="C8" i="37"/>
  <c r="J6" i="37"/>
  <c r="BL118" i="6" l="1"/>
  <c r="BL89" i="6"/>
  <c r="BM118" i="6"/>
  <c r="Y75" i="37"/>
  <c r="I117" i="31"/>
  <c r="D118" i="31" s="1"/>
  <c r="W75" i="37"/>
  <c r="Z75" i="37"/>
  <c r="X67" i="37"/>
  <c r="AA67" i="37"/>
  <c r="AG69" i="37"/>
  <c r="X69" i="37"/>
  <c r="AB69" i="37"/>
  <c r="X73" i="37"/>
  <c r="AA73" i="37"/>
  <c r="X63" i="37"/>
  <c r="AA63" i="37"/>
  <c r="X64" i="37"/>
  <c r="W76" i="37"/>
  <c r="X62" i="37"/>
  <c r="AA62" i="37"/>
  <c r="AA64" i="37"/>
  <c r="X65" i="37"/>
  <c r="AA65" i="37"/>
  <c r="X66" i="37"/>
  <c r="AA66" i="37"/>
  <c r="X68" i="37"/>
  <c r="AB68" i="37"/>
  <c r="AH59" i="37"/>
  <c r="AH60" i="37" s="1"/>
  <c r="X61" i="37"/>
  <c r="V75" i="37"/>
  <c r="J12" i="37"/>
  <c r="AA61" i="37"/>
  <c r="AA75" i="37" l="1"/>
  <c r="I118" i="31"/>
  <c r="D119" i="31" s="1"/>
  <c r="X75" i="37"/>
  <c r="AH64" i="37"/>
  <c r="AH61" i="37"/>
  <c r="AH62" i="37" s="1"/>
  <c r="I119" i="31" l="1"/>
  <c r="N234" i="31"/>
  <c r="N235" i="31" s="1"/>
  <c r="L235" i="31"/>
  <c r="E15" i="36"/>
  <c r="R22" i="28" l="1"/>
  <c r="Z123" i="28" s="1"/>
  <c r="AJ15" i="28"/>
  <c r="AJ18" i="28" s="1"/>
  <c r="BE1" i="8"/>
  <c r="E52" i="36"/>
  <c r="L21" i="35"/>
  <c r="BN72" i="6"/>
  <c r="BR72" i="6" s="1"/>
  <c r="BS72" i="6" s="1"/>
  <c r="BT72" i="6" s="1"/>
  <c r="BU72" i="6" s="1"/>
  <c r="BV72" i="6" s="1"/>
  <c r="BW72" i="6" s="1"/>
  <c r="BX72" i="6" s="1"/>
  <c r="BY72" i="6" s="1"/>
  <c r="BZ72" i="6" s="1"/>
  <c r="CA72" i="6" s="1"/>
  <c r="CB72" i="6" s="1"/>
  <c r="E10" i="36"/>
  <c r="F28" i="38" l="1"/>
  <c r="AK38" i="28"/>
  <c r="AO13" i="28"/>
  <c r="S22" i="28"/>
  <c r="AP13" i="28" s="1"/>
  <c r="D51" i="36"/>
  <c r="D40" i="36"/>
  <c r="D32" i="36"/>
  <c r="D28" i="36"/>
  <c r="D22" i="36"/>
  <c r="D15" i="36"/>
  <c r="D17" i="36" s="1"/>
  <c r="D10" i="36"/>
  <c r="N23" i="35"/>
  <c r="D39" i="36" l="1"/>
  <c r="D41" i="36" s="1"/>
  <c r="G28" i="38"/>
  <c r="AA123" i="28"/>
  <c r="BZ36" i="8"/>
  <c r="CA36" i="8" s="1"/>
  <c r="CB36" i="8" s="1"/>
  <c r="CC36" i="8" s="1"/>
  <c r="CD36" i="8" s="1"/>
  <c r="CE36" i="8" s="1"/>
  <c r="T22" i="28"/>
  <c r="AQ13" i="28" s="1"/>
  <c r="O23" i="35"/>
  <c r="P23" i="35" s="1"/>
  <c r="Q23" i="35" s="1"/>
  <c r="R23" i="35" s="1"/>
  <c r="S23" i="35" s="1"/>
  <c r="T23" i="35" s="1"/>
  <c r="U23" i="35" s="1"/>
  <c r="V23" i="35" s="1"/>
  <c r="W23" i="35" s="1"/>
  <c r="X23" i="35" s="1"/>
  <c r="BD118" i="6"/>
  <c r="G21" i="36"/>
  <c r="H21" i="36" l="1"/>
  <c r="H28" i="38"/>
  <c r="AB123" i="28"/>
  <c r="R13" i="35"/>
  <c r="S13" i="35" s="1"/>
  <c r="T13" i="35" s="1"/>
  <c r="U13" i="35" s="1"/>
  <c r="V13" i="35" s="1"/>
  <c r="W13" i="35" s="1"/>
  <c r="X13" i="35" s="1"/>
  <c r="R5" i="13"/>
  <c r="O4" i="25"/>
  <c r="P4" i="25" s="1"/>
  <c r="P10" i="25" s="1"/>
  <c r="M6" i="25"/>
  <c r="N6" i="25" s="1"/>
  <c r="O6" i="25" s="1"/>
  <c r="L5" i="25"/>
  <c r="M5" i="25" s="1"/>
  <c r="N5" i="25" s="1"/>
  <c r="O5" i="25" s="1"/>
  <c r="N3" i="25"/>
  <c r="O3" i="25" s="1"/>
  <c r="I21" i="36" l="1"/>
  <c r="I22" i="36" s="1"/>
  <c r="P3" i="25"/>
  <c r="P9" i="25" s="1"/>
  <c r="O9" i="25"/>
  <c r="P6" i="25"/>
  <c r="Q6" i="25" s="1"/>
  <c r="P5" i="25"/>
  <c r="P11" i="25" s="1"/>
  <c r="O11" i="25"/>
  <c r="O10" i="25"/>
  <c r="P12" i="28"/>
  <c r="AH11" i="28"/>
  <c r="Q3" i="25"/>
  <c r="Q4" i="25"/>
  <c r="E51" i="36"/>
  <c r="H52" i="36"/>
  <c r="I52" i="36" s="1"/>
  <c r="J52" i="36" s="1"/>
  <c r="K52" i="36" s="1"/>
  <c r="L52" i="36" s="1"/>
  <c r="M52" i="36" s="1"/>
  <c r="N52" i="36" s="1"/>
  <c r="O52" i="36" s="1"/>
  <c r="P52" i="36" s="1"/>
  <c r="Q52" i="36" s="1"/>
  <c r="G50" i="36"/>
  <c r="G49" i="36"/>
  <c r="H49" i="36" s="1"/>
  <c r="I49" i="36" s="1"/>
  <c r="J49" i="36" s="1"/>
  <c r="K49" i="36" s="1"/>
  <c r="L49" i="36" s="1"/>
  <c r="M49" i="36" s="1"/>
  <c r="N49" i="36" s="1"/>
  <c r="O49" i="36" s="1"/>
  <c r="P49" i="36" s="1"/>
  <c r="Q49" i="36" s="1"/>
  <c r="H22" i="36"/>
  <c r="G22" i="36"/>
  <c r="F22" i="36"/>
  <c r="E22" i="36"/>
  <c r="BN86" i="6"/>
  <c r="BR86" i="6" s="1"/>
  <c r="BS86" i="6" s="1"/>
  <c r="BT86" i="6" s="1"/>
  <c r="BU86" i="6" s="1"/>
  <c r="BV86" i="6" s="1"/>
  <c r="BW86" i="6" s="1"/>
  <c r="BX86" i="6" s="1"/>
  <c r="BY86" i="6" s="1"/>
  <c r="BZ86" i="6" s="1"/>
  <c r="CA86" i="6" s="1"/>
  <c r="CB86" i="6" s="1"/>
  <c r="Q5" i="25" l="1"/>
  <c r="R5" i="25" s="1"/>
  <c r="J21" i="36"/>
  <c r="R6" i="25"/>
  <c r="Q10" i="25"/>
  <c r="R4" i="25"/>
  <c r="Q9" i="25"/>
  <c r="R3" i="25"/>
  <c r="G51" i="36"/>
  <c r="H50" i="36"/>
  <c r="Q11" i="25" l="1"/>
  <c r="K21" i="36"/>
  <c r="J22" i="36"/>
  <c r="R9" i="25"/>
  <c r="S3" i="25"/>
  <c r="R11" i="25"/>
  <c r="S5" i="25"/>
  <c r="R10" i="25"/>
  <c r="S4" i="25"/>
  <c r="S6" i="25"/>
  <c r="H51" i="36"/>
  <c r="I50" i="36"/>
  <c r="L21" i="36" l="1"/>
  <c r="K22" i="36"/>
  <c r="T6" i="25"/>
  <c r="T4" i="25"/>
  <c r="S10" i="25"/>
  <c r="S11" i="25"/>
  <c r="T5" i="25"/>
  <c r="S9" i="25"/>
  <c r="T3" i="25"/>
  <c r="J50" i="36"/>
  <c r="I51" i="36"/>
  <c r="M21" i="36" l="1"/>
  <c r="L22" i="36"/>
  <c r="U3" i="25"/>
  <c r="T9" i="25"/>
  <c r="U5" i="25"/>
  <c r="T11" i="25"/>
  <c r="U4" i="25"/>
  <c r="T10" i="25"/>
  <c r="U6" i="25"/>
  <c r="J51" i="36"/>
  <c r="K50" i="36"/>
  <c r="N21" i="36" l="1"/>
  <c r="M22" i="36"/>
  <c r="V5" i="25"/>
  <c r="V11" i="25" s="1"/>
  <c r="U11" i="25"/>
  <c r="V3" i="25"/>
  <c r="V9" i="25" s="1"/>
  <c r="U9" i="25"/>
  <c r="V6" i="25"/>
  <c r="V4" i="25"/>
  <c r="V10" i="25" s="1"/>
  <c r="U10" i="25"/>
  <c r="K51" i="36"/>
  <c r="L50" i="36"/>
  <c r="O21" i="36" l="1"/>
  <c r="N22" i="36"/>
  <c r="L51" i="36"/>
  <c r="M50" i="36"/>
  <c r="P21" i="36" l="1"/>
  <c r="O22" i="36"/>
  <c r="M51" i="36"/>
  <c r="N50" i="36"/>
  <c r="Q21" i="36" l="1"/>
  <c r="P22" i="36"/>
  <c r="N51" i="36"/>
  <c r="O50" i="36"/>
  <c r="F31" i="36"/>
  <c r="G31" i="36" s="1"/>
  <c r="H31" i="36" s="1"/>
  <c r="I31" i="36" s="1"/>
  <c r="J31" i="36" s="1"/>
  <c r="K31" i="36" s="1"/>
  <c r="L31" i="36" s="1"/>
  <c r="M31" i="36" s="1"/>
  <c r="N31" i="36" s="1"/>
  <c r="O31" i="36" s="1"/>
  <c r="P31" i="36" s="1"/>
  <c r="Q31" i="36" s="1"/>
  <c r="E138" i="36"/>
  <c r="E160" i="36"/>
  <c r="E157" i="36"/>
  <c r="E147" i="36"/>
  <c r="E134" i="36"/>
  <c r="E135" i="36" s="1"/>
  <c r="E136" i="36" s="1"/>
  <c r="E124" i="36"/>
  <c r="E125" i="36" s="1"/>
  <c r="E126" i="36" s="1"/>
  <c r="F123" i="36"/>
  <c r="F124" i="36" s="1"/>
  <c r="F125" i="36" s="1"/>
  <c r="F126" i="36" s="1"/>
  <c r="Q120" i="36"/>
  <c r="P120" i="36"/>
  <c r="O120" i="36"/>
  <c r="N120" i="36"/>
  <c r="M120" i="36"/>
  <c r="L120" i="36"/>
  <c r="K120" i="36"/>
  <c r="J120" i="36"/>
  <c r="I120" i="36"/>
  <c r="H120" i="36"/>
  <c r="G120" i="36"/>
  <c r="F120" i="36"/>
  <c r="E120" i="36"/>
  <c r="D120" i="36"/>
  <c r="E117" i="36"/>
  <c r="F117" i="36" s="1"/>
  <c r="G117" i="36" s="1"/>
  <c r="H117" i="36" s="1"/>
  <c r="I117" i="36" s="1"/>
  <c r="J117" i="36" s="1"/>
  <c r="K117" i="36" s="1"/>
  <c r="L117" i="36" s="1"/>
  <c r="M117" i="36" s="1"/>
  <c r="N117" i="36" s="1"/>
  <c r="O117" i="36" s="1"/>
  <c r="P117" i="36" s="1"/>
  <c r="Q117" i="36" s="1"/>
  <c r="E115" i="36"/>
  <c r="E114" i="36"/>
  <c r="E116" i="36" s="1"/>
  <c r="F113" i="36"/>
  <c r="F115" i="36" s="1"/>
  <c r="E112" i="36"/>
  <c r="F111" i="36"/>
  <c r="G111" i="36" s="1"/>
  <c r="H111" i="36" s="1"/>
  <c r="I111" i="36" s="1"/>
  <c r="J111" i="36" s="1"/>
  <c r="K111" i="36" s="1"/>
  <c r="L111" i="36" s="1"/>
  <c r="M111" i="36" s="1"/>
  <c r="N111" i="36" s="1"/>
  <c r="O111" i="36" s="1"/>
  <c r="P111" i="36" s="1"/>
  <c r="Q111" i="36" s="1"/>
  <c r="F110" i="36"/>
  <c r="G110" i="36" s="1"/>
  <c r="H110" i="36" s="1"/>
  <c r="I110" i="36" s="1"/>
  <c r="J110" i="36" s="1"/>
  <c r="K110" i="36" s="1"/>
  <c r="L110" i="36" s="1"/>
  <c r="M110" i="36" s="1"/>
  <c r="N110" i="36" s="1"/>
  <c r="O110" i="36" s="1"/>
  <c r="P110" i="36" s="1"/>
  <c r="Q110" i="36" s="1"/>
  <c r="F99" i="36"/>
  <c r="G99" i="36" s="1"/>
  <c r="H99" i="36" s="1"/>
  <c r="I99" i="36" s="1"/>
  <c r="J99" i="36" s="1"/>
  <c r="K99" i="36" s="1"/>
  <c r="F97" i="36"/>
  <c r="G97" i="36" s="1"/>
  <c r="V85" i="36"/>
  <c r="T85" i="36"/>
  <c r="F83" i="36"/>
  <c r="G83" i="36" s="1"/>
  <c r="H83" i="36" s="1"/>
  <c r="I83" i="36" s="1"/>
  <c r="J83" i="36" s="1"/>
  <c r="K83" i="36" s="1"/>
  <c r="L83" i="36" s="1"/>
  <c r="M83" i="36" s="1"/>
  <c r="N83" i="36" s="1"/>
  <c r="O83" i="36" s="1"/>
  <c r="P83" i="36" s="1"/>
  <c r="Q83" i="36" s="1"/>
  <c r="E71" i="36"/>
  <c r="E70" i="36"/>
  <c r="E32" i="36"/>
  <c r="G29" i="36"/>
  <c r="E98" i="36"/>
  <c r="E100" i="36" s="1"/>
  <c r="F16" i="36"/>
  <c r="F40" i="36" s="1"/>
  <c r="B4" i="36"/>
  <c r="B6" i="36" s="1"/>
  <c r="F15" i="36" s="1"/>
  <c r="H29" i="36" l="1"/>
  <c r="I29" i="36" s="1"/>
  <c r="J29" i="36" s="1"/>
  <c r="K29" i="36" s="1"/>
  <c r="L29" i="36" s="1"/>
  <c r="M29" i="36" s="1"/>
  <c r="N29" i="36" s="1"/>
  <c r="O29" i="36" s="1"/>
  <c r="P29" i="36" s="1"/>
  <c r="Q29" i="36" s="1"/>
  <c r="G28" i="36"/>
  <c r="F32" i="36"/>
  <c r="E118" i="36"/>
  <c r="Q22" i="36"/>
  <c r="G123" i="36"/>
  <c r="G124" i="36" s="1"/>
  <c r="G125" i="36" s="1"/>
  <c r="G126" i="36" s="1"/>
  <c r="O51" i="36"/>
  <c r="P50" i="36"/>
  <c r="F121" i="36"/>
  <c r="H121" i="36"/>
  <c r="J121" i="36"/>
  <c r="L121" i="36"/>
  <c r="N121" i="36"/>
  <c r="P121" i="36"/>
  <c r="F10" i="36"/>
  <c r="BJ77" i="6" s="1"/>
  <c r="BJ79" i="6" s="1"/>
  <c r="BJ78" i="6" s="1"/>
  <c r="BJ80" i="6" s="1"/>
  <c r="E121" i="36"/>
  <c r="G121" i="36"/>
  <c r="I121" i="36"/>
  <c r="K121" i="36"/>
  <c r="M121" i="36"/>
  <c r="O121" i="36"/>
  <c r="Q121" i="36"/>
  <c r="E161" i="36"/>
  <c r="F71" i="36"/>
  <c r="F72" i="36" s="1"/>
  <c r="E39" i="36"/>
  <c r="E41" i="36" s="1"/>
  <c r="E139" i="36"/>
  <c r="E149" i="36" s="1"/>
  <c r="E17" i="36"/>
  <c r="G15" i="36"/>
  <c r="H15" i="36" s="1"/>
  <c r="I15" i="36" s="1"/>
  <c r="J15" i="36" s="1"/>
  <c r="K15" i="36" s="1"/>
  <c r="L15" i="36" s="1"/>
  <c r="M15" i="36" s="1"/>
  <c r="N15" i="36" s="1"/>
  <c r="O15" i="36" s="1"/>
  <c r="P15" i="36" s="1"/>
  <c r="Q15" i="36" s="1"/>
  <c r="E84" i="36"/>
  <c r="E89" i="36" s="1"/>
  <c r="G16" i="36"/>
  <c r="E85" i="36"/>
  <c r="E158" i="36"/>
  <c r="H97" i="36"/>
  <c r="G113" i="36"/>
  <c r="F114" i="36"/>
  <c r="F116" i="36" s="1"/>
  <c r="F112" i="36"/>
  <c r="H123" i="36"/>
  <c r="E86" i="36" l="1"/>
  <c r="G10" i="36"/>
  <c r="H10" i="36" s="1"/>
  <c r="P51" i="36"/>
  <c r="Q50" i="36"/>
  <c r="Q51" i="36" s="1"/>
  <c r="F161" i="36"/>
  <c r="F158" i="36" s="1"/>
  <c r="F17" i="36"/>
  <c r="F118" i="36"/>
  <c r="G112" i="36"/>
  <c r="E162" i="36"/>
  <c r="F98" i="36"/>
  <c r="F100" i="36" s="1"/>
  <c r="F85" i="36" s="1"/>
  <c r="W84" i="36"/>
  <c r="W85" i="36" s="1"/>
  <c r="G40" i="36"/>
  <c r="G17" i="36"/>
  <c r="H16" i="36"/>
  <c r="E151" i="36"/>
  <c r="E152" i="36" s="1"/>
  <c r="F152" i="36" s="1"/>
  <c r="F39" i="36"/>
  <c r="F41" i="36" s="1"/>
  <c r="E62" i="36" s="1"/>
  <c r="E65" i="36" s="1"/>
  <c r="H124" i="36"/>
  <c r="H125" i="36" s="1"/>
  <c r="H126" i="36" s="1"/>
  <c r="I123" i="36"/>
  <c r="G114" i="36"/>
  <c r="H113" i="36"/>
  <c r="G115" i="36"/>
  <c r="E90" i="36"/>
  <c r="E91" i="36" s="1"/>
  <c r="E93" i="36" s="1"/>
  <c r="I97" i="36"/>
  <c r="G32" i="36"/>
  <c r="F84" i="36"/>
  <c r="F89" i="36" s="1"/>
  <c r="G39" i="36" l="1"/>
  <c r="G158" i="36"/>
  <c r="F162" i="36"/>
  <c r="G162" i="36" s="1"/>
  <c r="G116" i="36"/>
  <c r="E95" i="36"/>
  <c r="E96" i="36" s="1"/>
  <c r="E94" i="36"/>
  <c r="H32" i="36"/>
  <c r="I124" i="36"/>
  <c r="I125" i="36" s="1"/>
  <c r="I126" i="36" s="1"/>
  <c r="J123" i="36"/>
  <c r="F90" i="36"/>
  <c r="F91" i="36" s="1"/>
  <c r="H40" i="36"/>
  <c r="H17" i="36"/>
  <c r="I16" i="36"/>
  <c r="I10" i="36"/>
  <c r="G118" i="36"/>
  <c r="H112" i="36"/>
  <c r="G41" i="36"/>
  <c r="G84" i="36"/>
  <c r="G89" i="36" s="1"/>
  <c r="J97" i="36"/>
  <c r="H115" i="36"/>
  <c r="H114" i="36"/>
  <c r="I113" i="36"/>
  <c r="X84" i="36"/>
  <c r="X85" i="36" s="1"/>
  <c r="G98" i="36"/>
  <c r="G100" i="36" s="1"/>
  <c r="G85" i="36" s="1"/>
  <c r="H28" i="36"/>
  <c r="F86" i="36"/>
  <c r="G86" i="36" l="1"/>
  <c r="H116" i="36"/>
  <c r="H118" i="36" s="1"/>
  <c r="F93" i="36"/>
  <c r="F95" i="36" s="1"/>
  <c r="F96" i="36" s="1"/>
  <c r="H98" i="36"/>
  <c r="H100" i="36" s="1"/>
  <c r="H85" i="36" s="1"/>
  <c r="Y84" i="36"/>
  <c r="Y85" i="36" s="1"/>
  <c r="I28" i="36"/>
  <c r="G90" i="36"/>
  <c r="G91" i="36" s="1"/>
  <c r="H39" i="36"/>
  <c r="H41" i="36" s="1"/>
  <c r="I114" i="36"/>
  <c r="J113" i="36"/>
  <c r="I115" i="36"/>
  <c r="K97" i="36"/>
  <c r="I112" i="36"/>
  <c r="J10" i="36"/>
  <c r="I40" i="36"/>
  <c r="I17" i="36"/>
  <c r="J16" i="36"/>
  <c r="J124" i="36"/>
  <c r="J125" i="36" s="1"/>
  <c r="J126" i="36" s="1"/>
  <c r="K123" i="36"/>
  <c r="I32" i="36"/>
  <c r="G93" i="36" l="1"/>
  <c r="G94" i="36" s="1"/>
  <c r="I39" i="36"/>
  <c r="I41" i="36" s="1"/>
  <c r="F94" i="36"/>
  <c r="I116" i="36"/>
  <c r="I118" i="36" s="1"/>
  <c r="H90" i="36"/>
  <c r="K10" i="36"/>
  <c r="J112" i="36"/>
  <c r="H84" i="36"/>
  <c r="H89" i="36" s="1"/>
  <c r="Z84" i="36"/>
  <c r="Z85" i="36" s="1"/>
  <c r="I98" i="36"/>
  <c r="I100" i="36" s="1"/>
  <c r="I85" i="36" s="1"/>
  <c r="J28" i="36"/>
  <c r="I84" i="36"/>
  <c r="I89" i="36" s="1"/>
  <c r="G95" i="36"/>
  <c r="J32" i="36"/>
  <c r="K124" i="36"/>
  <c r="K125" i="36" s="1"/>
  <c r="K126" i="36" s="1"/>
  <c r="L123" i="36"/>
  <c r="J40" i="36"/>
  <c r="J17" i="36"/>
  <c r="K16" i="36"/>
  <c r="L97" i="36"/>
  <c r="J115" i="36"/>
  <c r="J114" i="36"/>
  <c r="K113" i="36"/>
  <c r="J116" i="36" l="1"/>
  <c r="J118" i="36" s="1"/>
  <c r="J39" i="36"/>
  <c r="J41" i="36" s="1"/>
  <c r="H86" i="36"/>
  <c r="I90" i="36"/>
  <c r="I91" i="36" s="1"/>
  <c r="L124" i="36"/>
  <c r="L125" i="36" s="1"/>
  <c r="L126" i="36" s="1"/>
  <c r="M123" i="36"/>
  <c r="K32" i="36"/>
  <c r="I86" i="36"/>
  <c r="H91" i="36"/>
  <c r="K114" i="36"/>
  <c r="L113" i="36"/>
  <c r="K115" i="36"/>
  <c r="M97" i="36"/>
  <c r="K40" i="36"/>
  <c r="K17" i="36"/>
  <c r="L16" i="36"/>
  <c r="J98" i="36"/>
  <c r="J100" i="36" s="1"/>
  <c r="J85" i="36" s="1"/>
  <c r="AA84" i="36"/>
  <c r="AA85" i="36" s="1"/>
  <c r="K28" i="36"/>
  <c r="K112" i="36"/>
  <c r="L10" i="36"/>
  <c r="H93" i="36" l="1"/>
  <c r="H95" i="36" s="1"/>
  <c r="I93" i="36"/>
  <c r="I94" i="36" s="1"/>
  <c r="J90" i="36"/>
  <c r="K116" i="36"/>
  <c r="K118" i="36" s="1"/>
  <c r="L112" i="36"/>
  <c r="K84" i="36"/>
  <c r="K89" i="36" s="1"/>
  <c r="K39" i="36"/>
  <c r="K41" i="36" s="1"/>
  <c r="M10" i="36"/>
  <c r="AB84" i="36"/>
  <c r="AB85" i="36" s="1"/>
  <c r="K98" i="36"/>
  <c r="K100" i="36" s="1"/>
  <c r="K85" i="36" s="1"/>
  <c r="L28" i="36"/>
  <c r="J84" i="36"/>
  <c r="J89" i="36" s="1"/>
  <c r="L40" i="36"/>
  <c r="L17" i="36"/>
  <c r="M16" i="36"/>
  <c r="N97" i="36"/>
  <c r="L115" i="36"/>
  <c r="L114" i="36"/>
  <c r="M113" i="36"/>
  <c r="L32" i="36"/>
  <c r="M124" i="36"/>
  <c r="M125" i="36" s="1"/>
  <c r="M126" i="36" s="1"/>
  <c r="N123" i="36"/>
  <c r="H94" i="36" l="1"/>
  <c r="I95" i="36"/>
  <c r="J91" i="36"/>
  <c r="K86" i="36"/>
  <c r="L39" i="36"/>
  <c r="L41" i="36" s="1"/>
  <c r="L116" i="36"/>
  <c r="L118" i="36" s="1"/>
  <c r="K90" i="36"/>
  <c r="K91" i="36" s="1"/>
  <c r="N10" i="36"/>
  <c r="J86" i="36"/>
  <c r="N124" i="36"/>
  <c r="N125" i="36" s="1"/>
  <c r="N126" i="36" s="1"/>
  <c r="O123" i="36"/>
  <c r="M32" i="36"/>
  <c r="M114" i="36"/>
  <c r="N113" i="36"/>
  <c r="M115" i="36"/>
  <c r="O97" i="36"/>
  <c r="M40" i="36"/>
  <c r="M17" i="36"/>
  <c r="N16" i="36"/>
  <c r="L98" i="36"/>
  <c r="L100" i="36" s="1"/>
  <c r="L85" i="36" s="1"/>
  <c r="AC84" i="36"/>
  <c r="AC85" i="36" s="1"/>
  <c r="M28" i="36"/>
  <c r="M112" i="36"/>
  <c r="J93" i="36" l="1"/>
  <c r="J94" i="36" s="1"/>
  <c r="M116" i="36"/>
  <c r="M118" i="36" s="1"/>
  <c r="K93" i="36"/>
  <c r="K94" i="36" s="1"/>
  <c r="N112" i="36"/>
  <c r="AD84" i="36"/>
  <c r="AD85" i="36" s="1"/>
  <c r="M98" i="36"/>
  <c r="M100" i="36" s="1"/>
  <c r="M85" i="36" s="1"/>
  <c r="N28" i="36"/>
  <c r="N32" i="36"/>
  <c r="O124" i="36"/>
  <c r="O125" i="36" s="1"/>
  <c r="O126" i="36" s="1"/>
  <c r="P123" i="36"/>
  <c r="L84" i="36"/>
  <c r="L89" i="36" s="1"/>
  <c r="L90" i="36"/>
  <c r="N40" i="36"/>
  <c r="N17" i="36"/>
  <c r="O16" i="36"/>
  <c r="P97" i="36"/>
  <c r="N115" i="36"/>
  <c r="N114" i="36"/>
  <c r="O113" i="36"/>
  <c r="M84" i="36"/>
  <c r="M89" i="36" s="1"/>
  <c r="O10" i="36"/>
  <c r="M39" i="36"/>
  <c r="M41" i="36" s="1"/>
  <c r="N116" i="36" l="1"/>
  <c r="N118" i="36" s="1"/>
  <c r="L86" i="36"/>
  <c r="L91" i="36"/>
  <c r="N39" i="36"/>
  <c r="N41" i="36" s="1"/>
  <c r="M90" i="36"/>
  <c r="M91" i="36" s="1"/>
  <c r="O112" i="36"/>
  <c r="M86" i="36"/>
  <c r="P10" i="36"/>
  <c r="O114" i="36"/>
  <c r="P113" i="36"/>
  <c r="O115" i="36"/>
  <c r="Q97" i="36"/>
  <c r="O40" i="36"/>
  <c r="O17" i="36"/>
  <c r="P16" i="36"/>
  <c r="P124" i="36"/>
  <c r="P125" i="36" s="1"/>
  <c r="P126" i="36" s="1"/>
  <c r="Q123" i="36"/>
  <c r="Q124" i="36" s="1"/>
  <c r="Q125" i="36" s="1"/>
  <c r="Q126" i="36" s="1"/>
  <c r="O32" i="36"/>
  <c r="N98" i="36"/>
  <c r="N100" i="36" s="1"/>
  <c r="N85" i="36" s="1"/>
  <c r="AE84" i="36"/>
  <c r="AE85" i="36" s="1"/>
  <c r="O28" i="36"/>
  <c r="L93" i="36" l="1"/>
  <c r="L94" i="36" s="1"/>
  <c r="O116" i="36"/>
  <c r="O118" i="36" s="1"/>
  <c r="N90" i="36"/>
  <c r="M93" i="36"/>
  <c r="M94" i="36" s="1"/>
  <c r="AF84" i="36"/>
  <c r="AF85" i="36" s="1"/>
  <c r="O98" i="36"/>
  <c r="O100" i="36" s="1"/>
  <c r="O85" i="36" s="1"/>
  <c r="P28" i="36"/>
  <c r="O84" i="36"/>
  <c r="O89" i="36" s="1"/>
  <c r="Q10" i="36"/>
  <c r="O39" i="36"/>
  <c r="O41" i="36" s="1"/>
  <c r="P32" i="36"/>
  <c r="Q32" i="36"/>
  <c r="P40" i="36"/>
  <c r="P17" i="36"/>
  <c r="Q16" i="36"/>
  <c r="P115" i="36"/>
  <c r="P114" i="36"/>
  <c r="Q113" i="36"/>
  <c r="N84" i="36"/>
  <c r="N89" i="36" s="1"/>
  <c r="N91" i="36" s="1"/>
  <c r="P112" i="36"/>
  <c r="P116" i="36" l="1"/>
  <c r="P118" i="36" s="1"/>
  <c r="P39" i="36"/>
  <c r="P41" i="36" s="1"/>
  <c r="Q112" i="36"/>
  <c r="O90" i="36"/>
  <c r="O91" i="36" s="1"/>
  <c r="P98" i="36"/>
  <c r="P100" i="36" s="1"/>
  <c r="P85" i="36" s="1"/>
  <c r="AG84" i="36"/>
  <c r="AG85" i="36" s="1"/>
  <c r="Q28" i="36"/>
  <c r="Q98" i="36" s="1"/>
  <c r="Q100" i="36" s="1"/>
  <c r="Q85" i="36" s="1"/>
  <c r="Q114" i="36"/>
  <c r="Q115" i="36"/>
  <c r="Q40" i="36"/>
  <c r="Q17" i="36"/>
  <c r="N86" i="36"/>
  <c r="N93" i="36" s="1"/>
  <c r="N94" i="36" s="1"/>
  <c r="O86" i="36"/>
  <c r="Q116" i="36" l="1"/>
  <c r="Q118" i="36" s="1"/>
  <c r="O93" i="36"/>
  <c r="O94" i="36" s="1"/>
  <c r="P90" i="36"/>
  <c r="Q39" i="36"/>
  <c r="Q41" i="36" s="1"/>
  <c r="P84" i="36"/>
  <c r="P89" i="36" s="1"/>
  <c r="Q84" i="36"/>
  <c r="Q89" i="36" s="1"/>
  <c r="P91" i="36" l="1"/>
  <c r="Q86" i="36"/>
  <c r="Q90" i="36"/>
  <c r="Q91" i="36" s="1"/>
  <c r="P86" i="36"/>
  <c r="P93" i="36" l="1"/>
  <c r="P94" i="36" s="1"/>
  <c r="Q93" i="36"/>
  <c r="Q94" i="36" s="1"/>
  <c r="BI79" i="6" l="1"/>
  <c r="M14" i="35"/>
  <c r="N14" i="35" s="1"/>
  <c r="O14" i="35" s="1"/>
  <c r="P14" i="35" s="1"/>
  <c r="Q14" i="35" s="1"/>
  <c r="R14" i="35" s="1"/>
  <c r="S14" i="35" s="1"/>
  <c r="T14" i="35" s="1"/>
  <c r="U14" i="35" s="1"/>
  <c r="V14" i="35" s="1"/>
  <c r="W14" i="35" s="1"/>
  <c r="X14" i="35" s="1"/>
  <c r="BR46" i="6"/>
  <c r="BS44" i="6"/>
  <c r="BT44" i="6" s="1"/>
  <c r="BS46" i="6" l="1"/>
  <c r="BT46" i="6" s="1"/>
  <c r="BU46" i="6" s="1"/>
  <c r="F4" i="25"/>
  <c r="F3" i="25"/>
  <c r="E13" i="25"/>
  <c r="F13" i="25" s="1"/>
  <c r="BD80" i="6"/>
  <c r="G218" i="31" l="1"/>
  <c r="P63" i="28"/>
  <c r="P31" i="7"/>
  <c r="Q31" i="7"/>
  <c r="P25" i="7"/>
  <c r="Q25" i="7"/>
  <c r="P20" i="7"/>
  <c r="Q20" i="7"/>
  <c r="Q90" i="11"/>
  <c r="Q84" i="11"/>
  <c r="P51" i="28" l="1"/>
  <c r="D39" i="38"/>
  <c r="C35" i="12"/>
  <c r="V32" i="11"/>
  <c r="H39" i="38" s="1"/>
  <c r="U32" i="11"/>
  <c r="T32" i="11"/>
  <c r="R30" i="7"/>
  <c r="L94" i="11"/>
  <c r="P71" i="28"/>
  <c r="Q95" i="11"/>
  <c r="P95" i="11"/>
  <c r="S93" i="11"/>
  <c r="T93" i="11" s="1"/>
  <c r="U93" i="11" s="1"/>
  <c r="V93" i="11" s="1"/>
  <c r="W93" i="11" s="1"/>
  <c r="X93" i="11" s="1"/>
  <c r="Y93" i="11" s="1"/>
  <c r="Z93" i="11" s="1"/>
  <c r="AA93" i="11" s="1"/>
  <c r="AB93" i="11" s="1"/>
  <c r="AC93" i="11" s="1"/>
  <c r="AD93" i="11" s="1"/>
  <c r="V28" i="11"/>
  <c r="T47" i="28" s="1"/>
  <c r="V20" i="11"/>
  <c r="T40" i="28" s="1"/>
  <c r="BX23" i="8"/>
  <c r="G219" i="31"/>
  <c r="H219" i="31" s="1"/>
  <c r="H231" i="31"/>
  <c r="H218" i="31" s="1"/>
  <c r="E231" i="31"/>
  <c r="F231" i="31"/>
  <c r="E224" i="31"/>
  <c r="E226" i="31" s="1"/>
  <c r="F220" i="31"/>
  <c r="E220" i="31"/>
  <c r="B198" i="31"/>
  <c r="E176" i="31"/>
  <c r="D182" i="31"/>
  <c r="B180" i="31"/>
  <c r="B179" i="31"/>
  <c r="B169" i="31"/>
  <c r="B168" i="31"/>
  <c r="B149" i="31"/>
  <c r="B148" i="31"/>
  <c r="G160" i="31" s="1"/>
  <c r="B126" i="31"/>
  <c r="G142" i="31"/>
  <c r="B81" i="31"/>
  <c r="E92" i="31" s="1"/>
  <c r="B80" i="31"/>
  <c r="B67" i="31"/>
  <c r="G73" i="31" s="1"/>
  <c r="B68" i="31"/>
  <c r="E73" i="31" s="1"/>
  <c r="G58" i="31"/>
  <c r="B42" i="31"/>
  <c r="B20" i="31"/>
  <c r="B7" i="31"/>
  <c r="G35" i="31"/>
  <c r="B8" i="31"/>
  <c r="BT249" i="6"/>
  <c r="N11" i="25"/>
  <c r="N10" i="25"/>
  <c r="N9" i="25"/>
  <c r="BE249" i="6"/>
  <c r="BB249" i="6"/>
  <c r="BA249" i="6"/>
  <c r="AZ249" i="6"/>
  <c r="AW249" i="6"/>
  <c r="AV249" i="6"/>
  <c r="AU249" i="6"/>
  <c r="BE248" i="6"/>
  <c r="BD248" i="6"/>
  <c r="BB248" i="6"/>
  <c r="BA248" i="6"/>
  <c r="AZ248" i="6"/>
  <c r="AY248" i="6"/>
  <c r="AW248" i="6"/>
  <c r="AV248" i="6"/>
  <c r="AU248" i="6"/>
  <c r="AT248" i="6"/>
  <c r="BI84" i="6"/>
  <c r="BJ83" i="6" s="1"/>
  <c r="M35" i="35"/>
  <c r="M36" i="35" s="1"/>
  <c r="M39" i="35" s="1"/>
  <c r="L35" i="35"/>
  <c r="L36" i="35" s="1"/>
  <c r="L39" i="35" s="1"/>
  <c r="K35" i="35"/>
  <c r="K36" i="35" s="1"/>
  <c r="K39" i="35" s="1"/>
  <c r="N18" i="35"/>
  <c r="O18" i="35" s="1"/>
  <c r="P18" i="35" s="1"/>
  <c r="Q18" i="35" s="1"/>
  <c r="R18" i="35" s="1"/>
  <c r="S18" i="35" s="1"/>
  <c r="T18" i="35" s="1"/>
  <c r="U18" i="35" s="1"/>
  <c r="V18" i="35" s="1"/>
  <c r="W18" i="35" s="1"/>
  <c r="X18" i="35" s="1"/>
  <c r="X12" i="35"/>
  <c r="W12" i="35"/>
  <c r="V12" i="35"/>
  <c r="U12" i="35"/>
  <c r="T12" i="35"/>
  <c r="S12" i="35"/>
  <c r="R12" i="35"/>
  <c r="Q12" i="35"/>
  <c r="P12" i="35"/>
  <c r="O12" i="35"/>
  <c r="N12" i="35"/>
  <c r="M12" i="35"/>
  <c r="L12" i="35"/>
  <c r="K12" i="35"/>
  <c r="E12" i="35"/>
  <c r="E11" i="35"/>
  <c r="L10" i="35"/>
  <c r="J7" i="35"/>
  <c r="I7" i="35"/>
  <c r="H7" i="35"/>
  <c r="G7" i="35"/>
  <c r="F7" i="35"/>
  <c r="N5" i="35"/>
  <c r="O5" i="35" s="1"/>
  <c r="J5" i="35"/>
  <c r="I5" i="35"/>
  <c r="H5" i="35"/>
  <c r="G5" i="35"/>
  <c r="F5" i="35"/>
  <c r="F3" i="35"/>
  <c r="F2" i="35"/>
  <c r="F1" i="35"/>
  <c r="BD79" i="6"/>
  <c r="BD78" i="6" s="1"/>
  <c r="H40" i="38" l="1"/>
  <c r="E230" i="31"/>
  <c r="K40" i="35"/>
  <c r="G72" i="31"/>
  <c r="E44" i="31"/>
  <c r="I44" i="31" s="1"/>
  <c r="D45" i="31" s="1"/>
  <c r="E45" i="31"/>
  <c r="E46" i="31"/>
  <c r="G92" i="31"/>
  <c r="G119" i="31"/>
  <c r="H119" i="31" s="1"/>
  <c r="G117" i="31"/>
  <c r="H117" i="31" s="1"/>
  <c r="G115" i="31"/>
  <c r="H115" i="31" s="1"/>
  <c r="G113" i="31"/>
  <c r="H113" i="31" s="1"/>
  <c r="G112" i="31"/>
  <c r="H112" i="31" s="1"/>
  <c r="G110" i="31"/>
  <c r="H110" i="31" s="1"/>
  <c r="G108" i="31"/>
  <c r="H108" i="31" s="1"/>
  <c r="G106" i="31"/>
  <c r="H106" i="31" s="1"/>
  <c r="G104" i="31"/>
  <c r="H104" i="31" s="1"/>
  <c r="G102" i="31"/>
  <c r="H102" i="31" s="1"/>
  <c r="G118" i="31"/>
  <c r="H118" i="31" s="1"/>
  <c r="G116" i="31"/>
  <c r="H116" i="31" s="1"/>
  <c r="G114" i="31"/>
  <c r="H114" i="31" s="1"/>
  <c r="G111" i="31"/>
  <c r="H111" i="31" s="1"/>
  <c r="G109" i="31"/>
  <c r="H109" i="31" s="1"/>
  <c r="G107" i="31"/>
  <c r="H107" i="31" s="1"/>
  <c r="G105" i="31"/>
  <c r="H105" i="31" s="1"/>
  <c r="G103" i="31"/>
  <c r="H103" i="31" s="1"/>
  <c r="M6" i="35"/>
  <c r="M8" i="35" s="1"/>
  <c r="C37" i="12"/>
  <c r="K17" i="12" s="1"/>
  <c r="G220" i="31"/>
  <c r="Q51" i="28"/>
  <c r="E39" i="38"/>
  <c r="S51" i="28"/>
  <c r="G39" i="38"/>
  <c r="R51" i="28"/>
  <c r="F39" i="38"/>
  <c r="O6" i="35"/>
  <c r="O8" i="35" s="1"/>
  <c r="W32" i="11"/>
  <c r="X32" i="11" s="1"/>
  <c r="Y32" i="11" s="1"/>
  <c r="Z32" i="11" s="1"/>
  <c r="AA32" i="11" s="1"/>
  <c r="AB32" i="11" s="1"/>
  <c r="AC32" i="11" s="1"/>
  <c r="AD32" i="11" s="1"/>
  <c r="T51" i="28"/>
  <c r="F6" i="35"/>
  <c r="F8" i="35" s="1"/>
  <c r="H6" i="35"/>
  <c r="H8" i="35" s="1"/>
  <c r="J6" i="35"/>
  <c r="J8" i="35" s="1"/>
  <c r="L6" i="35"/>
  <c r="L8" i="35" s="1"/>
  <c r="N6" i="35"/>
  <c r="N15" i="35" s="1"/>
  <c r="N19" i="35" s="1"/>
  <c r="E237" i="31"/>
  <c r="G6" i="35"/>
  <c r="G8" i="35" s="1"/>
  <c r="I6" i="35"/>
  <c r="I8" i="35" s="1"/>
  <c r="K6" i="35"/>
  <c r="K8" i="35" s="1"/>
  <c r="I231" i="31"/>
  <c r="I219" i="31"/>
  <c r="J219" i="31" s="1"/>
  <c r="G132" i="31"/>
  <c r="G133" i="31"/>
  <c r="G134" i="31"/>
  <c r="G135" i="31"/>
  <c r="G136" i="31"/>
  <c r="G137" i="31"/>
  <c r="G138" i="31"/>
  <c r="G139" i="31"/>
  <c r="G140" i="31"/>
  <c r="G141" i="31"/>
  <c r="G157" i="31"/>
  <c r="G159" i="31"/>
  <c r="G161" i="31"/>
  <c r="G156" i="31"/>
  <c r="G158" i="31"/>
  <c r="E48" i="31"/>
  <c r="E50" i="31"/>
  <c r="E52" i="31"/>
  <c r="E54" i="31"/>
  <c r="G48" i="31"/>
  <c r="G49" i="31"/>
  <c r="G50" i="31"/>
  <c r="G51" i="31"/>
  <c r="G53" i="31"/>
  <c r="G55" i="31"/>
  <c r="G57" i="31"/>
  <c r="G59" i="31"/>
  <c r="E72" i="31"/>
  <c r="G71" i="31"/>
  <c r="G85" i="31"/>
  <c r="G87" i="31"/>
  <c r="G89" i="31"/>
  <c r="G91" i="31"/>
  <c r="G93" i="31"/>
  <c r="E85" i="31"/>
  <c r="E87" i="31"/>
  <c r="E89" i="31"/>
  <c r="E91" i="31"/>
  <c r="E93" i="31"/>
  <c r="E49" i="31"/>
  <c r="E51" i="31"/>
  <c r="E53" i="31"/>
  <c r="E55" i="31"/>
  <c r="G52" i="31"/>
  <c r="G54" i="31"/>
  <c r="G56" i="31"/>
  <c r="E71" i="31"/>
  <c r="G86" i="31"/>
  <c r="G88" i="31"/>
  <c r="G90" i="31"/>
  <c r="E86" i="31"/>
  <c r="E88" i="31"/>
  <c r="E90" i="31"/>
  <c r="G28" i="31"/>
  <c r="G32" i="31"/>
  <c r="G26" i="31"/>
  <c r="G30" i="31"/>
  <c r="G34" i="31"/>
  <c r="E25" i="31"/>
  <c r="G27" i="31"/>
  <c r="G29" i="31"/>
  <c r="G31" i="31"/>
  <c r="G33" i="31"/>
  <c r="O15" i="35"/>
  <c r="N8" i="35"/>
  <c r="M15" i="35"/>
  <c r="P5" i="35"/>
  <c r="H220" i="31" l="1"/>
  <c r="I220" i="31" s="1"/>
  <c r="M2" i="35"/>
  <c r="J17" i="12"/>
  <c r="G189" i="40"/>
  <c r="G244" i="31"/>
  <c r="H244" i="31" s="1"/>
  <c r="I244" i="31" s="1"/>
  <c r="J244" i="31" s="1"/>
  <c r="K244" i="31" s="1"/>
  <c r="I45" i="31"/>
  <c r="D46" i="31" s="1"/>
  <c r="H45" i="31"/>
  <c r="G17" i="12"/>
  <c r="F17" i="12"/>
  <c r="E17" i="12"/>
  <c r="I17" i="12"/>
  <c r="H17" i="12"/>
  <c r="K13" i="35"/>
  <c r="K15" i="35" s="1"/>
  <c r="J231" i="31"/>
  <c r="I218" i="31"/>
  <c r="Q71" i="28"/>
  <c r="L15" i="35"/>
  <c r="L19" i="35" s="1"/>
  <c r="L2" i="35"/>
  <c r="BR84" i="6"/>
  <c r="K219" i="31"/>
  <c r="M19" i="35"/>
  <c r="P6" i="35"/>
  <c r="Q5" i="35"/>
  <c r="O19" i="35"/>
  <c r="J220" i="31" l="1"/>
  <c r="K220" i="31"/>
  <c r="H189" i="40"/>
  <c r="L23" i="35"/>
  <c r="I46" i="31"/>
  <c r="H46" i="31"/>
  <c r="K16" i="35"/>
  <c r="K19" i="35"/>
  <c r="K20" i="35" s="1"/>
  <c r="U57" i="11"/>
  <c r="R71" i="28"/>
  <c r="K231" i="31"/>
  <c r="K218" i="31" s="1"/>
  <c r="J218" i="31"/>
  <c r="BS84" i="6"/>
  <c r="BN84" i="6"/>
  <c r="P15" i="35"/>
  <c r="P8" i="35"/>
  <c r="Q6" i="35"/>
  <c r="R5" i="35"/>
  <c r="I189" i="40" l="1"/>
  <c r="V57" i="11"/>
  <c r="S71" i="28"/>
  <c r="R6" i="35"/>
  <c r="S5" i="35"/>
  <c r="Q8" i="35"/>
  <c r="Q15" i="35"/>
  <c r="P19" i="35"/>
  <c r="J189" i="40" l="1"/>
  <c r="W57" i="11"/>
  <c r="X57" i="11" s="1"/>
  <c r="Y57" i="11" s="1"/>
  <c r="Z57" i="11" s="1"/>
  <c r="AA57" i="11" s="1"/>
  <c r="AB57" i="11" s="1"/>
  <c r="AC57" i="11" s="1"/>
  <c r="AD57" i="11" s="1"/>
  <c r="T71" i="28"/>
  <c r="BT84" i="6"/>
  <c r="R15" i="35"/>
  <c r="R8" i="35"/>
  <c r="Q19" i="35"/>
  <c r="S6" i="35"/>
  <c r="T5" i="35"/>
  <c r="K189" i="40" l="1"/>
  <c r="BU84" i="6"/>
  <c r="S8" i="35"/>
  <c r="S15" i="35"/>
  <c r="R19" i="35"/>
  <c r="T6" i="35"/>
  <c r="U5" i="35"/>
  <c r="BV84" i="6" l="1"/>
  <c r="T15" i="35"/>
  <c r="T8" i="35"/>
  <c r="U6" i="35"/>
  <c r="V5" i="35"/>
  <c r="S19" i="35"/>
  <c r="BW84" i="6" l="1"/>
  <c r="U8" i="35"/>
  <c r="U15" i="35"/>
  <c r="T19" i="35"/>
  <c r="V6" i="35"/>
  <c r="W5" i="35"/>
  <c r="BX84" i="6" l="1"/>
  <c r="V15" i="35"/>
  <c r="V8" i="35"/>
  <c r="W6" i="35"/>
  <c r="X5" i="35"/>
  <c r="X6" i="35" s="1"/>
  <c r="U19" i="35"/>
  <c r="BY84" i="6" l="1"/>
  <c r="W8" i="35"/>
  <c r="W15" i="35"/>
  <c r="V19" i="35"/>
  <c r="X15" i="35"/>
  <c r="X8" i="35"/>
  <c r="BZ84" i="6" l="1"/>
  <c r="X19" i="35"/>
  <c r="W19" i="35"/>
  <c r="CB84" i="6" l="1"/>
  <c r="CA84" i="6"/>
  <c r="BE158" i="6"/>
  <c r="BD158" i="6"/>
  <c r="BB158" i="6"/>
  <c r="BB160" i="6" s="1"/>
  <c r="BA158" i="6"/>
  <c r="BA160" i="6" s="1"/>
  <c r="AZ158" i="6"/>
  <c r="AZ160" i="6" s="1"/>
  <c r="AY158" i="6"/>
  <c r="AW158" i="6"/>
  <c r="AW160" i="6" s="1"/>
  <c r="AV158" i="6"/>
  <c r="AV160" i="6" s="1"/>
  <c r="AU158" i="6"/>
  <c r="AU160" i="6" s="1"/>
  <c r="AT158" i="6"/>
  <c r="BR164" i="6"/>
  <c r="BS164" i="6" s="1"/>
  <c r="BT164" i="6" s="1"/>
  <c r="BU164" i="6" s="1"/>
  <c r="BV164" i="6" s="1"/>
  <c r="BW164" i="6" s="1"/>
  <c r="BX164" i="6" s="1"/>
  <c r="BY164" i="6" s="1"/>
  <c r="BZ164" i="6" s="1"/>
  <c r="CA164" i="6" s="1"/>
  <c r="CB164" i="6" s="1"/>
  <c r="BE162" i="6"/>
  <c r="BD162" i="6"/>
  <c r="BB162" i="6"/>
  <c r="BA162" i="6"/>
  <c r="AZ162" i="6"/>
  <c r="AY162" i="6"/>
  <c r="AW162" i="6"/>
  <c r="AV162" i="6"/>
  <c r="AU162" i="6"/>
  <c r="AU163" i="6" s="1"/>
  <c r="AT162" i="6"/>
  <c r="AT163" i="6" s="1"/>
  <c r="AS162" i="6"/>
  <c r="AR162" i="6"/>
  <c r="AQ162" i="6"/>
  <c r="AQ163" i="6" s="1"/>
  <c r="AO162" i="6"/>
  <c r="AN162" i="6"/>
  <c r="AN163" i="6" s="1"/>
  <c r="AM162" i="6"/>
  <c r="AM163" i="6" s="1"/>
  <c r="AL162" i="6"/>
  <c r="AL163" i="6" s="1"/>
  <c r="AJ162" i="6"/>
  <c r="AI162" i="6"/>
  <c r="AI163" i="6" s="1"/>
  <c r="AH162" i="6"/>
  <c r="AG162" i="6"/>
  <c r="AE162" i="6"/>
  <c r="AE163" i="6" s="1"/>
  <c r="AD162" i="6"/>
  <c r="AD163" i="6" s="1"/>
  <c r="AC162" i="6"/>
  <c r="AB162" i="6"/>
  <c r="AB163" i="6" s="1"/>
  <c r="Z162" i="6"/>
  <c r="Z163" i="6" s="1"/>
  <c r="Y162" i="6"/>
  <c r="Y163" i="6" s="1"/>
  <c r="X162" i="6"/>
  <c r="X163" i="6" s="1"/>
  <c r="W162" i="6"/>
  <c r="W163" i="6" s="1"/>
  <c r="V162" i="6"/>
  <c r="V163" i="6" s="1"/>
  <c r="U162" i="6"/>
  <c r="U163" i="6" s="1"/>
  <c r="T162" i="6"/>
  <c r="T163" i="6" s="1"/>
  <c r="S162" i="6"/>
  <c r="S163" i="6" s="1"/>
  <c r="R162" i="6"/>
  <c r="P162" i="6"/>
  <c r="O162" i="6"/>
  <c r="N162" i="6"/>
  <c r="N163" i="6" s="1"/>
  <c r="M162" i="6"/>
  <c r="M163" i="6" s="1"/>
  <c r="BH10" i="8"/>
  <c r="BG10" i="8"/>
  <c r="BE45" i="6"/>
  <c r="BF11" i="8" s="1"/>
  <c r="BF45" i="6"/>
  <c r="BG11" i="8" s="1"/>
  <c r="BF72" i="8"/>
  <c r="BF69" i="8"/>
  <c r="BD97" i="6"/>
  <c r="BD99" i="6" s="1"/>
  <c r="AY97" i="6"/>
  <c r="AY99" i="6" s="1"/>
  <c r="AT97" i="6"/>
  <c r="BD74" i="6"/>
  <c r="BD75" i="6" s="1"/>
  <c r="AY74" i="6"/>
  <c r="BD70" i="6"/>
  <c r="AY58" i="6"/>
  <c r="AY57" i="6"/>
  <c r="AY55" i="6"/>
  <c r="AY54" i="6"/>
  <c r="AY53" i="6" s="1"/>
  <c r="AZ8" i="8"/>
  <c r="AZ12" i="8"/>
  <c r="BD58" i="6"/>
  <c r="BD57" i="6"/>
  <c r="BD55" i="6"/>
  <c r="BV46" i="6"/>
  <c r="BW46" i="6" s="1"/>
  <c r="BX46" i="6" s="1"/>
  <c r="BY46" i="6" s="1"/>
  <c r="BZ46" i="6" s="1"/>
  <c r="CA46" i="6" s="1"/>
  <c r="CB46" i="6" s="1"/>
  <c r="BE12" i="8"/>
  <c r="AG9" i="28" s="1"/>
  <c r="BE8" i="8"/>
  <c r="W45" i="6"/>
  <c r="AB45" i="6"/>
  <c r="AL45" i="6"/>
  <c r="AL46" i="6" s="1"/>
  <c r="AQ45" i="6"/>
  <c r="AT45" i="6"/>
  <c r="BR6" i="6"/>
  <c r="BS6" i="6" s="1"/>
  <c r="BT6" i="6" s="1"/>
  <c r="BU6" i="6" s="1"/>
  <c r="BV6" i="6" s="1"/>
  <c r="BW6" i="6" s="1"/>
  <c r="BX6" i="6" s="1"/>
  <c r="BY6" i="6" s="1"/>
  <c r="BZ6" i="6" s="1"/>
  <c r="CA6" i="6" s="1"/>
  <c r="CB6" i="6" s="1"/>
  <c r="BD100" i="6" l="1"/>
  <c r="J182" i="31"/>
  <c r="L16" i="35"/>
  <c r="L20" i="35"/>
  <c r="BG46" i="6"/>
  <c r="BH46" i="6" s="1"/>
  <c r="BH45" i="6" s="1"/>
  <c r="BI11" i="8" s="1"/>
  <c r="AY160" i="6"/>
  <c r="BD160" i="6"/>
  <c r="P94" i="11"/>
  <c r="AY249" i="6"/>
  <c r="BE160" i="6"/>
  <c r="Q94" i="11"/>
  <c r="BD249" i="6"/>
  <c r="BN57" i="6"/>
  <c r="BF57" i="6"/>
  <c r="BR57" i="6" l="1"/>
  <c r="BS57" i="6" s="1"/>
  <c r="BT57" i="6" s="1"/>
  <c r="BU57" i="6" s="1"/>
  <c r="BV57" i="6" s="1"/>
  <c r="BW57" i="6" s="1"/>
  <c r="BX57" i="6" s="1"/>
  <c r="BY57" i="6" s="1"/>
  <c r="BZ57" i="6" s="1"/>
  <c r="CA57" i="6" s="1"/>
  <c r="CB57" i="6" s="1"/>
  <c r="BQ57" i="6"/>
  <c r="BG57" i="6"/>
  <c r="BG9" i="8"/>
  <c r="BG45" i="6"/>
  <c r="BH11" i="8" s="1"/>
  <c r="R94" i="11"/>
  <c r="S94" i="11" s="1"/>
  <c r="T94" i="11" s="1"/>
  <c r="U94" i="11" s="1"/>
  <c r="V94" i="11" s="1"/>
  <c r="W94" i="11" s="1"/>
  <c r="X94" i="11" s="1"/>
  <c r="Y94" i="11" s="1"/>
  <c r="Z94" i="11" s="1"/>
  <c r="AA94" i="11" s="1"/>
  <c r="AB94" i="11" s="1"/>
  <c r="AC94" i="11" s="1"/>
  <c r="AD94" i="11" s="1"/>
  <c r="BH53" i="6"/>
  <c r="BU36" i="6"/>
  <c r="BV36" i="6" s="1"/>
  <c r="BW36" i="6" s="1"/>
  <c r="BX36" i="6" s="1"/>
  <c r="BY36" i="6" s="1"/>
  <c r="BZ36" i="6" s="1"/>
  <c r="CA36" i="6" s="1"/>
  <c r="CB36" i="6" s="1"/>
  <c r="BS9" i="8" l="1"/>
  <c r="BS12" i="8" s="1"/>
  <c r="BQ59" i="6"/>
  <c r="BQ60" i="6" s="1"/>
  <c r="BH57" i="6"/>
  <c r="BH9" i="8"/>
  <c r="BY249" i="6"/>
  <c r="M10" i="25"/>
  <c r="M9" i="25"/>
  <c r="M11" i="25"/>
  <c r="L11" i="25"/>
  <c r="K11" i="25"/>
  <c r="J11" i="25"/>
  <c r="L9" i="25"/>
  <c r="K9" i="25"/>
  <c r="J9" i="25"/>
  <c r="L10" i="25"/>
  <c r="K10" i="25"/>
  <c r="J10" i="25"/>
  <c r="C14" i="25"/>
  <c r="C13" i="25"/>
  <c r="D6" i="25"/>
  <c r="C5" i="25"/>
  <c r="C4" i="25"/>
  <c r="C3" i="25"/>
  <c r="B10" i="25"/>
  <c r="B6" i="25"/>
  <c r="Q76" i="11"/>
  <c r="Q75" i="11"/>
  <c r="Q72" i="11"/>
  <c r="Q71" i="11"/>
  <c r="Q70" i="11"/>
  <c r="Q69" i="11"/>
  <c r="Q68" i="11"/>
  <c r="Q67" i="11"/>
  <c r="P76" i="11"/>
  <c r="P72" i="11"/>
  <c r="P71" i="11"/>
  <c r="P70" i="11"/>
  <c r="P69" i="11"/>
  <c r="P68" i="11"/>
  <c r="P67" i="11"/>
  <c r="BS59" i="8" l="1"/>
  <c r="BS53" i="8"/>
  <c r="BS60" i="8"/>
  <c r="BQ248" i="6"/>
  <c r="BS19" i="8" s="1"/>
  <c r="BS61" i="8" s="1"/>
  <c r="BS50" i="8"/>
  <c r="BS56" i="8"/>
  <c r="M12" i="25"/>
  <c r="M13" i="25" s="1"/>
  <c r="F9" i="25"/>
  <c r="F15" i="25" s="1"/>
  <c r="F16" i="25" s="1"/>
  <c r="F17" i="25" s="1"/>
  <c r="K12" i="25"/>
  <c r="K13" i="25" s="1"/>
  <c r="O12" i="25"/>
  <c r="Q12" i="25"/>
  <c r="Q13" i="25" s="1"/>
  <c r="BZ18" i="8" s="1"/>
  <c r="P12" i="25"/>
  <c r="P13" i="25" s="1"/>
  <c r="BY18" i="8" s="1"/>
  <c r="K5" i="12" s="1"/>
  <c r="R12" i="25"/>
  <c r="R13" i="25" s="1"/>
  <c r="CA18" i="8" s="1"/>
  <c r="S12" i="25"/>
  <c r="S13" i="25" s="1"/>
  <c r="CB18" i="8" s="1"/>
  <c r="T12" i="25"/>
  <c r="T13" i="25" s="1"/>
  <c r="CC18" i="8" s="1"/>
  <c r="U12" i="25"/>
  <c r="U13" i="25" s="1"/>
  <c r="CD18" i="8" s="1"/>
  <c r="V12" i="25"/>
  <c r="V13" i="25" s="1"/>
  <c r="CE18" i="8" s="1"/>
  <c r="N12" i="25"/>
  <c r="C6" i="25"/>
  <c r="J12" i="25"/>
  <c r="J13" i="25" s="1"/>
  <c r="L12" i="25"/>
  <c r="Q49" i="11"/>
  <c r="P33" i="11"/>
  <c r="N13" i="25" l="1"/>
  <c r="BW18" i="8" s="1"/>
  <c r="T12" i="28" s="1"/>
  <c r="O13" i="25"/>
  <c r="BX18" i="8" s="1"/>
  <c r="L13" i="25"/>
  <c r="BU18" i="8" s="1"/>
  <c r="D9" i="39" s="1"/>
  <c r="BV18" i="8"/>
  <c r="S12" i="28" s="1"/>
  <c r="P17" i="12"/>
  <c r="P19" i="12" s="1"/>
  <c r="Q12" i="28"/>
  <c r="AI11" i="28"/>
  <c r="Q93" i="11"/>
  <c r="P75" i="11"/>
  <c r="Q22" i="11"/>
  <c r="P22" i="11"/>
  <c r="P43" i="28"/>
  <c r="AZ72" i="8"/>
  <c r="BA138" i="6"/>
  <c r="BA136" i="6"/>
  <c r="BA128" i="6"/>
  <c r="BC126" i="6"/>
  <c r="BC125" i="6"/>
  <c r="BC124" i="6"/>
  <c r="BC123" i="6"/>
  <c r="BC122" i="6"/>
  <c r="BC121" i="6"/>
  <c r="BC74" i="6" s="1"/>
  <c r="BC120" i="6"/>
  <c r="BC119" i="6"/>
  <c r="BD138" i="6"/>
  <c r="BD128" i="6"/>
  <c r="AJ11" i="28" l="1"/>
  <c r="R12" i="28"/>
  <c r="P42" i="28"/>
  <c r="BA3" i="8"/>
  <c r="BB128" i="6"/>
  <c r="BB129" i="6" s="1"/>
  <c r="BD29" i="8"/>
  <c r="BD23" i="8"/>
  <c r="BD19" i="8"/>
  <c r="BC248" i="6" s="1"/>
  <c r="BD18" i="8"/>
  <c r="BD16" i="8"/>
  <c r="BC162" i="6" s="1"/>
  <c r="BD15" i="8"/>
  <c r="BC158" i="6" s="1"/>
  <c r="BD13" i="8"/>
  <c r="BD12" i="8"/>
  <c r="T22" i="11" l="1"/>
  <c r="Q42" i="28"/>
  <c r="BC249" i="6"/>
  <c r="BN249" i="6" s="1"/>
  <c r="BC160" i="6"/>
  <c r="BC33" i="6"/>
  <c r="BE30" i="6" l="1"/>
  <c r="U22" i="11"/>
  <c r="R42" i="28"/>
  <c r="BX249" i="6"/>
  <c r="BB74" i="6"/>
  <c r="BA74" i="6"/>
  <c r="BA26" i="6"/>
  <c r="BB26" i="6" s="1"/>
  <c r="BB79" i="6" s="1"/>
  <c r="BA25" i="6"/>
  <c r="BB25" i="6" s="1"/>
  <c r="BB80" i="6"/>
  <c r="BA80" i="6"/>
  <c r="BA79" i="6"/>
  <c r="AZ79" i="6"/>
  <c r="AZ80" i="6"/>
  <c r="BA34" i="6"/>
  <c r="BB34" i="6" s="1"/>
  <c r="BA33" i="6"/>
  <c r="BB33" i="6" s="1"/>
  <c r="AV34" i="6"/>
  <c r="AV163" i="6" s="1"/>
  <c r="AV33" i="6"/>
  <c r="AY138" i="6"/>
  <c r="AY128" i="6"/>
  <c r="AZ78" i="6" l="1"/>
  <c r="BA78" i="6"/>
  <c r="V22" i="11"/>
  <c r="S42" i="28"/>
  <c r="BC34" i="6"/>
  <c r="BA81" i="6"/>
  <c r="BI10" i="8"/>
  <c r="BI9" i="8"/>
  <c r="BC3" i="8"/>
  <c r="BB3" i="8"/>
  <c r="BB78" i="6"/>
  <c r="AW34" i="6"/>
  <c r="AW33" i="6"/>
  <c r="AX33" i="6" s="1"/>
  <c r="BG30" i="6"/>
  <c r="BH138" i="6"/>
  <c r="BH83" i="6"/>
  <c r="BH54" i="6"/>
  <c r="BI6" i="8" s="1"/>
  <c r="BG83" i="6"/>
  <c r="BG54" i="6"/>
  <c r="BH6" i="8" s="1"/>
  <c r="BG36" i="6"/>
  <c r="BF85" i="6"/>
  <c r="BF83" i="6"/>
  <c r="BF54" i="6"/>
  <c r="BG6" i="8" s="1"/>
  <c r="BF36" i="6"/>
  <c r="BF30" i="6"/>
  <c r="BE103" i="6"/>
  <c r="BF103" i="6" s="1"/>
  <c r="BG103" i="6" s="1"/>
  <c r="BH103" i="6" s="1"/>
  <c r="BE85" i="6"/>
  <c r="BE83" i="6"/>
  <c r="BE54" i="6"/>
  <c r="BF6" i="8" s="1"/>
  <c r="BF7" i="8" s="1"/>
  <c r="BE36" i="6"/>
  <c r="BB44" i="8"/>
  <c r="BC44" i="8" s="1"/>
  <c r="BD44" i="8" s="1"/>
  <c r="AD35" i="7"/>
  <c r="AD31" i="7"/>
  <c r="AC35" i="7"/>
  <c r="AC31" i="7"/>
  <c r="AB35" i="7"/>
  <c r="AB31" i="7"/>
  <c r="AA35" i="7"/>
  <c r="AA31" i="7"/>
  <c r="Z35" i="7"/>
  <c r="Z31" i="7"/>
  <c r="Y35" i="7"/>
  <c r="Y31" i="7"/>
  <c r="X35" i="7"/>
  <c r="W35" i="7"/>
  <c r="V35" i="7"/>
  <c r="U35" i="7"/>
  <c r="BE31" i="6" l="1"/>
  <c r="BD3" i="8"/>
  <c r="W22" i="11"/>
  <c r="X22" i="11" s="1"/>
  <c r="Y22" i="11" s="1"/>
  <c r="Z22" i="11" s="1"/>
  <c r="AA22" i="11" s="1"/>
  <c r="AB22" i="11" s="1"/>
  <c r="AC22" i="11" s="1"/>
  <c r="AD22" i="11" s="1"/>
  <c r="T42" i="28"/>
  <c r="AX34" i="6"/>
  <c r="AW163" i="6"/>
  <c r="BF5" i="8"/>
  <c r="BH7" i="8"/>
  <c r="BG7" i="8"/>
  <c r="BI7" i="8"/>
  <c r="BG50" i="8"/>
  <c r="BG85" i="6"/>
  <c r="BE55" i="6"/>
  <c r="BE59" i="6" s="1"/>
  <c r="BF55" i="6"/>
  <c r="BF59" i="6" s="1"/>
  <c r="BH55" i="6"/>
  <c r="BH59" i="6" s="1"/>
  <c r="BG55" i="6"/>
  <c r="BG59" i="6" s="1"/>
  <c r="AD49" i="7"/>
  <c r="AC49" i="7"/>
  <c r="AB49" i="7"/>
  <c r="AA49" i="7"/>
  <c r="Z49" i="7"/>
  <c r="Y49" i="7"/>
  <c r="T61" i="28"/>
  <c r="S61" i="28"/>
  <c r="CD23" i="8"/>
  <c r="CC23" i="8"/>
  <c r="CB23" i="8"/>
  <c r="CA23" i="8"/>
  <c r="BZ23" i="8"/>
  <c r="CB185" i="6"/>
  <c r="CB182" i="6"/>
  <c r="CB181" i="6"/>
  <c r="CB180" i="6"/>
  <c r="CB179" i="6"/>
  <c r="CB173" i="6"/>
  <c r="CB126" i="6"/>
  <c r="CB83" i="6"/>
  <c r="CA185" i="6"/>
  <c r="CA182" i="6"/>
  <c r="CA181" i="6"/>
  <c r="CA180" i="6"/>
  <c r="CA179" i="6"/>
  <c r="CA173" i="6"/>
  <c r="CA83" i="6"/>
  <c r="BZ185" i="6"/>
  <c r="BZ182" i="6"/>
  <c r="BZ181" i="6"/>
  <c r="BZ180" i="6"/>
  <c r="BZ179" i="6"/>
  <c r="BZ173" i="6"/>
  <c r="BZ83" i="6"/>
  <c r="BY185" i="6"/>
  <c r="BY182" i="6"/>
  <c r="BY181" i="6"/>
  <c r="BY180" i="6"/>
  <c r="BY179" i="6"/>
  <c r="BY173" i="6"/>
  <c r="BY83" i="6"/>
  <c r="BX185" i="6"/>
  <c r="BX182" i="6"/>
  <c r="BX181" i="6"/>
  <c r="BX180" i="6"/>
  <c r="BX179" i="6"/>
  <c r="BX173" i="6"/>
  <c r="BX83" i="6"/>
  <c r="BW185" i="6"/>
  <c r="BW182" i="6"/>
  <c r="BW181" i="6"/>
  <c r="BW180" i="6"/>
  <c r="BW179" i="6"/>
  <c r="BW173" i="6"/>
  <c r="BW83" i="6"/>
  <c r="BV185" i="6"/>
  <c r="BV182" i="6"/>
  <c r="BV181" i="6"/>
  <c r="BV180" i="6"/>
  <c r="BV179" i="6"/>
  <c r="BV83" i="6"/>
  <c r="BU185" i="6"/>
  <c r="BU182" i="6"/>
  <c r="BU181" i="6"/>
  <c r="BU180" i="6"/>
  <c r="BU179" i="6"/>
  <c r="BU83" i="6"/>
  <c r="BT185" i="6"/>
  <c r="BT83" i="6"/>
  <c r="BS185" i="6"/>
  <c r="BS83" i="6"/>
  <c r="CB2" i="6"/>
  <c r="CE4" i="8" s="1"/>
  <c r="AD4" i="11" s="1"/>
  <c r="AD4" i="7" s="1"/>
  <c r="CA2" i="6"/>
  <c r="CD4" i="8" s="1"/>
  <c r="AC4" i="11" s="1"/>
  <c r="AC4" i="7" s="1"/>
  <c r="BZ2" i="6"/>
  <c r="CC4" i="8" s="1"/>
  <c r="AB4" i="11" s="1"/>
  <c r="AB4" i="7" s="1"/>
  <c r="BY2" i="6"/>
  <c r="CB4" i="8" s="1"/>
  <c r="AA4" i="11" s="1"/>
  <c r="AA4" i="7" s="1"/>
  <c r="BX2" i="6"/>
  <c r="CA4" i="8" s="1"/>
  <c r="Z4" i="11" s="1"/>
  <c r="Z4" i="7" s="1"/>
  <c r="BW2" i="6"/>
  <c r="BZ4" i="8" s="1"/>
  <c r="Y4" i="11" s="1"/>
  <c r="Y4" i="7" s="1"/>
  <c r="BV2" i="6"/>
  <c r="BY4" i="8" s="1"/>
  <c r="X4" i="11" s="1"/>
  <c r="X4" i="7" s="1"/>
  <c r="BU2" i="6"/>
  <c r="BX4" i="8" s="1"/>
  <c r="W4" i="11" s="1"/>
  <c r="W4" i="7" s="1"/>
  <c r="BT2" i="6"/>
  <c r="BW4" i="8" s="1"/>
  <c r="V4" i="11" s="1"/>
  <c r="V4" i="7" s="1"/>
  <c r="BS2" i="6"/>
  <c r="BV4" i="8" s="1"/>
  <c r="U4" i="11" s="1"/>
  <c r="U4" i="7" s="1"/>
  <c r="BI12" i="8" l="1"/>
  <c r="BH59" i="8"/>
  <c r="BH56" i="8"/>
  <c r="BG59" i="8"/>
  <c r="BF248" i="6"/>
  <c r="BG248" i="6"/>
  <c r="BG56" i="8"/>
  <c r="BI5" i="8"/>
  <c r="BG5" i="8"/>
  <c r="BH5" i="8"/>
  <c r="BF60" i="8"/>
  <c r="BF53" i="8"/>
  <c r="BF50" i="8"/>
  <c r="BF59" i="8"/>
  <c r="BF56" i="8"/>
  <c r="BF54" i="8"/>
  <c r="BF51" i="8"/>
  <c r="W19" i="7"/>
  <c r="W9" i="7"/>
  <c r="X19" i="7"/>
  <c r="X9" i="7"/>
  <c r="Y19" i="7"/>
  <c r="Y9" i="7"/>
  <c r="Z19" i="7"/>
  <c r="Z9" i="7"/>
  <c r="AA19" i="7"/>
  <c r="AA9" i="7"/>
  <c r="AB19" i="7"/>
  <c r="AB9" i="7"/>
  <c r="AC19" i="7"/>
  <c r="AC9" i="7"/>
  <c r="AD19" i="7"/>
  <c r="AD9" i="7"/>
  <c r="BX186" i="6"/>
  <c r="BX188" i="6" s="1"/>
  <c r="Z13" i="7" s="1"/>
  <c r="Z34" i="7" s="1"/>
  <c r="BY186" i="6"/>
  <c r="BY188" i="6" s="1"/>
  <c r="AA13" i="7" s="1"/>
  <c r="AA34" i="7" s="1"/>
  <c r="CA186" i="6"/>
  <c r="CA188" i="6" s="1"/>
  <c r="AC13" i="7" s="1"/>
  <c r="AC34" i="7" s="1"/>
  <c r="BH85" i="6"/>
  <c r="BU186" i="6"/>
  <c r="BV186" i="6"/>
  <c r="BW186" i="6"/>
  <c r="BW188" i="6" s="1"/>
  <c r="Y13" i="7" s="1"/>
  <c r="Y34" i="7" s="1"/>
  <c r="BZ186" i="6"/>
  <c r="BZ188" i="6" s="1"/>
  <c r="AB13" i="7" s="1"/>
  <c r="AB34" i="7" s="1"/>
  <c r="CB186" i="6"/>
  <c r="CB188" i="6" s="1"/>
  <c r="AD13" i="7" s="1"/>
  <c r="AD34" i="7" s="1"/>
  <c r="BE60" i="6"/>
  <c r="BF60" i="6"/>
  <c r="BH60" i="6"/>
  <c r="BG60" i="6"/>
  <c r="BI56" i="8" l="1"/>
  <c r="BH160" i="6"/>
  <c r="BI59" i="8"/>
  <c r="BI53" i="8"/>
  <c r="BI50" i="8"/>
  <c r="BH248" i="6"/>
  <c r="BH53" i="8"/>
  <c r="BH50" i="8"/>
  <c r="P13" i="28" l="1"/>
  <c r="BG53" i="8"/>
  <c r="BI248" i="6" l="1"/>
  <c r="Q15" i="13"/>
  <c r="P8" i="13"/>
  <c r="Q8" i="13"/>
  <c r="Q5" i="13" l="1"/>
  <c r="AK28" i="8"/>
  <c r="AK27" i="8"/>
  <c r="AK24" i="8"/>
  <c r="AK23" i="8"/>
  <c r="AK19" i="8"/>
  <c r="AK16" i="8"/>
  <c r="AK162" i="6" s="1"/>
  <c r="AK163" i="6" s="1"/>
  <c r="AK15" i="8"/>
  <c r="AQ58" i="6" l="1"/>
  <c r="AQ57" i="6"/>
  <c r="AQ54" i="6"/>
  <c r="AQ53" i="6" s="1"/>
  <c r="AK125" i="6"/>
  <c r="AK124" i="6"/>
  <c r="AK123" i="6"/>
  <c r="AK122" i="6"/>
  <c r="AK121" i="6"/>
  <c r="AK120" i="6"/>
  <c r="AK119" i="6"/>
  <c r="AJ108" i="6"/>
  <c r="AI108" i="6"/>
  <c r="AJ102" i="6"/>
  <c r="AI102" i="6"/>
  <c r="AJ74" i="6"/>
  <c r="AI74" i="6"/>
  <c r="AI138" i="6"/>
  <c r="AI128" i="6"/>
  <c r="BB63" i="8" l="1"/>
  <c r="BA63" i="8"/>
  <c r="BB61" i="8"/>
  <c r="BA61" i="8"/>
  <c r="BB60" i="8"/>
  <c r="BA60" i="8"/>
  <c r="BB59" i="8"/>
  <c r="BA59" i="8"/>
  <c r="BB56" i="8"/>
  <c r="BA56" i="8"/>
  <c r="BB54" i="8"/>
  <c r="BA54" i="8"/>
  <c r="BB53" i="8"/>
  <c r="BA53" i="8"/>
  <c r="BB51" i="8"/>
  <c r="BA51" i="8"/>
  <c r="BB50" i="8"/>
  <c r="BA50" i="8"/>
  <c r="BD47" i="8" l="1"/>
  <c r="BC47" i="8"/>
  <c r="BC138" i="6"/>
  <c r="BC85" i="6"/>
  <c r="BC83" i="6"/>
  <c r="BC54" i="6"/>
  <c r="BB138" i="6"/>
  <c r="BB85" i="6"/>
  <c r="BB83" i="6"/>
  <c r="BB54" i="6"/>
  <c r="BC43" i="6"/>
  <c r="BC6" i="8" l="1"/>
  <c r="BC7" i="8" s="1"/>
  <c r="BC11" i="8"/>
  <c r="BC9" i="8"/>
  <c r="BC10" i="8"/>
  <c r="BD11" i="8"/>
  <c r="BC55" i="6"/>
  <c r="BC59" i="6" s="1"/>
  <c r="BB32" i="6"/>
  <c r="BB62" i="6" s="1"/>
  <c r="BB63" i="6" s="1"/>
  <c r="BB55" i="6"/>
  <c r="BB59" i="6" s="1"/>
  <c r="BC32" i="6" l="1"/>
  <c r="BD37" i="6"/>
  <c r="BD10" i="8"/>
  <c r="BD9" i="8"/>
  <c r="BD6" i="8"/>
  <c r="BD7" i="8" s="1"/>
  <c r="BC5" i="8"/>
  <c r="BC60" i="6"/>
  <c r="BB154" i="6"/>
  <c r="BB155" i="6" s="1"/>
  <c r="BF151" i="6" s="1"/>
  <c r="BB23" i="6"/>
  <c r="BB60" i="6"/>
  <c r="BC61" i="6" l="1"/>
  <c r="BC154" i="6"/>
  <c r="BC155" i="6" s="1"/>
  <c r="BG151" i="6" s="1"/>
  <c r="BC31" i="6"/>
  <c r="BC26" i="6"/>
  <c r="BC75" i="6" s="1"/>
  <c r="BE37" i="6"/>
  <c r="BE32" i="6"/>
  <c r="BD32" i="6"/>
  <c r="C29" i="38" s="1"/>
  <c r="BH36" i="6"/>
  <c r="BH30" i="6"/>
  <c r="BI33" i="6"/>
  <c r="BD5" i="8"/>
  <c r="BC61" i="8"/>
  <c r="BC60" i="8"/>
  <c r="BC59" i="8"/>
  <c r="BC56" i="8"/>
  <c r="BC53" i="8"/>
  <c r="BC50" i="8"/>
  <c r="BD56" i="8"/>
  <c r="BJ35" i="6" l="1"/>
  <c r="BJ30" i="6"/>
  <c r="BI58" i="6"/>
  <c r="BN36" i="6"/>
  <c r="D35" i="38"/>
  <c r="BI54" i="6"/>
  <c r="BI53" i="6" s="1"/>
  <c r="E31" i="38"/>
  <c r="D31" i="38"/>
  <c r="BE29" i="6"/>
  <c r="BR33" i="6"/>
  <c r="F31" i="38" s="1"/>
  <c r="BC25" i="6"/>
  <c r="BC87" i="6" s="1"/>
  <c r="BC88" i="6" s="1"/>
  <c r="BC89" i="6" s="1"/>
  <c r="BD53" i="8"/>
  <c r="BC62" i="6"/>
  <c r="BC63" i="6" s="1"/>
  <c r="BD59" i="8"/>
  <c r="BC23" i="6"/>
  <c r="BD61" i="8"/>
  <c r="BD60" i="8"/>
  <c r="BD50" i="8"/>
  <c r="BE154" i="6"/>
  <c r="BE155" i="6" s="1"/>
  <c r="BF37" i="6"/>
  <c r="BF32" i="6"/>
  <c r="BF31" i="6"/>
  <c r="BI36" i="6"/>
  <c r="BB22" i="6"/>
  <c r="BB87" i="6"/>
  <c r="BB88" i="6" s="1"/>
  <c r="BB89" i="6" s="1"/>
  <c r="AV39" i="6"/>
  <c r="AU39" i="6"/>
  <c r="AZ39" i="6"/>
  <c r="BA39" i="6" s="1"/>
  <c r="BC39" i="6" s="1"/>
  <c r="BD54" i="8" s="1"/>
  <c r="BK35" i="6" l="1"/>
  <c r="BK41" i="6"/>
  <c r="BS33" i="6"/>
  <c r="G31" i="38" s="1"/>
  <c r="BC22" i="6"/>
  <c r="BF154" i="6"/>
  <c r="BF155" i="6" s="1"/>
  <c r="BF29" i="6"/>
  <c r="BG32" i="6"/>
  <c r="BG31" i="6"/>
  <c r="BG37" i="6"/>
  <c r="BE102" i="6"/>
  <c r="BE23" i="6"/>
  <c r="BC118" i="6"/>
  <c r="AZ102" i="6"/>
  <c r="AZ97" i="6"/>
  <c r="AZ99" i="6" s="1"/>
  <c r="AX97" i="6"/>
  <c r="AW97" i="6"/>
  <c r="AV97" i="6"/>
  <c r="BL35" i="6" l="1"/>
  <c r="G14" i="34"/>
  <c r="H14" i="34" s="1"/>
  <c r="G20" i="34"/>
  <c r="BF152" i="6"/>
  <c r="BF153" i="6" s="1"/>
  <c r="BJ151" i="6"/>
  <c r="BT33" i="6"/>
  <c r="H31" i="38" s="1"/>
  <c r="BG154" i="6"/>
  <c r="BG155" i="6" s="1"/>
  <c r="BG26" i="6"/>
  <c r="BG29" i="6"/>
  <c r="BG35" i="6"/>
  <c r="BI34" i="6"/>
  <c r="BH31" i="6"/>
  <c r="BH37" i="6"/>
  <c r="BH32" i="6"/>
  <c r="BM35" i="6" s="1"/>
  <c r="BE87" i="6"/>
  <c r="BE88" i="6" s="1"/>
  <c r="BE22" i="6"/>
  <c r="BF102" i="6"/>
  <c r="BF23" i="6"/>
  <c r="AZ74" i="6"/>
  <c r="AZ75" i="6" s="1"/>
  <c r="AZ70" i="6"/>
  <c r="AZ128" i="6"/>
  <c r="BG107" i="6" l="1"/>
  <c r="BG70" i="6"/>
  <c r="BG75" i="6"/>
  <c r="BJ152" i="6"/>
  <c r="BJ153" i="6" s="1"/>
  <c r="BI163" i="6"/>
  <c r="BN37" i="6"/>
  <c r="BG152" i="6"/>
  <c r="BG153" i="6" s="1"/>
  <c r="BK151" i="6"/>
  <c r="D32" i="38"/>
  <c r="BJ31" i="6"/>
  <c r="BC128" i="6"/>
  <c r="BU33" i="6"/>
  <c r="BE89" i="6"/>
  <c r="BF22" i="6"/>
  <c r="BF87" i="6"/>
  <c r="BF88" i="6" s="1"/>
  <c r="BI37" i="6"/>
  <c r="BI32" i="6"/>
  <c r="BJ29" i="6" s="1"/>
  <c r="BH26" i="6"/>
  <c r="BH29" i="6"/>
  <c r="BH154" i="6"/>
  <c r="BH155" i="6" s="1"/>
  <c r="BL151" i="6" s="1"/>
  <c r="BH35" i="6"/>
  <c r="BG25" i="6"/>
  <c r="BG102" i="6"/>
  <c r="BG23" i="6"/>
  <c r="BB9" i="8"/>
  <c r="BB10" i="8"/>
  <c r="BA131" i="6"/>
  <c r="BB133" i="6" s="1"/>
  <c r="BC131" i="6" s="1"/>
  <c r="BC133" i="6" s="1"/>
  <c r="BA99" i="6"/>
  <c r="BA85" i="6"/>
  <c r="BA83" i="6"/>
  <c r="BA54" i="6"/>
  <c r="BB6" i="8" s="1"/>
  <c r="BA37" i="6"/>
  <c r="BA36" i="6"/>
  <c r="BA32" i="6"/>
  <c r="BF35" i="6" s="1"/>
  <c r="BB47" i="8"/>
  <c r="L17" i="34"/>
  <c r="L15" i="34"/>
  <c r="BK152" i="6" l="1"/>
  <c r="BK153" i="6" s="1"/>
  <c r="D9" i="36"/>
  <c r="D11" i="36" s="1"/>
  <c r="D19" i="36" s="1"/>
  <c r="BH107" i="6"/>
  <c r="BH70" i="6"/>
  <c r="BH75" i="6"/>
  <c r="BL152" i="6"/>
  <c r="BL153" i="6" s="1"/>
  <c r="BI26" i="6"/>
  <c r="D29" i="38"/>
  <c r="BV33" i="6"/>
  <c r="BH102" i="6"/>
  <c r="BH23" i="6"/>
  <c r="BH25" i="6"/>
  <c r="BG22" i="6"/>
  <c r="BG87" i="6"/>
  <c r="BG88" i="6" s="1"/>
  <c r="BF118" i="6"/>
  <c r="BF89" i="6"/>
  <c r="BA97" i="6"/>
  <c r="BB99" i="6"/>
  <c r="BB11" i="8"/>
  <c r="BA55" i="6"/>
  <c r="BA59" i="6" s="1"/>
  <c r="BA60" i="6" s="1"/>
  <c r="BB7" i="8"/>
  <c r="BA154" i="6"/>
  <c r="BA155" i="6" s="1"/>
  <c r="BE151" i="6" s="1"/>
  <c r="BE152" i="6" s="1"/>
  <c r="BE153" i="6" s="1"/>
  <c r="D12" i="36" l="1"/>
  <c r="E9" i="36"/>
  <c r="E11" i="36" s="1"/>
  <c r="E19" i="36" s="1"/>
  <c r="E24" i="36" s="1"/>
  <c r="E37" i="36" s="1"/>
  <c r="BI107" i="6"/>
  <c r="BI70" i="6"/>
  <c r="BI244" i="6"/>
  <c r="BI245" i="6" s="1"/>
  <c r="BI75" i="6"/>
  <c r="BW33" i="6"/>
  <c r="BG118" i="6"/>
  <c r="BG89" i="6"/>
  <c r="BH22" i="6"/>
  <c r="BH87" i="6"/>
  <c r="BH88" i="6" s="1"/>
  <c r="BB97" i="6"/>
  <c r="BC99" i="6"/>
  <c r="BC97" i="6" s="1"/>
  <c r="BB5" i="8"/>
  <c r="BA23" i="6"/>
  <c r="AY23" i="8"/>
  <c r="AY19" i="8"/>
  <c r="AX248" i="6" s="1"/>
  <c r="AY18" i="8"/>
  <c r="AY16" i="8"/>
  <c r="AX162" i="6" s="1"/>
  <c r="AX163" i="6" s="1"/>
  <c r="AY15" i="8"/>
  <c r="AX158" i="6" s="1"/>
  <c r="AY12" i="8"/>
  <c r="AZ36" i="6"/>
  <c r="AZ103" i="6"/>
  <c r="BA103" i="6" s="1"/>
  <c r="BB103" i="6" s="1"/>
  <c r="AZ85" i="6"/>
  <c r="AZ83" i="6"/>
  <c r="AZ54" i="6"/>
  <c r="AZ55" i="6" s="1"/>
  <c r="BA11" i="8"/>
  <c r="BD45" i="6" s="1"/>
  <c r="AZ87" i="6"/>
  <c r="AZ88" i="6" s="1"/>
  <c r="AZ23" i="6"/>
  <c r="AZ22" i="6"/>
  <c r="BA47" i="8"/>
  <c r="BA10" i="8"/>
  <c r="BA9" i="8"/>
  <c r="AX37" i="8"/>
  <c r="BB47" i="25"/>
  <c r="BB48" i="25" s="1"/>
  <c r="E25" i="36" l="1"/>
  <c r="E47" i="36" s="1"/>
  <c r="E53" i="36" s="1"/>
  <c r="E72" i="36"/>
  <c r="E73" i="36" s="1"/>
  <c r="E74" i="36" s="1"/>
  <c r="D25" i="36"/>
  <c r="D47" i="36" s="1"/>
  <c r="D53" i="36" s="1"/>
  <c r="D24" i="36"/>
  <c r="D37" i="36" s="1"/>
  <c r="D38" i="36" s="1"/>
  <c r="E12" i="36"/>
  <c r="E77" i="36"/>
  <c r="E36" i="36"/>
  <c r="E38" i="36"/>
  <c r="E42" i="36"/>
  <c r="E44" i="36" s="1"/>
  <c r="BI88" i="6"/>
  <c r="BJ118" i="6" s="1"/>
  <c r="AX249" i="6"/>
  <c r="AX160" i="6"/>
  <c r="BX33" i="6"/>
  <c r="BH89" i="6"/>
  <c r="BH118" i="6"/>
  <c r="BC103" i="6"/>
  <c r="BC102" i="6" s="1"/>
  <c r="BB102" i="6"/>
  <c r="AX44" i="8"/>
  <c r="BA102" i="6"/>
  <c r="BA87" i="6"/>
  <c r="BA88" i="6" s="1"/>
  <c r="BA22" i="6"/>
  <c r="BA6" i="8"/>
  <c r="BD54" i="6" s="1"/>
  <c r="AZ37" i="6"/>
  <c r="AZ32" i="6"/>
  <c r="AZ89" i="6"/>
  <c r="AZ59" i="6"/>
  <c r="AY47" i="8"/>
  <c r="AX126" i="6"/>
  <c r="AX125" i="6"/>
  <c r="AX124" i="6"/>
  <c r="AW70" i="6"/>
  <c r="AV70" i="6"/>
  <c r="BC37" i="6"/>
  <c r="D36" i="36" l="1"/>
  <c r="E55" i="36"/>
  <c r="D42" i="36"/>
  <c r="D44" i="36" s="1"/>
  <c r="D55" i="36" s="1"/>
  <c r="E76" i="36"/>
  <c r="E78" i="36" s="1"/>
  <c r="E154" i="36"/>
  <c r="F154" i="36" s="1"/>
  <c r="G154" i="36" s="1"/>
  <c r="BD53" i="6"/>
  <c r="C35" i="38" s="1"/>
  <c r="BD56" i="6"/>
  <c r="BY33" i="6"/>
  <c r="BE35" i="6"/>
  <c r="D18" i="34"/>
  <c r="BA89" i="6"/>
  <c r="BB118" i="6"/>
  <c r="AX39" i="6"/>
  <c r="BA118" i="6"/>
  <c r="AZ154" i="6"/>
  <c r="AZ155" i="6" s="1"/>
  <c r="AZ60" i="6"/>
  <c r="BC36" i="6"/>
  <c r="BI62" i="6" l="1"/>
  <c r="BD52" i="6"/>
  <c r="BI52" i="6"/>
  <c r="BZ33" i="6"/>
  <c r="F18" i="34"/>
  <c r="AY10" i="8"/>
  <c r="AY9" i="8"/>
  <c r="AX138" i="6"/>
  <c r="AX131" i="6"/>
  <c r="AX85" i="6"/>
  <c r="AX83" i="6"/>
  <c r="AX54" i="6"/>
  <c r="AY6" i="8" s="1"/>
  <c r="AY11" i="8"/>
  <c r="AX32" i="6"/>
  <c r="AX25" i="6"/>
  <c r="AX87" i="6" s="1"/>
  <c r="AX23" i="6"/>
  <c r="AX88" i="6" l="1"/>
  <c r="AX122" i="6" s="1"/>
  <c r="AX118" i="6" s="1"/>
  <c r="CA33" i="6"/>
  <c r="AX22" i="6"/>
  <c r="AX154" i="6"/>
  <c r="AX155" i="6" s="1"/>
  <c r="BC35" i="6"/>
  <c r="BB151" i="6"/>
  <c r="AY7" i="8"/>
  <c r="AY5" i="8" s="1"/>
  <c r="AX55" i="6"/>
  <c r="AX59" i="6" s="1"/>
  <c r="AW138" i="6"/>
  <c r="AW128" i="6"/>
  <c r="AX89" i="6" l="1"/>
  <c r="CB33" i="6"/>
  <c r="BB152" i="6"/>
  <c r="BB153" i="6" s="1"/>
  <c r="AX60" i="6"/>
  <c r="AW27" i="6"/>
  <c r="AW37" i="8"/>
  <c r="AW44" i="8" s="1"/>
  <c r="AV37" i="8"/>
  <c r="AV44" i="8" s="1"/>
  <c r="AW53" i="6"/>
  <c r="AY44" i="8" l="1"/>
  <c r="AY37" i="8" s="1"/>
  <c r="AJ97" i="6"/>
  <c r="AW54" i="6"/>
  <c r="AW131" i="6"/>
  <c r="AW85" i="6"/>
  <c r="AX37" i="6" l="1"/>
  <c r="BB37" i="6"/>
  <c r="AW39" i="6"/>
  <c r="AX36" i="6"/>
  <c r="BB36" i="6"/>
  <c r="AX11" i="8"/>
  <c r="AW37" i="6"/>
  <c r="AX10" i="8"/>
  <c r="AW36" i="6"/>
  <c r="AW55" i="6"/>
  <c r="AW59" i="6" s="1"/>
  <c r="AX6" i="8"/>
  <c r="AX9" i="8"/>
  <c r="AW32" i="6"/>
  <c r="AX35" i="6" l="1"/>
  <c r="BB35" i="6"/>
  <c r="AW154" i="6"/>
  <c r="AW155" i="6" s="1"/>
  <c r="BA151" i="6" s="1"/>
  <c r="D19" i="34"/>
  <c r="AX7" i="8"/>
  <c r="AX5" i="8" s="1"/>
  <c r="AW23" i="6"/>
  <c r="AW87" i="6"/>
  <c r="AW88" i="6" s="1"/>
  <c r="AW60" i="6"/>
  <c r="BB39" i="6" l="1"/>
  <c r="BA152" i="6"/>
  <c r="BA153" i="6" s="1"/>
  <c r="AW89" i="6"/>
  <c r="AW118" i="6"/>
  <c r="AW22" i="6"/>
  <c r="AV74" i="6"/>
  <c r="AV75" i="6" s="1"/>
  <c r="AW75" i="6" s="1"/>
  <c r="AV84" i="6"/>
  <c r="AW83" i="6" s="1"/>
  <c r="AV89" i="6"/>
  <c r="AU89" i="6"/>
  <c r="AV138" i="6"/>
  <c r="AV131" i="6"/>
  <c r="AV128" i="6"/>
  <c r="J30" i="34"/>
  <c r="K33" i="34"/>
  <c r="C32" i="34"/>
  <c r="D32" i="34"/>
  <c r="G32" i="34"/>
  <c r="F32" i="34"/>
  <c r="K27" i="34"/>
  <c r="P8" i="34"/>
  <c r="P9" i="34" s="1"/>
  <c r="O9" i="34"/>
  <c r="O10" i="34" s="1"/>
  <c r="M10" i="34"/>
  <c r="Q40" i="34"/>
  <c r="P34" i="34"/>
  <c r="O31" i="34"/>
  <c r="N31" i="34"/>
  <c r="Q26" i="34"/>
  <c r="Q25" i="34"/>
  <c r="P21" i="34"/>
  <c r="L24" i="34"/>
  <c r="BE39" i="6" l="1"/>
  <c r="AX75" i="6"/>
  <c r="AX74" i="6" s="1"/>
  <c r="AX121" i="6" s="1"/>
  <c r="AW74" i="6"/>
  <c r="BJ37" i="25"/>
  <c r="BJ36" i="25"/>
  <c r="BJ35" i="25"/>
  <c r="BJ34" i="25"/>
  <c r="BJ33" i="25"/>
  <c r="BJ32" i="25"/>
  <c r="BK32" i="25" s="1"/>
  <c r="BK33" i="25" s="1"/>
  <c r="BJ31" i="25"/>
  <c r="BK31" i="25" s="1"/>
  <c r="BJ30" i="25"/>
  <c r="BK30" i="25" s="1"/>
  <c r="BF39" i="6" l="1"/>
  <c r="BC54" i="8"/>
  <c r="BL32" i="25"/>
  <c r="H9" i="34"/>
  <c r="E9" i="34"/>
  <c r="BG39" i="6" l="1"/>
  <c r="BJ39" i="6" s="1"/>
  <c r="AT37" i="8"/>
  <c r="AT36" i="8" s="1"/>
  <c r="AW10" i="8"/>
  <c r="AR5" i="8"/>
  <c r="AS5" i="8"/>
  <c r="AT5" i="8"/>
  <c r="AV5" i="8"/>
  <c r="AV6" i="8"/>
  <c r="AU107" i="6"/>
  <c r="AU108" i="6" s="1"/>
  <c r="AU102" i="6"/>
  <c r="AU103" i="6" s="1"/>
  <c r="AV103" i="6" s="1"/>
  <c r="AW103" i="6" s="1"/>
  <c r="AU97" i="6"/>
  <c r="AU99" i="6" s="1"/>
  <c r="AU70" i="6"/>
  <c r="AU71" i="6" s="1"/>
  <c r="AU84" i="6"/>
  <c r="BH39" i="6" l="1"/>
  <c r="BK39" i="6" s="1"/>
  <c r="AX103" i="6"/>
  <c r="AX102" i="6" s="1"/>
  <c r="AW102" i="6"/>
  <c r="AV107" i="6"/>
  <c r="AW107" i="6" s="1"/>
  <c r="H7" i="34"/>
  <c r="E7" i="34"/>
  <c r="BL39" i="6" l="1"/>
  <c r="BM39" i="6" s="1"/>
  <c r="AX107" i="6"/>
  <c r="AX108" i="6" s="1"/>
  <c r="AX123" i="6" s="1"/>
  <c r="AW108" i="6"/>
  <c r="AX70" i="6"/>
  <c r="AX71" i="6" s="1"/>
  <c r="AX119" i="6" s="1"/>
  <c r="AW71" i="6"/>
  <c r="AU74" i="6"/>
  <c r="AU75" i="6" s="1"/>
  <c r="AU87" i="6"/>
  <c r="AV85" i="6"/>
  <c r="AU85" i="6"/>
  <c r="AU88" i="6" l="1"/>
  <c r="AW9" i="8" l="1"/>
  <c r="AU23" i="6" l="1"/>
  <c r="AU22" i="6"/>
  <c r="AU128" i="6"/>
  <c r="AX128" i="6" s="1"/>
  <c r="AX129" i="6" s="1"/>
  <c r="AX134" i="6" s="1"/>
  <c r="AU129" i="6" l="1"/>
  <c r="AU134" i="6" s="1"/>
  <c r="AU144" i="6" s="1"/>
  <c r="AX144" i="6"/>
  <c r="AX140" i="6"/>
  <c r="AX146" i="6" s="1"/>
  <c r="AX142" i="6"/>
  <c r="AV11" i="8"/>
  <c r="AW6" i="8"/>
  <c r="AW11" i="8"/>
  <c r="AV32" i="6"/>
  <c r="AU32" i="6"/>
  <c r="AV14" i="8"/>
  <c r="BF37" i="25"/>
  <c r="AU142" i="6" l="1"/>
  <c r="AU140" i="6"/>
  <c r="AU146" i="6" s="1"/>
  <c r="AZ35" i="6"/>
  <c r="AU154" i="6"/>
  <c r="AU152" i="6"/>
  <c r="BA35" i="6"/>
  <c r="AW35" i="6"/>
  <c r="AV17" i="8"/>
  <c r="AV20" i="8" s="1"/>
  <c r="AV25" i="8" s="1"/>
  <c r="AV32" i="8" s="1"/>
  <c r="AV154" i="6"/>
  <c r="AV155" i="6" s="1"/>
  <c r="AZ151" i="6" s="1"/>
  <c r="AZ152" i="6" s="1"/>
  <c r="AZ153" i="6" s="1"/>
  <c r="AW7" i="8"/>
  <c r="AW5" i="8" s="1"/>
  <c r="Q38" i="13"/>
  <c r="AV21" i="8" l="1"/>
  <c r="G18" i="34"/>
  <c r="H18" i="34" s="1"/>
  <c r="H20" i="34"/>
  <c r="L23" i="34"/>
  <c r="K24" i="34"/>
  <c r="M24" i="34" s="1"/>
  <c r="J20" i="34"/>
  <c r="AV30" i="8"/>
  <c r="P61" i="13"/>
  <c r="O61" i="13"/>
  <c r="N61" i="13"/>
  <c r="C39" i="12"/>
  <c r="BF31" i="25"/>
  <c r="BF30" i="25"/>
  <c r="BG30" i="25" s="1"/>
  <c r="BC30" i="25"/>
  <c r="B220" i="31"/>
  <c r="D200" i="31"/>
  <c r="B183" i="31"/>
  <c r="B184" i="31" s="1"/>
  <c r="B185" i="31" s="1"/>
  <c r="B186" i="31" s="1"/>
  <c r="B187" i="31" s="1"/>
  <c r="B188" i="31" s="1"/>
  <c r="B189" i="31" s="1"/>
  <c r="B190" i="31" s="1"/>
  <c r="B191" i="31" s="1"/>
  <c r="G191" i="31"/>
  <c r="D171" i="31"/>
  <c r="B201" i="31"/>
  <c r="B202" i="31" s="1"/>
  <c r="B203" i="31" s="1"/>
  <c r="B204" i="31" s="1"/>
  <c r="B205" i="31" s="1"/>
  <c r="B206" i="31" s="1"/>
  <c r="B207" i="31" s="1"/>
  <c r="B208" i="31" s="1"/>
  <c r="B209" i="31" s="1"/>
  <c r="B210" i="31" s="1"/>
  <c r="B211" i="31" s="1"/>
  <c r="B212" i="31" s="1"/>
  <c r="B213" i="31" s="1"/>
  <c r="AV33" i="8" l="1"/>
  <c r="K23" i="34"/>
  <c r="M23" i="34" s="1"/>
  <c r="I20" i="34"/>
  <c r="H4" i="34"/>
  <c r="E4" i="34"/>
  <c r="G200" i="31"/>
  <c r="H200" i="31" s="1"/>
  <c r="G201" i="31"/>
  <c r="G202" i="31"/>
  <c r="G203" i="31"/>
  <c r="G204" i="31"/>
  <c r="G205" i="31"/>
  <c r="G206" i="31"/>
  <c r="G207" i="31"/>
  <c r="G208" i="31"/>
  <c r="G209" i="31"/>
  <c r="G210" i="31"/>
  <c r="G211" i="31"/>
  <c r="G212" i="31"/>
  <c r="G213" i="31"/>
  <c r="E200" i="31"/>
  <c r="I200" i="31" s="1"/>
  <c r="E201" i="31"/>
  <c r="E202" i="31"/>
  <c r="E203" i="31"/>
  <c r="G182" i="31"/>
  <c r="G183" i="31"/>
  <c r="G184" i="31"/>
  <c r="G185" i="31"/>
  <c r="G186" i="31"/>
  <c r="G187" i="31"/>
  <c r="G188" i="31"/>
  <c r="G189" i="31"/>
  <c r="G190" i="31"/>
  <c r="C220" i="31"/>
  <c r="B222" i="31"/>
  <c r="C218" i="31"/>
  <c r="O80" i="13"/>
  <c r="M80" i="13"/>
  <c r="AT182" i="6"/>
  <c r="AT181" i="6"/>
  <c r="AT180" i="6"/>
  <c r="AT179" i="6"/>
  <c r="AQ182" i="6"/>
  <c r="AQ181" i="6"/>
  <c r="AQ180" i="6"/>
  <c r="AQ179" i="6"/>
  <c r="AL182" i="6"/>
  <c r="AL181" i="6"/>
  <c r="AL180" i="6"/>
  <c r="AL179" i="6"/>
  <c r="AT168" i="6"/>
  <c r="AL168" i="6"/>
  <c r="AT102" i="6"/>
  <c r="AT105" i="6" s="1"/>
  <c r="AQ102" i="6"/>
  <c r="AT99" i="6"/>
  <c r="AQ97" i="6"/>
  <c r="AQ99" i="6" s="1"/>
  <c r="AL85" i="6"/>
  <c r="AT74" i="6"/>
  <c r="AQ74" i="6"/>
  <c r="AT58" i="6"/>
  <c r="AL58" i="6"/>
  <c r="P38" i="13"/>
  <c r="O31" i="7"/>
  <c r="O21" i="7"/>
  <c r="O33" i="11"/>
  <c r="O22" i="11"/>
  <c r="AU29" i="8"/>
  <c r="AG26" i="6"/>
  <c r="AG25" i="6" s="1"/>
  <c r="AL26" i="6"/>
  <c r="AL70" i="6" s="1"/>
  <c r="AT136" i="6"/>
  <c r="AT133" i="6"/>
  <c r="T35" i="7"/>
  <c r="T4" i="7"/>
  <c r="BR185" i="6"/>
  <c r="BR83" i="6"/>
  <c r="AQ7" i="8"/>
  <c r="AQ55" i="6" s="1"/>
  <c r="AQ56" i="6" s="1"/>
  <c r="BB39" i="25"/>
  <c r="BD38" i="25"/>
  <c r="BF38" i="25" s="1"/>
  <c r="BA38" i="25"/>
  <c r="BG37" i="25"/>
  <c r="BC37" i="25"/>
  <c r="BD36" i="25"/>
  <c r="BF36" i="25" s="1"/>
  <c r="BG36" i="25" s="1"/>
  <c r="BD35" i="25"/>
  <c r="BF35" i="25" s="1"/>
  <c r="BG35" i="25" s="1"/>
  <c r="BC35" i="25"/>
  <c r="BD34" i="25"/>
  <c r="BD33" i="25"/>
  <c r="BB33" i="25"/>
  <c r="BF32" i="25"/>
  <c r="BG32" i="25" s="1"/>
  <c r="BG31" i="25"/>
  <c r="BC31" i="25"/>
  <c r="AQ30" i="25"/>
  <c r="AV30" i="25" s="1"/>
  <c r="AT29" i="8"/>
  <c r="AS29" i="8"/>
  <c r="AS14" i="8"/>
  <c r="AS17" i="8" s="1"/>
  <c r="AT14" i="8"/>
  <c r="AT17" i="8" s="1"/>
  <c r="AS44" i="8"/>
  <c r="AR44" i="8"/>
  <c r="BD39" i="25" l="1"/>
  <c r="BF34" i="25"/>
  <c r="BG34" i="25" s="1"/>
  <c r="BG39" i="25" s="1"/>
  <c r="AT100" i="6"/>
  <c r="AY100" i="6"/>
  <c r="D201" i="31"/>
  <c r="E191" i="31"/>
  <c r="E187" i="31"/>
  <c r="E189" i="31"/>
  <c r="E185" i="31"/>
  <c r="E190" i="31"/>
  <c r="E188" i="31"/>
  <c r="E186" i="31"/>
  <c r="E184" i="31"/>
  <c r="E183" i="31"/>
  <c r="J183" i="31" s="1"/>
  <c r="AT20" i="8"/>
  <c r="AT25" i="8" s="1"/>
  <c r="AT21" i="8"/>
  <c r="AS20" i="8"/>
  <c r="AS25" i="8" s="1"/>
  <c r="AS32" i="8" s="1"/>
  <c r="AS21" i="8"/>
  <c r="AS30" i="25"/>
  <c r="AL25" i="6"/>
  <c r="AL87" i="6" s="1"/>
  <c r="AL88" i="6" s="1"/>
  <c r="AL89" i="6" s="1"/>
  <c r="AL90" i="6" s="1"/>
  <c r="C231" i="31"/>
  <c r="AW30" i="25"/>
  <c r="BB40" i="25"/>
  <c r="BC40" i="25" s="1"/>
  <c r="BF33" i="25"/>
  <c r="BG33" i="25"/>
  <c r="BC32" i="25"/>
  <c r="BC34" i="25"/>
  <c r="BC36" i="25"/>
  <c r="AS72" i="8"/>
  <c r="AR72" i="8"/>
  <c r="AS244" i="6"/>
  <c r="AS238" i="6"/>
  <c r="AS237" i="6" s="1"/>
  <c r="AS230" i="6"/>
  <c r="AS236" i="6" s="1"/>
  <c r="AS182" i="6"/>
  <c r="AS179" i="6"/>
  <c r="AS131" i="6"/>
  <c r="AS133" i="6" s="1"/>
  <c r="AS126" i="6"/>
  <c r="AS105" i="6"/>
  <c r="AS83" i="6"/>
  <c r="AS56" i="6"/>
  <c r="AS54" i="6"/>
  <c r="AS16" i="6"/>
  <c r="AW16" i="6" s="1"/>
  <c r="AS15" i="6"/>
  <c r="AW15" i="6" s="1"/>
  <c r="AS7" i="6"/>
  <c r="AS85" i="6" s="1"/>
  <c r="AR244" i="6"/>
  <c r="AR238" i="6"/>
  <c r="AR237" i="6" s="1"/>
  <c r="AR230" i="6"/>
  <c r="AR236" i="6" s="1"/>
  <c r="AR182" i="6"/>
  <c r="AR179" i="6"/>
  <c r="AR131" i="6"/>
  <c r="AR133" i="6" s="1"/>
  <c r="AR126" i="6"/>
  <c r="AR105" i="6"/>
  <c r="AR83" i="6"/>
  <c r="AR56" i="6"/>
  <c r="AR54" i="6"/>
  <c r="AR16" i="6"/>
  <c r="AV16" i="6" s="1"/>
  <c r="AR15" i="6"/>
  <c r="AV15" i="6" s="1"/>
  <c r="AR7" i="6"/>
  <c r="AR85" i="6" s="1"/>
  <c r="AQ34" i="25"/>
  <c r="AT34" i="25"/>
  <c r="AT35" i="25"/>
  <c r="AV35" i="25" s="1"/>
  <c r="AW35" i="25" s="1"/>
  <c r="AQ36" i="25"/>
  <c r="AY36" i="25" s="1"/>
  <c r="AT36" i="25"/>
  <c r="AV37" i="25"/>
  <c r="AW37" i="25" s="1"/>
  <c r="AT38" i="25"/>
  <c r="AV38" i="25" s="1"/>
  <c r="AV31" i="25"/>
  <c r="AW31" i="25" s="1"/>
  <c r="AQ32" i="25"/>
  <c r="AV32" i="25" s="1"/>
  <c r="AW32" i="25" s="1"/>
  <c r="AQ51" i="25"/>
  <c r="AQ50" i="25"/>
  <c r="AQ49" i="25"/>
  <c r="BI185" i="6"/>
  <c r="P45" i="11"/>
  <c r="N61" i="28" s="1"/>
  <c r="P61" i="28"/>
  <c r="AY30" i="25"/>
  <c r="AY34" i="25"/>
  <c r="AY37" i="25"/>
  <c r="AT185" i="6"/>
  <c r="BD185" i="6"/>
  <c r="BN185" i="6"/>
  <c r="G171" i="31"/>
  <c r="H171" i="31" s="1"/>
  <c r="S35" i="7"/>
  <c r="I9" i="7"/>
  <c r="I37" i="7"/>
  <c r="J9" i="7"/>
  <c r="K8" i="7"/>
  <c r="K9" i="7"/>
  <c r="L8" i="7"/>
  <c r="L10" i="7"/>
  <c r="M8" i="7"/>
  <c r="M9" i="7"/>
  <c r="M10" i="7"/>
  <c r="N8" i="7"/>
  <c r="N9" i="7"/>
  <c r="N10" i="7"/>
  <c r="N32" i="7"/>
  <c r="M44" i="7"/>
  <c r="K102" i="28" s="1"/>
  <c r="N30" i="7"/>
  <c r="S4" i="7"/>
  <c r="H29" i="11"/>
  <c r="G48" i="28"/>
  <c r="M31" i="7"/>
  <c r="M49" i="7" s="1"/>
  <c r="N81" i="11"/>
  <c r="N82" i="11"/>
  <c r="I14" i="11"/>
  <c r="J14" i="11" s="1"/>
  <c r="I15" i="11"/>
  <c r="J15" i="11" s="1"/>
  <c r="K15" i="11" s="1"/>
  <c r="L15" i="11" s="1"/>
  <c r="M15" i="11" s="1"/>
  <c r="N15" i="11" s="1"/>
  <c r="O15" i="11" s="1"/>
  <c r="P15" i="11" s="1"/>
  <c r="M23" i="8"/>
  <c r="H9" i="7" s="1"/>
  <c r="BN83" i="6"/>
  <c r="N31" i="7"/>
  <c r="N21" i="7"/>
  <c r="N12" i="7"/>
  <c r="N15" i="7"/>
  <c r="N16" i="7"/>
  <c r="O8" i="13"/>
  <c r="O38" i="13" s="1"/>
  <c r="N33" i="11"/>
  <c r="L52" i="28" s="1"/>
  <c r="AQ12" i="8"/>
  <c r="N94" i="11" s="1"/>
  <c r="AQ126" i="6"/>
  <c r="AQ128" i="6" s="1"/>
  <c r="AQ131" i="6"/>
  <c r="AL138" i="6"/>
  <c r="AQ136" i="6" s="1"/>
  <c r="AQ19" i="8"/>
  <c r="AQ168" i="6" s="1"/>
  <c r="AL9" i="8"/>
  <c r="AL12" i="8" s="1"/>
  <c r="AL126" i="6"/>
  <c r="R14" i="8"/>
  <c r="R17" i="8" s="1"/>
  <c r="M12" i="8"/>
  <c r="M61" i="8" s="1"/>
  <c r="I131" i="6"/>
  <c r="I134" i="6" s="1"/>
  <c r="I136" i="6"/>
  <c r="J124" i="6"/>
  <c r="J128" i="6" s="1"/>
  <c r="J129" i="6" s="1"/>
  <c r="J131" i="6"/>
  <c r="J133" i="6" s="1"/>
  <c r="J136" i="6"/>
  <c r="J138" i="6" s="1"/>
  <c r="K133" i="6"/>
  <c r="K138" i="6"/>
  <c r="N22" i="11"/>
  <c r="L42" i="28" s="1"/>
  <c r="AQ29" i="8"/>
  <c r="H31" i="7"/>
  <c r="H26" i="7"/>
  <c r="H27" i="7" s="1"/>
  <c r="I21" i="7"/>
  <c r="I31" i="7"/>
  <c r="I49" i="7" s="1"/>
  <c r="I26" i="7"/>
  <c r="I27" i="7" s="1"/>
  <c r="J21" i="7"/>
  <c r="K21" i="7"/>
  <c r="K25" i="7"/>
  <c r="L12" i="7"/>
  <c r="L16" i="7"/>
  <c r="L21" i="7"/>
  <c r="L25" i="7"/>
  <c r="M16" i="7"/>
  <c r="M21" i="7"/>
  <c r="M34" i="7"/>
  <c r="M45" i="11"/>
  <c r="K61" i="28" s="1"/>
  <c r="N45" i="11"/>
  <c r="L61" i="28" s="1"/>
  <c r="M22" i="11"/>
  <c r="K42" i="28" s="1"/>
  <c r="I7" i="11"/>
  <c r="J7" i="11" s="1"/>
  <c r="K7" i="11" s="1"/>
  <c r="I28" i="28" s="1"/>
  <c r="I11" i="11"/>
  <c r="J11" i="11" s="1"/>
  <c r="K11" i="11" s="1"/>
  <c r="L11" i="11" s="1"/>
  <c r="M11" i="11" s="1"/>
  <c r="K32" i="28" s="1"/>
  <c r="AM58" i="6"/>
  <c r="AN33" i="6"/>
  <c r="AN32" i="6" s="1"/>
  <c r="L173" i="31"/>
  <c r="K173" i="31" s="1"/>
  <c r="M33" i="11"/>
  <c r="K52" i="28" s="1"/>
  <c r="L34" i="11"/>
  <c r="M34" i="11" s="1"/>
  <c r="N34" i="11" s="1"/>
  <c r="N89" i="11" s="1"/>
  <c r="N90" i="11" s="1"/>
  <c r="N49" i="11"/>
  <c r="N26" i="7" s="1"/>
  <c r="N27" i="7" s="1"/>
  <c r="L89" i="28" s="1"/>
  <c r="K50" i="11"/>
  <c r="I65" i="28" s="1"/>
  <c r="L49" i="11"/>
  <c r="L50" i="11" s="1"/>
  <c r="J65" i="28" s="1"/>
  <c r="I89" i="11"/>
  <c r="I90" i="11" s="1"/>
  <c r="I80" i="11"/>
  <c r="I81" i="11"/>
  <c r="I82" i="11"/>
  <c r="J89" i="11"/>
  <c r="J90" i="11" s="1"/>
  <c r="J80" i="11"/>
  <c r="J81" i="11"/>
  <c r="J82" i="11"/>
  <c r="J50" i="11"/>
  <c r="J26" i="7" s="1"/>
  <c r="J27" i="7" s="1"/>
  <c r="H89" i="28" s="1"/>
  <c r="J8" i="11"/>
  <c r="J37" i="7" s="1"/>
  <c r="K89" i="11"/>
  <c r="K90" i="11" s="1"/>
  <c r="K80" i="11"/>
  <c r="K81" i="11"/>
  <c r="K82" i="11"/>
  <c r="L81" i="11"/>
  <c r="L82" i="11"/>
  <c r="M81" i="11"/>
  <c r="M82" i="11"/>
  <c r="AU15" i="6"/>
  <c r="AU16" i="6"/>
  <c r="AU10" i="6" s="1"/>
  <c r="AU38" i="6"/>
  <c r="AO19" i="8"/>
  <c r="AP19" i="8" s="1"/>
  <c r="AP33" i="6"/>
  <c r="AR33" i="6" s="1"/>
  <c r="AS33" i="6" s="1"/>
  <c r="AS36" i="6" s="1"/>
  <c r="AN58" i="6"/>
  <c r="AP58" i="6" s="1"/>
  <c r="AP34" i="6"/>
  <c r="AO34" i="6"/>
  <c r="AO163" i="6" s="1"/>
  <c r="AO33" i="6"/>
  <c r="AO9" i="8" s="1"/>
  <c r="AP126" i="6"/>
  <c r="AP15" i="8"/>
  <c r="AP16" i="8"/>
  <c r="AP162" i="6" s="1"/>
  <c r="AP45" i="6"/>
  <c r="AP54" i="6"/>
  <c r="AP55" i="6" s="1"/>
  <c r="AM14" i="8"/>
  <c r="AM17" i="8" s="1"/>
  <c r="AK248" i="6" s="1"/>
  <c r="AN14" i="8"/>
  <c r="AN17" i="8" s="1"/>
  <c r="AO128" i="6"/>
  <c r="AO129" i="6" s="1"/>
  <c r="AO131" i="6"/>
  <c r="AO136" i="6"/>
  <c r="AM32" i="6"/>
  <c r="AM97" i="6"/>
  <c r="AI98" i="6"/>
  <c r="AL98" i="6" s="1"/>
  <c r="AM98" i="6" s="1"/>
  <c r="AN98" i="6" s="1"/>
  <c r="AO98" i="6" s="1"/>
  <c r="AO74" i="6"/>
  <c r="AO26" i="6"/>
  <c r="AO25" i="6" s="1"/>
  <c r="AO87" i="6" s="1"/>
  <c r="AP85" i="6"/>
  <c r="AN102" i="6"/>
  <c r="AP125" i="6"/>
  <c r="C8" i="13"/>
  <c r="C10" i="13" s="1"/>
  <c r="D8" i="13"/>
  <c r="E8" i="13"/>
  <c r="F8" i="13"/>
  <c r="G8" i="13"/>
  <c r="H8" i="13"/>
  <c r="I8" i="13"/>
  <c r="J8" i="13"/>
  <c r="J38" i="13" s="1"/>
  <c r="J42" i="13" s="1"/>
  <c r="K8" i="13"/>
  <c r="L8" i="13"/>
  <c r="L38" i="13" s="1"/>
  <c r="M8" i="13"/>
  <c r="M38" i="13" s="1"/>
  <c r="N8" i="13"/>
  <c r="N38" i="13" s="1"/>
  <c r="K15" i="13"/>
  <c r="J8" i="7" s="1"/>
  <c r="J15" i="13"/>
  <c r="I8" i="7" s="1"/>
  <c r="I15" i="13"/>
  <c r="H8" i="7" s="1"/>
  <c r="H15" i="13"/>
  <c r="G15" i="13"/>
  <c r="G26" i="13" s="1"/>
  <c r="F15" i="13"/>
  <c r="F16" i="13"/>
  <c r="N17" i="13"/>
  <c r="AN128" i="6"/>
  <c r="AN129" i="6" s="1"/>
  <c r="AP131" i="6"/>
  <c r="AP136" i="6"/>
  <c r="AQ7" i="6"/>
  <c r="E32" i="38"/>
  <c r="AM26" i="6"/>
  <c r="AM23" i="6" s="1"/>
  <c r="AQ32" i="6"/>
  <c r="AQ166" i="6" s="1"/>
  <c r="AL32" i="6"/>
  <c r="AL31" i="6" s="1"/>
  <c r="AL97" i="6"/>
  <c r="AL74" i="6"/>
  <c r="AL75" i="6" s="1"/>
  <c r="AQ84" i="6"/>
  <c r="AQ83" i="6" s="1"/>
  <c r="AL102" i="6"/>
  <c r="AL103" i="6" s="1"/>
  <c r="AT131" i="6"/>
  <c r="AY131" i="6"/>
  <c r="BD131" i="6" s="1"/>
  <c r="C66" i="13"/>
  <c r="C67" i="13" s="1"/>
  <c r="E66" i="13"/>
  <c r="G66" i="13"/>
  <c r="I66" i="13"/>
  <c r="J66" i="13"/>
  <c r="K66" i="13"/>
  <c r="N73" i="13"/>
  <c r="O73" i="13"/>
  <c r="O74" i="13" s="1"/>
  <c r="P73" i="13" s="1"/>
  <c r="AS180" i="6"/>
  <c r="AS185" i="6"/>
  <c r="BI55" i="6"/>
  <c r="D151" i="31"/>
  <c r="I151" i="31" s="1"/>
  <c r="D128" i="31"/>
  <c r="D83" i="31"/>
  <c r="D22" i="31"/>
  <c r="D10" i="31"/>
  <c r="D70" i="31"/>
  <c r="G70" i="31"/>
  <c r="I72" i="13"/>
  <c r="H10" i="7" s="1"/>
  <c r="H21" i="11"/>
  <c r="J72" i="13"/>
  <c r="I10" i="7" s="1"/>
  <c r="W14" i="8"/>
  <c r="W17" i="8" s="1"/>
  <c r="W20" i="8" s="1"/>
  <c r="W57" i="8" s="1"/>
  <c r="K72" i="13"/>
  <c r="J10" i="7" s="1"/>
  <c r="AB14" i="8"/>
  <c r="AB17" i="8" s="1"/>
  <c r="AB55" i="8" s="1"/>
  <c r="L72" i="13"/>
  <c r="K10" i="7" s="1"/>
  <c r="AL72" i="8"/>
  <c r="M33" i="7" s="1"/>
  <c r="AM35" i="25"/>
  <c r="AM36" i="25"/>
  <c r="AM32" i="25"/>
  <c r="AM31" i="25"/>
  <c r="AM37" i="25"/>
  <c r="AQ72" i="8"/>
  <c r="AQ44" i="8"/>
  <c r="C47" i="12"/>
  <c r="AP171" i="6"/>
  <c r="AL29" i="8"/>
  <c r="AJ195" i="6" s="1"/>
  <c r="AH14" i="8"/>
  <c r="AH52" i="8" s="1"/>
  <c r="AH18" i="8"/>
  <c r="AH56" i="8" s="1"/>
  <c r="AI14" i="8"/>
  <c r="AI17" i="8" s="1"/>
  <c r="AI29" i="8"/>
  <c r="AI63" i="8" s="1"/>
  <c r="AJ14" i="8"/>
  <c r="AJ17" i="8" s="1"/>
  <c r="AJ55" i="8" s="1"/>
  <c r="AJ18" i="8"/>
  <c r="AJ56" i="8" s="1"/>
  <c r="AH126" i="6"/>
  <c r="AH21" i="8" s="1"/>
  <c r="AI21" i="8"/>
  <c r="AI58" i="8" s="1"/>
  <c r="AJ126" i="6"/>
  <c r="AJ21" i="8" s="1"/>
  <c r="AJ58" i="8" s="1"/>
  <c r="AO102" i="6"/>
  <c r="AO54" i="6"/>
  <c r="AO45" i="6"/>
  <c r="AK54" i="6"/>
  <c r="AK6" i="8" s="1"/>
  <c r="AK9" i="8"/>
  <c r="AK10" i="8"/>
  <c r="AK45" i="6"/>
  <c r="AH128" i="6"/>
  <c r="AH130" i="6" s="1"/>
  <c r="AJ128" i="6"/>
  <c r="AJ130" i="6" s="1"/>
  <c r="AK32" i="6"/>
  <c r="AK154" i="6" s="1"/>
  <c r="AK155" i="6" s="1"/>
  <c r="AP9" i="6"/>
  <c r="AP10" i="6"/>
  <c r="AM17" i="6"/>
  <c r="AU17" i="6" s="1"/>
  <c r="AU11" i="6" s="1"/>
  <c r="AR39" i="25"/>
  <c r="AR33" i="25"/>
  <c r="AS35" i="25"/>
  <c r="AS36" i="25"/>
  <c r="AS37" i="25"/>
  <c r="AQ38" i="25"/>
  <c r="AT33" i="25"/>
  <c r="AS31" i="25"/>
  <c r="AN74" i="6"/>
  <c r="AO171" i="6"/>
  <c r="AO69" i="8"/>
  <c r="AK36" i="8"/>
  <c r="AH44" i="8"/>
  <c r="AI44" i="8" s="1"/>
  <c r="AJ44" i="8" s="1"/>
  <c r="AK44" i="8" s="1"/>
  <c r="AO63" i="8"/>
  <c r="AO60" i="8"/>
  <c r="AO56" i="8"/>
  <c r="AO54" i="8"/>
  <c r="AO53" i="8"/>
  <c r="AO50" i="8"/>
  <c r="AJ32" i="6"/>
  <c r="AJ154" i="6" s="1"/>
  <c r="AI32" i="6"/>
  <c r="AI154" i="6" s="1"/>
  <c r="AI155" i="6" s="1"/>
  <c r="AJ151" i="6" s="1"/>
  <c r="AK97" i="6"/>
  <c r="AK85" i="6"/>
  <c r="AK127" i="6"/>
  <c r="AK131" i="6"/>
  <c r="AK133" i="6" s="1"/>
  <c r="AK136" i="6"/>
  <c r="AK188" i="6"/>
  <c r="AJ157" i="6"/>
  <c r="AO85" i="6"/>
  <c r="AN131" i="6"/>
  <c r="AO93" i="6"/>
  <c r="AN54" i="6"/>
  <c r="AN55" i="6" s="1"/>
  <c r="AO9" i="6"/>
  <c r="AO10" i="6"/>
  <c r="AG14" i="8"/>
  <c r="AG17" i="8" s="1"/>
  <c r="AG20" i="8" s="1"/>
  <c r="AF12" i="8"/>
  <c r="AF128" i="6" s="1"/>
  <c r="AF13" i="8"/>
  <c r="AF15" i="8"/>
  <c r="AF158" i="6" s="1"/>
  <c r="AF16" i="8"/>
  <c r="AF162" i="6" s="1"/>
  <c r="AF163" i="6" s="1"/>
  <c r="AF18" i="8"/>
  <c r="AF19" i="8"/>
  <c r="AF168" i="6" s="1"/>
  <c r="AD23" i="8"/>
  <c r="AD60" i="8" s="1"/>
  <c r="AF29" i="8"/>
  <c r="AF195" i="6" s="1"/>
  <c r="AE14" i="8"/>
  <c r="AE17" i="8" s="1"/>
  <c r="AE20" i="8" s="1"/>
  <c r="AE25" i="8" s="1"/>
  <c r="AE31" i="8" s="1"/>
  <c r="AD14" i="8"/>
  <c r="AD52" i="8" s="1"/>
  <c r="AC14" i="8"/>
  <c r="AC17" i="8" s="1"/>
  <c r="AB27" i="8"/>
  <c r="AB28" i="8"/>
  <c r="AH32" i="6"/>
  <c r="AH158" i="6" s="1"/>
  <c r="AL39" i="6"/>
  <c r="O22" i="28"/>
  <c r="AL13" i="28" s="1"/>
  <c r="N22" i="28"/>
  <c r="AG38" i="28" s="1"/>
  <c r="G130" i="31"/>
  <c r="G131" i="31"/>
  <c r="G153" i="31"/>
  <c r="G154" i="31"/>
  <c r="G155" i="31"/>
  <c r="AZ44" i="8"/>
  <c r="BE72" i="8" s="1"/>
  <c r="Q33" i="7" s="1"/>
  <c r="Q35" i="7"/>
  <c r="O61" i="28"/>
  <c r="O48" i="28"/>
  <c r="O49" i="28"/>
  <c r="O50" i="28"/>
  <c r="O55" i="28"/>
  <c r="O54" i="28"/>
  <c r="O41" i="28"/>
  <c r="O34" i="28"/>
  <c r="O30" i="28"/>
  <c r="AN45" i="6"/>
  <c r="AM74" i="6"/>
  <c r="AM102" i="6"/>
  <c r="N80" i="13"/>
  <c r="AN85" i="6"/>
  <c r="AN136" i="6"/>
  <c r="L13" i="28"/>
  <c r="M22" i="28"/>
  <c r="L22" i="28"/>
  <c r="G12" i="31"/>
  <c r="G13" i="31"/>
  <c r="G24" i="31"/>
  <c r="G25" i="31"/>
  <c r="P33" i="7"/>
  <c r="P35" i="7"/>
  <c r="N48" i="28"/>
  <c r="N49" i="28"/>
  <c r="N50" i="28"/>
  <c r="N55" i="28"/>
  <c r="N54" i="28"/>
  <c r="N43" i="28"/>
  <c r="N41" i="28"/>
  <c r="N34" i="28"/>
  <c r="N30" i="28"/>
  <c r="AM54" i="25"/>
  <c r="AM49" i="25"/>
  <c r="AM55" i="25"/>
  <c r="W27" i="8"/>
  <c r="W28" i="8"/>
  <c r="R27" i="8"/>
  <c r="R28" i="8"/>
  <c r="M27" i="8"/>
  <c r="M28" i="8"/>
  <c r="H12" i="8"/>
  <c r="H14" i="8" s="1"/>
  <c r="M71" i="8"/>
  <c r="M72" i="8"/>
  <c r="AM44" i="8"/>
  <c r="AN44" i="8" s="1"/>
  <c r="AN63" i="8"/>
  <c r="AN61" i="8"/>
  <c r="AN60" i="8"/>
  <c r="AN56" i="8"/>
  <c r="AN54" i="8"/>
  <c r="AN53" i="8"/>
  <c r="AN51" i="8"/>
  <c r="AN50" i="8"/>
  <c r="AC34" i="6"/>
  <c r="AD37" i="6" s="1"/>
  <c r="AM40" i="6"/>
  <c r="AN37" i="25"/>
  <c r="AN31" i="25"/>
  <c r="AN30" i="25"/>
  <c r="BJ44" i="8"/>
  <c r="AM46" i="8"/>
  <c r="AM37" i="8"/>
  <c r="AJ160" i="6"/>
  <c r="AI160" i="6"/>
  <c r="AH160" i="6"/>
  <c r="AG160" i="6"/>
  <c r="AM160" i="6"/>
  <c r="AM54" i="6"/>
  <c r="AM6" i="8" s="1"/>
  <c r="AM45" i="6"/>
  <c r="AN40" i="6"/>
  <c r="AI157" i="6"/>
  <c r="AN93" i="6"/>
  <c r="AN37" i="6"/>
  <c r="AN9" i="6"/>
  <c r="AN10" i="6"/>
  <c r="W70" i="6"/>
  <c r="W71" i="6" s="1"/>
  <c r="R70" i="6"/>
  <c r="R71" i="6" s="1"/>
  <c r="AB70" i="6"/>
  <c r="AB71" i="6" s="1"/>
  <c r="AE70" i="6"/>
  <c r="AF70" i="6" s="1"/>
  <c r="AB126" i="6"/>
  <c r="AA126" i="6" s="1"/>
  <c r="AB127" i="6"/>
  <c r="AA127" i="6" s="1"/>
  <c r="AB128" i="6"/>
  <c r="AB110" i="6" s="1"/>
  <c r="AB131" i="6"/>
  <c r="AC152" i="6"/>
  <c r="AC33" i="6"/>
  <c r="AH36" i="6" s="1"/>
  <c r="AD152" i="6"/>
  <c r="AD33" i="6"/>
  <c r="AD32" i="6" s="1"/>
  <c r="AD31" i="6" s="1"/>
  <c r="AE152" i="6"/>
  <c r="AE33" i="6"/>
  <c r="AE32" i="6" s="1"/>
  <c r="AF32" i="6"/>
  <c r="AF154" i="6" s="1"/>
  <c r="AF155" i="6" s="1"/>
  <c r="AG155" i="6" s="1"/>
  <c r="BI83" i="6"/>
  <c r="BD83" i="6"/>
  <c r="AY83" i="6"/>
  <c r="R244" i="6"/>
  <c r="W244" i="6" s="1"/>
  <c r="AB244" i="6" s="1"/>
  <c r="AG244" i="6" s="1"/>
  <c r="H231" i="6"/>
  <c r="AT238" i="6"/>
  <c r="AY238" i="6" s="1"/>
  <c r="BD238" i="6" s="1"/>
  <c r="BI238" i="6" s="1"/>
  <c r="BN238" i="6" s="1"/>
  <c r="BR238" i="6" s="1"/>
  <c r="BS238" i="6" s="1"/>
  <c r="W7" i="6"/>
  <c r="W46" i="6" s="1"/>
  <c r="AL93" i="6"/>
  <c r="AL94" i="6" s="1"/>
  <c r="AQ94" i="6" s="1"/>
  <c r="AT94" i="6" s="1"/>
  <c r="AY94" i="6" s="1"/>
  <c r="BD94" i="6" s="1"/>
  <c r="BI94" i="6" s="1"/>
  <c r="BN94" i="6" s="1"/>
  <c r="BR94" i="6" s="1"/>
  <c r="BS94" i="6" s="1"/>
  <c r="BT94" i="6" s="1"/>
  <c r="BU94" i="6" s="1"/>
  <c r="BV94" i="6" s="1"/>
  <c r="BW94" i="6" s="1"/>
  <c r="BX94" i="6" s="1"/>
  <c r="BY94" i="6" s="1"/>
  <c r="BZ94" i="6" s="1"/>
  <c r="CA94" i="6" s="1"/>
  <c r="CB94" i="6" s="1"/>
  <c r="AG15" i="6"/>
  <c r="AL15" i="6" s="1"/>
  <c r="AQ15" i="6" s="1"/>
  <c r="AQ9" i="6" s="1"/>
  <c r="AL16" i="6"/>
  <c r="AQ16" i="6" s="1"/>
  <c r="AQ10" i="6" s="1"/>
  <c r="AQ17" i="6"/>
  <c r="AT17" i="6" s="1"/>
  <c r="AX17" i="6" s="1"/>
  <c r="BB17" i="6" s="1"/>
  <c r="R38" i="13"/>
  <c r="AM53" i="25"/>
  <c r="AM50" i="25"/>
  <c r="R35" i="7"/>
  <c r="L33" i="11"/>
  <c r="L75" i="11" s="1"/>
  <c r="L72" i="11"/>
  <c r="L71" i="11"/>
  <c r="L69" i="11"/>
  <c r="L68" i="11"/>
  <c r="L67" i="11"/>
  <c r="O32" i="7"/>
  <c r="AM36" i="6"/>
  <c r="AM165" i="6"/>
  <c r="AM93" i="6"/>
  <c r="AL185" i="6"/>
  <c r="AL186" i="6" s="1"/>
  <c r="AL107" i="6"/>
  <c r="AL108" i="6" s="1"/>
  <c r="M29" i="7"/>
  <c r="L45" i="11"/>
  <c r="J61" i="28" s="1"/>
  <c r="AM37" i="6"/>
  <c r="S38" i="13"/>
  <c r="K52" i="13"/>
  <c r="N28" i="13"/>
  <c r="M28" i="13"/>
  <c r="AL158" i="6"/>
  <c r="AG158" i="6"/>
  <c r="AM9" i="8"/>
  <c r="AB32" i="6"/>
  <c r="AB43" i="6" s="1"/>
  <c r="R4" i="7"/>
  <c r="AM250" i="6"/>
  <c r="AJ250" i="6"/>
  <c r="AI250" i="6"/>
  <c r="AH250" i="6"/>
  <c r="AG250" i="6"/>
  <c r="AJ165" i="6"/>
  <c r="AI165" i="6"/>
  <c r="AH165" i="6"/>
  <c r="AG165" i="6"/>
  <c r="AH157" i="6"/>
  <c r="AG157" i="6"/>
  <c r="AL55" i="6"/>
  <c r="AL54" i="6"/>
  <c r="AM85" i="6"/>
  <c r="AM127" i="6"/>
  <c r="AM131" i="6"/>
  <c r="AM9" i="6"/>
  <c r="AM10" i="6"/>
  <c r="AQ36" i="6"/>
  <c r="AH70" i="6"/>
  <c r="AH71" i="6" s="1"/>
  <c r="AC107" i="6"/>
  <c r="AD107" i="6" s="1"/>
  <c r="AL146" i="6"/>
  <c r="AL11" i="6"/>
  <c r="Q4" i="7"/>
  <c r="P4" i="7"/>
  <c r="AG58" i="6"/>
  <c r="AH10" i="8"/>
  <c r="AI10" i="8"/>
  <c r="AJ10" i="8"/>
  <c r="AH9" i="8"/>
  <c r="AI9" i="8"/>
  <c r="AJ9" i="8"/>
  <c r="AI90" i="6"/>
  <c r="AH23" i="6"/>
  <c r="AH22" i="6"/>
  <c r="L95" i="11"/>
  <c r="AH97" i="6"/>
  <c r="AH99" i="6" s="1"/>
  <c r="AH74" i="6"/>
  <c r="AH75" i="6" s="1"/>
  <c r="AH93" i="6"/>
  <c r="AH94" i="6" s="1"/>
  <c r="AG125" i="6"/>
  <c r="AL71" i="6"/>
  <c r="AC98" i="6"/>
  <c r="AD98" i="6" s="1"/>
  <c r="AE98" i="6" s="1"/>
  <c r="AE97" i="6"/>
  <c r="AE74" i="6"/>
  <c r="AE75" i="6" s="1"/>
  <c r="AF75" i="6" s="1"/>
  <c r="AE93" i="6"/>
  <c r="AE94" i="6" s="1"/>
  <c r="AF127" i="6"/>
  <c r="AG127" i="6" s="1"/>
  <c r="AF131" i="6"/>
  <c r="AF133" i="6" s="1"/>
  <c r="AG133" i="6" s="1"/>
  <c r="AH54" i="6"/>
  <c r="AH6" i="8" s="1"/>
  <c r="AH7" i="6"/>
  <c r="AH45" i="6" s="1"/>
  <c r="AH11" i="8" s="1"/>
  <c r="AI53" i="6"/>
  <c r="AI54" i="6" s="1"/>
  <c r="AI55" i="6" s="1"/>
  <c r="AI7" i="8" s="1"/>
  <c r="AI45" i="6"/>
  <c r="AC54" i="6"/>
  <c r="AC45" i="6"/>
  <c r="AD54" i="6"/>
  <c r="AD10" i="8"/>
  <c r="AD45" i="6"/>
  <c r="AD11" i="8" s="1"/>
  <c r="AJ36" i="6"/>
  <c r="AE30" i="8"/>
  <c r="AE34" i="8" s="1"/>
  <c r="AC44" i="8"/>
  <c r="AD44" i="8" s="1"/>
  <c r="AE44" i="8" s="1"/>
  <c r="AJ45" i="6"/>
  <c r="AI159" i="6"/>
  <c r="AH107" i="6"/>
  <c r="AH102" i="6"/>
  <c r="AH103" i="6" s="1"/>
  <c r="AH152" i="6"/>
  <c r="AJ17" i="6"/>
  <c r="AK17" i="6" s="1"/>
  <c r="AK11" i="6" s="1"/>
  <c r="AK9" i="6"/>
  <c r="AK10" i="6"/>
  <c r="AJ9" i="6"/>
  <c r="AJ10" i="6"/>
  <c r="AG57" i="6"/>
  <c r="AI131" i="6"/>
  <c r="AK46" i="8"/>
  <c r="AK37" i="8"/>
  <c r="AH146" i="6"/>
  <c r="AI37" i="6"/>
  <c r="AK30" i="6"/>
  <c r="H67" i="28"/>
  <c r="H68" i="28"/>
  <c r="H69" i="28"/>
  <c r="H70" i="28"/>
  <c r="H71" i="28"/>
  <c r="H72" i="28"/>
  <c r="H64" i="28"/>
  <c r="H63" i="28"/>
  <c r="J44" i="11"/>
  <c r="J45" i="11"/>
  <c r="H32" i="28"/>
  <c r="I12" i="11"/>
  <c r="J12" i="11" s="1"/>
  <c r="H34" i="28"/>
  <c r="H30" i="28"/>
  <c r="H29" i="28"/>
  <c r="K22" i="28"/>
  <c r="H22" i="28"/>
  <c r="J67" i="28"/>
  <c r="J68" i="28"/>
  <c r="J69" i="28"/>
  <c r="J71" i="28"/>
  <c r="J72" i="28"/>
  <c r="I67" i="28"/>
  <c r="I68" i="28"/>
  <c r="I69" i="28"/>
  <c r="I71" i="28"/>
  <c r="I72" i="28"/>
  <c r="I64" i="28"/>
  <c r="K44" i="11"/>
  <c r="K45" i="11"/>
  <c r="I61" i="28" s="1"/>
  <c r="J34" i="28"/>
  <c r="J30" i="28"/>
  <c r="K13" i="11"/>
  <c r="I34" i="28" s="1"/>
  <c r="I30" i="28"/>
  <c r="J7" i="28"/>
  <c r="J8" i="28"/>
  <c r="J10" i="28"/>
  <c r="I7" i="28"/>
  <c r="I8" i="28"/>
  <c r="I10" i="28"/>
  <c r="H7" i="28"/>
  <c r="H8" i="28"/>
  <c r="H10" i="28"/>
  <c r="J12" i="28"/>
  <c r="J13" i="28"/>
  <c r="I12" i="28"/>
  <c r="I13" i="28"/>
  <c r="H12" i="28"/>
  <c r="H13" i="28"/>
  <c r="AG10" i="6"/>
  <c r="AG11" i="6"/>
  <c r="AI9" i="6"/>
  <c r="AI10" i="6"/>
  <c r="AI11" i="6"/>
  <c r="AH11" i="6" s="1"/>
  <c r="AH9" i="6"/>
  <c r="AH10" i="6"/>
  <c r="G72" i="13"/>
  <c r="E72" i="13"/>
  <c r="D73" i="13"/>
  <c r="D74" i="13" s="1"/>
  <c r="L22" i="11"/>
  <c r="J42" i="28" s="1"/>
  <c r="AH46" i="8"/>
  <c r="AH37" i="8"/>
  <c r="AG54" i="6"/>
  <c r="AG53" i="6" s="1"/>
  <c r="AG55" i="6"/>
  <c r="AH138" i="6"/>
  <c r="AI18" i="6"/>
  <c r="AI61" i="8"/>
  <c r="AI56" i="8"/>
  <c r="AI54" i="8"/>
  <c r="AI53" i="8"/>
  <c r="AI51" i="8"/>
  <c r="AI50" i="8"/>
  <c r="AH108" i="6"/>
  <c r="AB37" i="6"/>
  <c r="AB36" i="6"/>
  <c r="W32" i="6"/>
  <c r="Y37" i="6"/>
  <c r="Y36" i="6"/>
  <c r="Y32" i="6"/>
  <c r="Y10" i="8" s="1"/>
  <c r="X32" i="6"/>
  <c r="X31" i="6" s="1"/>
  <c r="Z32" i="6"/>
  <c r="AL36" i="6"/>
  <c r="AG36" i="6"/>
  <c r="AC193" i="6"/>
  <c r="AC27" i="8" s="1"/>
  <c r="AC28" i="8" s="1"/>
  <c r="AH193" i="6"/>
  <c r="AC21" i="8"/>
  <c r="AC58" i="8" s="1"/>
  <c r="M56" i="13"/>
  <c r="M92" i="13"/>
  <c r="AG28" i="8"/>
  <c r="M61" i="13" s="1"/>
  <c r="BA82" i="25"/>
  <c r="AV82" i="25"/>
  <c r="AV81" i="25"/>
  <c r="AX81" i="25" s="1"/>
  <c r="AV79" i="25"/>
  <c r="AX79" i="25" s="1"/>
  <c r="AQ82" i="25"/>
  <c r="AQ78" i="25"/>
  <c r="AS78" i="25" s="1"/>
  <c r="AB186" i="6"/>
  <c r="AB173" i="6"/>
  <c r="AB174" i="6" s="1"/>
  <c r="AE45" i="6"/>
  <c r="AE54" i="6"/>
  <c r="AF45" i="6"/>
  <c r="AF54" i="6"/>
  <c r="AF55" i="6" s="1"/>
  <c r="AB57" i="6"/>
  <c r="AB6" i="8"/>
  <c r="AB54" i="6" s="1"/>
  <c r="AB55" i="6"/>
  <c r="AB58" i="6"/>
  <c r="AE195" i="6"/>
  <c r="AE198" i="6" s="1"/>
  <c r="AE193" i="6"/>
  <c r="AE27" i="8" s="1"/>
  <c r="AE28" i="8" s="1"/>
  <c r="AD168" i="6"/>
  <c r="AG168" i="6"/>
  <c r="AE158" i="6"/>
  <c r="AE128" i="6"/>
  <c r="AE110" i="6" s="1"/>
  <c r="AD128" i="6"/>
  <c r="AE102" i="6"/>
  <c r="AE103" i="6" s="1"/>
  <c r="AD102" i="6"/>
  <c r="AD103" i="6" s="1"/>
  <c r="AG139" i="6"/>
  <c r="AG126" i="6"/>
  <c r="AC128" i="6"/>
  <c r="AC110" i="6" s="1"/>
  <c r="AG131" i="6"/>
  <c r="AG136" i="6"/>
  <c r="AD131" i="6"/>
  <c r="AD136" i="6"/>
  <c r="AE131" i="6"/>
  <c r="AE136" i="6"/>
  <c r="AD93" i="6"/>
  <c r="AD94" i="6" s="1"/>
  <c r="AD74" i="6"/>
  <c r="AD75" i="6" s="1"/>
  <c r="AE71" i="6"/>
  <c r="AD70" i="6"/>
  <c r="AD71" i="6" s="1"/>
  <c r="AC70" i="6"/>
  <c r="AC71" i="6" s="1"/>
  <c r="AF10" i="8"/>
  <c r="AF9" i="8"/>
  <c r="AF136" i="6"/>
  <c r="AA12" i="8"/>
  <c r="AA13" i="8"/>
  <c r="AA15" i="8"/>
  <c r="AA16" i="8"/>
  <c r="AA162" i="6" s="1"/>
  <c r="AA18" i="8"/>
  <c r="AA19" i="8"/>
  <c r="AA168" i="6" s="1"/>
  <c r="AA23" i="8"/>
  <c r="AG98" i="6"/>
  <c r="AH61" i="8"/>
  <c r="AH54" i="8"/>
  <c r="AH53" i="8"/>
  <c r="AH51" i="8"/>
  <c r="AH50" i="8"/>
  <c r="AH29" i="6"/>
  <c r="AC158" i="6"/>
  <c r="AH18" i="6"/>
  <c r="AD193" i="6"/>
  <c r="AC11" i="8"/>
  <c r="AG5" i="8"/>
  <c r="AA34" i="6"/>
  <c r="AA33" i="6"/>
  <c r="G30" i="28"/>
  <c r="G29" i="28"/>
  <c r="G49" i="28"/>
  <c r="I31" i="11"/>
  <c r="G52" i="28"/>
  <c r="G53" i="28"/>
  <c r="G54" i="28"/>
  <c r="G55" i="28"/>
  <c r="G41" i="28"/>
  <c r="I22" i="11"/>
  <c r="G42" i="28" s="1"/>
  <c r="G43" i="28"/>
  <c r="H47" i="28"/>
  <c r="H48" i="28"/>
  <c r="H49" i="28"/>
  <c r="H52" i="28"/>
  <c r="H53" i="28"/>
  <c r="H54" i="28"/>
  <c r="H55" i="28"/>
  <c r="H41" i="28"/>
  <c r="J22" i="11"/>
  <c r="H42" i="28" s="1"/>
  <c r="H43" i="28"/>
  <c r="I48" i="28"/>
  <c r="I49" i="28"/>
  <c r="I51" i="28"/>
  <c r="I52" i="28"/>
  <c r="I53" i="28"/>
  <c r="I54" i="28"/>
  <c r="I55" i="28"/>
  <c r="I41" i="28"/>
  <c r="K22" i="11"/>
  <c r="I42" i="28" s="1"/>
  <c r="I43" i="28"/>
  <c r="AB208" i="6"/>
  <c r="AB209" i="6" s="1"/>
  <c r="I17" i="28"/>
  <c r="H17" i="28"/>
  <c r="AL22" i="6"/>
  <c r="B7" i="28"/>
  <c r="C7" i="28"/>
  <c r="D7" i="28"/>
  <c r="E7" i="28"/>
  <c r="F7" i="28"/>
  <c r="B8" i="28"/>
  <c r="B10" i="28"/>
  <c r="B12" i="28"/>
  <c r="B13" i="28"/>
  <c r="B15" i="28"/>
  <c r="B17" i="28"/>
  <c r="B19" i="28"/>
  <c r="C8" i="28"/>
  <c r="D8" i="28"/>
  <c r="D10" i="28"/>
  <c r="D12" i="28"/>
  <c r="D13" i="28"/>
  <c r="D15" i="28"/>
  <c r="D17" i="28"/>
  <c r="D19" i="28"/>
  <c r="E8" i="28"/>
  <c r="F8" i="28"/>
  <c r="F10" i="28"/>
  <c r="F12" i="28"/>
  <c r="F13" i="28"/>
  <c r="C10" i="28"/>
  <c r="E10" i="28"/>
  <c r="C12" i="28"/>
  <c r="C13" i="28"/>
  <c r="C15" i="28"/>
  <c r="C17" i="28"/>
  <c r="C19" i="28"/>
  <c r="E12" i="28"/>
  <c r="E13" i="28"/>
  <c r="E15" i="28"/>
  <c r="E17" i="28"/>
  <c r="E19" i="28"/>
  <c r="F15" i="28"/>
  <c r="F17" i="28"/>
  <c r="F19" i="28"/>
  <c r="B21" i="28"/>
  <c r="C21" i="28"/>
  <c r="D21" i="28"/>
  <c r="E21" i="28"/>
  <c r="F21" i="28"/>
  <c r="B22" i="28"/>
  <c r="C22" i="28"/>
  <c r="D22" i="28"/>
  <c r="E22" i="28"/>
  <c r="F22" i="28"/>
  <c r="J22" i="28"/>
  <c r="K30" i="28"/>
  <c r="L30" i="28"/>
  <c r="M30" i="28"/>
  <c r="K34" i="28"/>
  <c r="L34" i="28"/>
  <c r="M34" i="28"/>
  <c r="F36" i="28"/>
  <c r="F37" i="28"/>
  <c r="F40" i="28"/>
  <c r="J40" i="28"/>
  <c r="K40" i="28"/>
  <c r="F41" i="28"/>
  <c r="K41" i="28"/>
  <c r="L41" i="28"/>
  <c r="M41" i="28"/>
  <c r="F42" i="28"/>
  <c r="F43" i="28"/>
  <c r="J43" i="28"/>
  <c r="K43" i="28"/>
  <c r="L43" i="28"/>
  <c r="M43" i="28"/>
  <c r="F44" i="28"/>
  <c r="F47" i="28"/>
  <c r="K47" i="28"/>
  <c r="F48" i="28"/>
  <c r="J48" i="28"/>
  <c r="K48" i="28"/>
  <c r="L48" i="28"/>
  <c r="M48" i="28"/>
  <c r="F49" i="28"/>
  <c r="J49" i="28"/>
  <c r="K49" i="28"/>
  <c r="L49" i="28"/>
  <c r="M49" i="28"/>
  <c r="F50" i="28"/>
  <c r="J50" i="28"/>
  <c r="K50" i="28"/>
  <c r="L50" i="28"/>
  <c r="M50" i="28"/>
  <c r="F51" i="28"/>
  <c r="F52" i="28"/>
  <c r="F53" i="28"/>
  <c r="F54" i="28"/>
  <c r="J54" i="28"/>
  <c r="K54" i="28"/>
  <c r="L54" i="28"/>
  <c r="M54" i="28"/>
  <c r="J55" i="28"/>
  <c r="K55" i="28"/>
  <c r="L55" i="28"/>
  <c r="M55" i="28"/>
  <c r="F60" i="28"/>
  <c r="I44" i="11"/>
  <c r="F61" i="28"/>
  <c r="I45" i="11"/>
  <c r="G61" i="28" s="1"/>
  <c r="M61" i="28"/>
  <c r="G63" i="28"/>
  <c r="G64" i="28"/>
  <c r="K64" i="28"/>
  <c r="G65" i="28"/>
  <c r="K65" i="28"/>
  <c r="L65" i="28"/>
  <c r="M65" i="28"/>
  <c r="F67" i="28"/>
  <c r="F68" i="28"/>
  <c r="F69" i="28"/>
  <c r="F70" i="28"/>
  <c r="F71" i="28"/>
  <c r="F72" i="28"/>
  <c r="G67" i="28"/>
  <c r="G68" i="28"/>
  <c r="G69" i="28"/>
  <c r="K69" i="28"/>
  <c r="G70" i="28"/>
  <c r="G71" i="28"/>
  <c r="G72" i="28"/>
  <c r="G80" i="28"/>
  <c r="F82" i="28"/>
  <c r="G82" i="28"/>
  <c r="F83" i="28"/>
  <c r="G83" i="28"/>
  <c r="F84" i="28"/>
  <c r="G84" i="28"/>
  <c r="F85" i="28"/>
  <c r="G85" i="28"/>
  <c r="F87" i="28"/>
  <c r="G87" i="28"/>
  <c r="F88" i="28"/>
  <c r="G88" i="28"/>
  <c r="F90" i="28"/>
  <c r="G90" i="28"/>
  <c r="F91" i="28"/>
  <c r="G91" i="28"/>
  <c r="F92" i="28"/>
  <c r="G92" i="28"/>
  <c r="F93" i="28"/>
  <c r="G93" i="28"/>
  <c r="F94" i="28"/>
  <c r="G94" i="28"/>
  <c r="F95" i="28"/>
  <c r="G95" i="28"/>
  <c r="F96" i="28"/>
  <c r="G96" i="28"/>
  <c r="F97" i="28"/>
  <c r="G97" i="28"/>
  <c r="F100" i="28"/>
  <c r="G100" i="28"/>
  <c r="A102" i="28"/>
  <c r="K44" i="7"/>
  <c r="I102" i="28" s="1"/>
  <c r="H32" i="11"/>
  <c r="H76" i="11" s="1"/>
  <c r="H10" i="11"/>
  <c r="F10" i="11"/>
  <c r="G12" i="8"/>
  <c r="G61" i="8" s="1"/>
  <c r="G115" i="6"/>
  <c r="G117" i="6" s="1"/>
  <c r="G119" i="6" s="1"/>
  <c r="G131" i="6"/>
  <c r="G136" i="6"/>
  <c r="F6" i="8"/>
  <c r="F12" i="8" s="1"/>
  <c r="F117" i="6"/>
  <c r="F119" i="6" s="1"/>
  <c r="F131" i="6"/>
  <c r="F136" i="6"/>
  <c r="E12" i="8"/>
  <c r="E61" i="8" s="1"/>
  <c r="E115" i="6"/>
  <c r="E117" i="6" s="1"/>
  <c r="E119" i="6" s="1"/>
  <c r="E131" i="6"/>
  <c r="E136" i="6"/>
  <c r="E15" i="8"/>
  <c r="E16" i="8"/>
  <c r="D12" i="8"/>
  <c r="D63" i="8" s="1"/>
  <c r="D115" i="6"/>
  <c r="D117" i="6" s="1"/>
  <c r="D119" i="6" s="1"/>
  <c r="D131" i="6"/>
  <c r="D136" i="6"/>
  <c r="D15" i="8"/>
  <c r="D16" i="8"/>
  <c r="C12" i="8"/>
  <c r="C61" i="8" s="1"/>
  <c r="C117" i="6"/>
  <c r="C119" i="6" s="1"/>
  <c r="C129" i="6" s="1"/>
  <c r="C134" i="6" s="1"/>
  <c r="C142" i="6" s="1"/>
  <c r="C155" i="6" s="1"/>
  <c r="D151" i="6" s="1"/>
  <c r="C15" i="8"/>
  <c r="C16" i="8"/>
  <c r="E17" i="11"/>
  <c r="E2" i="11" s="1"/>
  <c r="D17" i="11"/>
  <c r="D2" i="11" s="1"/>
  <c r="K56" i="13"/>
  <c r="K57" i="13" s="1"/>
  <c r="L56" i="13"/>
  <c r="L57" i="13" s="1"/>
  <c r="AG22" i="6"/>
  <c r="H44" i="11"/>
  <c r="I59" i="11"/>
  <c r="H36" i="11"/>
  <c r="L28" i="13"/>
  <c r="AB201" i="6"/>
  <c r="AD195" i="6"/>
  <c r="AC195" i="6"/>
  <c r="AB193" i="6"/>
  <c r="AB196" i="6" s="1"/>
  <c r="AB194" i="6"/>
  <c r="AB158" i="6"/>
  <c r="AF46" i="8"/>
  <c r="AF37" i="8"/>
  <c r="F37" i="11"/>
  <c r="F24" i="11"/>
  <c r="F59" i="11"/>
  <c r="G37" i="11"/>
  <c r="G24" i="11"/>
  <c r="G59" i="11"/>
  <c r="X21" i="8"/>
  <c r="Y21" i="8" s="1"/>
  <c r="J59" i="11"/>
  <c r="H50" i="11"/>
  <c r="K94" i="11"/>
  <c r="AE48" i="8"/>
  <c r="AB107" i="6"/>
  <c r="AB108" i="6" s="1"/>
  <c r="AB102" i="6"/>
  <c r="AB103" i="6" s="1"/>
  <c r="AB97" i="6"/>
  <c r="AB99" i="6" s="1"/>
  <c r="AB74" i="6"/>
  <c r="AB75" i="6" s="1"/>
  <c r="AB136" i="6"/>
  <c r="AE168" i="6"/>
  <c r="AE169" i="6" s="1"/>
  <c r="AC168" i="6"/>
  <c r="AB168" i="6"/>
  <c r="Z168" i="6"/>
  <c r="Z14" i="8"/>
  <c r="Z17" i="8" s="1"/>
  <c r="Z20" i="8" s="1"/>
  <c r="Z57" i="8" s="1"/>
  <c r="Y168" i="6"/>
  <c r="Y14" i="8"/>
  <c r="X168" i="6"/>
  <c r="X14" i="8"/>
  <c r="X17" i="8" s="1"/>
  <c r="X20" i="8" s="1"/>
  <c r="AD158" i="6"/>
  <c r="AC74" i="6"/>
  <c r="AC75" i="6" s="1"/>
  <c r="AA121" i="6"/>
  <c r="AA74" i="6" s="1"/>
  <c r="AA26" i="6"/>
  <c r="AC93" i="6"/>
  <c r="AC94" i="6" s="1"/>
  <c r="AA120" i="6"/>
  <c r="AA97" i="6" s="1"/>
  <c r="AD97" i="6"/>
  <c r="AD99" i="6" s="1"/>
  <c r="AC131" i="6"/>
  <c r="AC136" i="6"/>
  <c r="AE248" i="6"/>
  <c r="Z31" i="6"/>
  <c r="AD248" i="6"/>
  <c r="AC248" i="6"/>
  <c r="AA119" i="6"/>
  <c r="AA122" i="6"/>
  <c r="AA93" i="6" s="1"/>
  <c r="AC97" i="6"/>
  <c r="AB152" i="6"/>
  <c r="AE61" i="8"/>
  <c r="AE57" i="8"/>
  <c r="AE56" i="8"/>
  <c r="AE55" i="8"/>
  <c r="AE54" i="8"/>
  <c r="AE53" i="8"/>
  <c r="AE52" i="8"/>
  <c r="AE51" i="8"/>
  <c r="AE50" i="8"/>
  <c r="AB22" i="6"/>
  <c r="AB23" i="6"/>
  <c r="AB9" i="6"/>
  <c r="AB10" i="6"/>
  <c r="AB11" i="6"/>
  <c r="W10" i="6"/>
  <c r="W9" i="6"/>
  <c r="AD146" i="6"/>
  <c r="AE146" i="6"/>
  <c r="AC146" i="6"/>
  <c r="AF9" i="6"/>
  <c r="AF10" i="6"/>
  <c r="AE9" i="6"/>
  <c r="AE10" i="6"/>
  <c r="AF18" i="6"/>
  <c r="AE18" i="6"/>
  <c r="I94" i="11"/>
  <c r="J94" i="11"/>
  <c r="AB93" i="6"/>
  <c r="AB94" i="6" s="1"/>
  <c r="W126" i="6"/>
  <c r="W127" i="6"/>
  <c r="W128" i="6"/>
  <c r="W110" i="6" s="1"/>
  <c r="W131" i="6"/>
  <c r="AC102" i="6"/>
  <c r="AC103" i="6" s="1"/>
  <c r="AA98" i="6"/>
  <c r="Z97" i="6"/>
  <c r="Z98" i="6"/>
  <c r="Y97" i="6"/>
  <c r="Y98" i="6"/>
  <c r="X97" i="6"/>
  <c r="X98" i="6"/>
  <c r="W97" i="6"/>
  <c r="W99" i="6" s="1"/>
  <c r="Z70" i="6"/>
  <c r="Z71" i="6" s="1"/>
  <c r="Y70" i="6"/>
  <c r="X70" i="6"/>
  <c r="X71" i="6" s="1"/>
  <c r="AD10" i="6"/>
  <c r="AD9" i="6"/>
  <c r="AB146" i="6"/>
  <c r="AD63" i="8"/>
  <c r="AD61" i="8"/>
  <c r="AD56" i="8"/>
  <c r="AD54" i="8"/>
  <c r="AD53" i="8"/>
  <c r="AD51" i="8"/>
  <c r="AD50" i="8"/>
  <c r="AD18" i="6"/>
  <c r="AC9" i="6"/>
  <c r="AC10" i="6"/>
  <c r="AG173" i="6"/>
  <c r="M46" i="8"/>
  <c r="V20" i="8"/>
  <c r="V22" i="8" s="1"/>
  <c r="U20" i="8"/>
  <c r="T20" i="8"/>
  <c r="T22" i="8" s="1"/>
  <c r="S20" i="8"/>
  <c r="S57" i="8" s="1"/>
  <c r="O59" i="6"/>
  <c r="O64" i="6" s="1"/>
  <c r="N11" i="8"/>
  <c r="O128" i="6"/>
  <c r="O129" i="6" s="1"/>
  <c r="O131" i="6"/>
  <c r="O136" i="6"/>
  <c r="Q15" i="8"/>
  <c r="Q16" i="8"/>
  <c r="Q162" i="6" s="1"/>
  <c r="Q18" i="8"/>
  <c r="Q19" i="8"/>
  <c r="Q23" i="8"/>
  <c r="P14" i="8"/>
  <c r="P17" i="8" s="1"/>
  <c r="K59" i="6"/>
  <c r="K60" i="6" s="1"/>
  <c r="K34" i="6"/>
  <c r="K33" i="6"/>
  <c r="K15" i="8"/>
  <c r="L15" i="8" s="1"/>
  <c r="K16" i="8"/>
  <c r="K18" i="8"/>
  <c r="L18" i="8" s="1"/>
  <c r="K19" i="8"/>
  <c r="L19" i="8" s="1"/>
  <c r="K23" i="8"/>
  <c r="L23" i="8" s="1"/>
  <c r="R102" i="6"/>
  <c r="R105" i="6" s="1"/>
  <c r="W102" i="6"/>
  <c r="W103" i="6" s="1"/>
  <c r="R126" i="6"/>
  <c r="R127" i="6"/>
  <c r="R128" i="6"/>
  <c r="R110" i="6" s="1"/>
  <c r="R131" i="6"/>
  <c r="D47" i="26"/>
  <c r="D49" i="26" s="1"/>
  <c r="D65" i="26" s="1"/>
  <c r="B53" i="26"/>
  <c r="C53" i="26" s="1"/>
  <c r="B54" i="26"/>
  <c r="C54" i="26" s="1"/>
  <c r="D54" i="26" s="1"/>
  <c r="E54" i="26" s="1"/>
  <c r="F54" i="26" s="1"/>
  <c r="B55" i="26"/>
  <c r="C55" i="26" s="1"/>
  <c r="D55" i="26" s="1"/>
  <c r="E55" i="26" s="1"/>
  <c r="F55" i="26" s="1"/>
  <c r="C47" i="26"/>
  <c r="C49" i="26" s="1"/>
  <c r="C65" i="26" s="1"/>
  <c r="F47" i="26"/>
  <c r="F49" i="26" s="1"/>
  <c r="F65" i="26" s="1"/>
  <c r="E47" i="26"/>
  <c r="E49" i="26" s="1"/>
  <c r="E65" i="26" s="1"/>
  <c r="B40" i="26"/>
  <c r="B47" i="26" s="1"/>
  <c r="B49" i="26" s="1"/>
  <c r="B65" i="26" s="1"/>
  <c r="F21" i="26"/>
  <c r="E21" i="26"/>
  <c r="D11" i="26"/>
  <c r="D21" i="26" s="1"/>
  <c r="C11" i="26"/>
  <c r="C21" i="26" s="1"/>
  <c r="B11" i="26"/>
  <c r="B21" i="26" s="1"/>
  <c r="B10" i="26"/>
  <c r="F9" i="26"/>
  <c r="E9" i="26"/>
  <c r="D9" i="26"/>
  <c r="C9" i="26"/>
  <c r="B9" i="26"/>
  <c r="D2" i="26"/>
  <c r="E2" i="26" s="1"/>
  <c r="F2" i="26" s="1"/>
  <c r="G31" i="7"/>
  <c r="G35" i="7"/>
  <c r="F32" i="7"/>
  <c r="F35" i="7"/>
  <c r="E38" i="7"/>
  <c r="D38" i="7"/>
  <c r="C38" i="7"/>
  <c r="G9" i="7"/>
  <c r="G10" i="7"/>
  <c r="G26" i="7"/>
  <c r="G27" i="7" s="1"/>
  <c r="W193" i="6"/>
  <c r="W196" i="6" s="1"/>
  <c r="W194" i="6"/>
  <c r="R193" i="6"/>
  <c r="R196" i="6" s="1"/>
  <c r="M193" i="6"/>
  <c r="R194" i="6"/>
  <c r="M194" i="6"/>
  <c r="AA124" i="6"/>
  <c r="AA102" i="6" s="1"/>
  <c r="Z102" i="6"/>
  <c r="Z103" i="6" s="1"/>
  <c r="Y102" i="6"/>
  <c r="Y103" i="6" s="1"/>
  <c r="X102" i="6"/>
  <c r="X103" i="6" s="1"/>
  <c r="V102" i="6"/>
  <c r="U102" i="6"/>
  <c r="T102" i="6"/>
  <c r="S102" i="6"/>
  <c r="R97" i="6"/>
  <c r="R99" i="6" s="1"/>
  <c r="M97" i="6"/>
  <c r="M99" i="6" s="1"/>
  <c r="W93" i="6"/>
  <c r="W94" i="6" s="1"/>
  <c r="R93" i="6"/>
  <c r="R94" i="6" s="1"/>
  <c r="V97" i="6"/>
  <c r="U97" i="6"/>
  <c r="T97" i="6"/>
  <c r="S97" i="6"/>
  <c r="P120" i="6"/>
  <c r="Q120" i="6" s="1"/>
  <c r="Q97" i="6" s="1"/>
  <c r="O97" i="6"/>
  <c r="N97" i="6"/>
  <c r="AC18" i="6"/>
  <c r="Y24" i="6"/>
  <c r="Z24" i="6" s="1"/>
  <c r="AA24" i="6" s="1"/>
  <c r="AA15" i="6"/>
  <c r="Z15" i="6" s="1"/>
  <c r="Y15" i="6" s="1"/>
  <c r="AA16" i="6"/>
  <c r="X15" i="6"/>
  <c r="X9" i="6" s="1"/>
  <c r="T24" i="6"/>
  <c r="T10" i="6" s="1"/>
  <c r="V16" i="6"/>
  <c r="V18" i="6" s="1"/>
  <c r="S9" i="6"/>
  <c r="S10" i="6"/>
  <c r="P33" i="6"/>
  <c r="Q33" i="6"/>
  <c r="E15" i="6"/>
  <c r="F15" i="6" s="1"/>
  <c r="G15" i="6" s="1"/>
  <c r="E10" i="6"/>
  <c r="E16" i="6" s="1"/>
  <c r="O24" i="6"/>
  <c r="P24" i="6" s="1"/>
  <c r="P22" i="6" s="1"/>
  <c r="Q26" i="6"/>
  <c r="Q152" i="6" s="1"/>
  <c r="H33" i="6"/>
  <c r="AA25" i="6"/>
  <c r="U18" i="6"/>
  <c r="T18" i="6"/>
  <c r="S18" i="6"/>
  <c r="AB18" i="6"/>
  <c r="L13" i="6"/>
  <c r="J24" i="6"/>
  <c r="G76" i="11"/>
  <c r="F76" i="11"/>
  <c r="E76" i="11"/>
  <c r="K76" i="11"/>
  <c r="J95" i="11"/>
  <c r="J93" i="11"/>
  <c r="I95" i="11"/>
  <c r="I93" i="11"/>
  <c r="G95" i="11"/>
  <c r="K95" i="11"/>
  <c r="K93" i="11"/>
  <c r="AC165" i="6"/>
  <c r="AB165" i="6"/>
  <c r="Z165" i="6"/>
  <c r="Y165" i="6"/>
  <c r="X165" i="6"/>
  <c r="AC160" i="6"/>
  <c r="Z160" i="6"/>
  <c r="Y160" i="6"/>
  <c r="X160" i="6"/>
  <c r="Z158" i="6"/>
  <c r="Y158" i="6"/>
  <c r="X158" i="6"/>
  <c r="W158" i="6"/>
  <c r="R158" i="6"/>
  <c r="O34" i="6"/>
  <c r="O163" i="6" s="1"/>
  <c r="P34" i="6"/>
  <c r="P163" i="6" s="1"/>
  <c r="Q34" i="6"/>
  <c r="M158" i="6"/>
  <c r="M32" i="6"/>
  <c r="M154" i="6" s="1"/>
  <c r="K154" i="6" s="1"/>
  <c r="K32" i="6" s="1"/>
  <c r="J158" i="6"/>
  <c r="J32" i="6"/>
  <c r="I158" i="6"/>
  <c r="I32" i="6"/>
  <c r="H158" i="6"/>
  <c r="H152" i="6"/>
  <c r="H126" i="6"/>
  <c r="H127" i="6"/>
  <c r="H128" i="6"/>
  <c r="H131" i="6"/>
  <c r="G158" i="6"/>
  <c r="G159" i="6" s="1"/>
  <c r="G162" i="6"/>
  <c r="G163" i="6" s="1"/>
  <c r="H162" i="6"/>
  <c r="H163" i="6" s="1"/>
  <c r="J162" i="6"/>
  <c r="I162" i="6"/>
  <c r="W165" i="6"/>
  <c r="R165" i="6"/>
  <c r="AB160" i="6"/>
  <c r="W160" i="6"/>
  <c r="R160" i="6"/>
  <c r="K75" i="11"/>
  <c r="K72" i="11"/>
  <c r="K71" i="11"/>
  <c r="K69" i="11"/>
  <c r="K68" i="11"/>
  <c r="K67" i="11"/>
  <c r="J67" i="11"/>
  <c r="W173" i="6"/>
  <c r="W174" i="6" s="1"/>
  <c r="R173" i="6"/>
  <c r="R174" i="6" s="1"/>
  <c r="AA186" i="6"/>
  <c r="AA188" i="6" s="1"/>
  <c r="Z186" i="6"/>
  <c r="Z188" i="6" s="1"/>
  <c r="Y186" i="6"/>
  <c r="Y188" i="6" s="1"/>
  <c r="X186" i="6"/>
  <c r="X188" i="6" s="1"/>
  <c r="W186" i="6"/>
  <c r="V186" i="6"/>
  <c r="V188" i="6" s="1"/>
  <c r="U186" i="6"/>
  <c r="U188" i="6" s="1"/>
  <c r="T186" i="6"/>
  <c r="T188" i="6" s="1"/>
  <c r="S186" i="6"/>
  <c r="S188" i="6" s="1"/>
  <c r="AC186" i="6"/>
  <c r="AC188" i="6" s="1"/>
  <c r="R186" i="6"/>
  <c r="Z93" i="6"/>
  <c r="Z94" i="6" s="1"/>
  <c r="Y93" i="6"/>
  <c r="Y94" i="6" s="1"/>
  <c r="X93" i="6"/>
  <c r="X94" i="6" s="1"/>
  <c r="W74" i="6"/>
  <c r="W75" i="6" s="1"/>
  <c r="AB76" i="6" s="1"/>
  <c r="Z74" i="6"/>
  <c r="Z75" i="6" s="1"/>
  <c r="Y74" i="6"/>
  <c r="Y75" i="6" s="1"/>
  <c r="X74" i="6"/>
  <c r="X75" i="6" s="1"/>
  <c r="R74" i="6"/>
  <c r="R75" i="6" s="1"/>
  <c r="Z128" i="6"/>
  <c r="Y128" i="6"/>
  <c r="Y110" i="6" s="1"/>
  <c r="X128" i="6"/>
  <c r="X110" i="6" s="1"/>
  <c r="AA123" i="6"/>
  <c r="Z107" i="6"/>
  <c r="Z108" i="6" s="1"/>
  <c r="Y107" i="6"/>
  <c r="Y108" i="6" s="1"/>
  <c r="X107" i="6"/>
  <c r="X108" i="6" s="1"/>
  <c r="W107" i="6"/>
  <c r="W108" i="6" s="1"/>
  <c r="M93" i="6"/>
  <c r="K122" i="6"/>
  <c r="L122" i="6" s="1"/>
  <c r="L93" i="6" s="1"/>
  <c r="J93" i="6"/>
  <c r="I93" i="6"/>
  <c r="H93" i="6"/>
  <c r="M74" i="6"/>
  <c r="K121" i="6"/>
  <c r="L121" i="6" s="1"/>
  <c r="L74" i="6" s="1"/>
  <c r="J74" i="6"/>
  <c r="I74" i="6"/>
  <c r="H74" i="6"/>
  <c r="G93" i="6"/>
  <c r="G74" i="6"/>
  <c r="H70" i="6"/>
  <c r="H71" i="6" s="1"/>
  <c r="AA125" i="6"/>
  <c r="AA131" i="6"/>
  <c r="AA133" i="6"/>
  <c r="Z146" i="6"/>
  <c r="Y146" i="6"/>
  <c r="Z131" i="6"/>
  <c r="Y131" i="6"/>
  <c r="X146" i="6"/>
  <c r="X131" i="6"/>
  <c r="AA139" i="6"/>
  <c r="AA138" i="6"/>
  <c r="AA136" i="6"/>
  <c r="Z136" i="6"/>
  <c r="Y136" i="6"/>
  <c r="S128" i="6"/>
  <c r="S129" i="6" s="1"/>
  <c r="S131" i="6"/>
  <c r="S136" i="6"/>
  <c r="R146" i="6"/>
  <c r="W146" i="6"/>
  <c r="X136" i="6"/>
  <c r="W136" i="6"/>
  <c r="H115" i="6"/>
  <c r="M115" i="6"/>
  <c r="N115" i="6"/>
  <c r="O115" i="6"/>
  <c r="P115" i="6"/>
  <c r="Q115" i="6"/>
  <c r="R115" i="6"/>
  <c r="W115" i="6"/>
  <c r="AB115" i="6"/>
  <c r="AG115" i="6"/>
  <c r="K119" i="6"/>
  <c r="L119" i="6" s="1"/>
  <c r="O70" i="6"/>
  <c r="P70" i="6" s="1"/>
  <c r="K120" i="6"/>
  <c r="L120" i="6" s="1"/>
  <c r="O245" i="6"/>
  <c r="P245" i="6" s="1"/>
  <c r="Q245" i="6" s="1"/>
  <c r="P244" i="6"/>
  <c r="Q244" i="6" s="1"/>
  <c r="O231" i="6"/>
  <c r="P231" i="6" s="1"/>
  <c r="P237" i="6"/>
  <c r="Q25" i="6"/>
  <c r="Q237" i="6"/>
  <c r="K123" i="6"/>
  <c r="L123" i="6" s="1"/>
  <c r="O107" i="6"/>
  <c r="R107" i="6"/>
  <c r="R108" i="6" s="1"/>
  <c r="P124" i="6"/>
  <c r="Q124" i="6" s="1"/>
  <c r="K125" i="6"/>
  <c r="L125" i="6" s="1"/>
  <c r="P125" i="6"/>
  <c r="Q125" i="6" s="1"/>
  <c r="K126" i="6"/>
  <c r="L126" i="6" s="1"/>
  <c r="P126" i="6"/>
  <c r="K127" i="6"/>
  <c r="L127" i="6" s="1"/>
  <c r="P127" i="6"/>
  <c r="I128" i="6"/>
  <c r="I110" i="6" s="1"/>
  <c r="M128" i="6"/>
  <c r="N128" i="6"/>
  <c r="N129" i="6" s="1"/>
  <c r="L130" i="6"/>
  <c r="M131" i="6"/>
  <c r="M134" i="6" s="1"/>
  <c r="N131" i="6"/>
  <c r="P131" i="6"/>
  <c r="P133" i="6" s="1"/>
  <c r="Q131" i="6" s="1"/>
  <c r="Q133" i="6" s="1"/>
  <c r="L132" i="6"/>
  <c r="L135" i="6"/>
  <c r="H136" i="6"/>
  <c r="M136" i="6"/>
  <c r="N136" i="6"/>
  <c r="P136" i="6"/>
  <c r="P152" i="6"/>
  <c r="R136" i="6"/>
  <c r="L137" i="6"/>
  <c r="Q156" i="6"/>
  <c r="I142" i="6"/>
  <c r="I167" i="6" s="1"/>
  <c r="J151" i="6" s="1"/>
  <c r="I144" i="6"/>
  <c r="C146" i="6"/>
  <c r="D146" i="6"/>
  <c r="E146" i="6"/>
  <c r="F146" i="6"/>
  <c r="G146" i="6"/>
  <c r="H146" i="6"/>
  <c r="I146" i="6"/>
  <c r="J146" i="6"/>
  <c r="M146" i="6"/>
  <c r="N146" i="6"/>
  <c r="O146" i="6"/>
  <c r="W6" i="8"/>
  <c r="M54" i="6"/>
  <c r="M53" i="6" s="1"/>
  <c r="AG8" i="8"/>
  <c r="X45" i="6"/>
  <c r="X11" i="8" s="1"/>
  <c r="X54" i="6"/>
  <c r="W57" i="6"/>
  <c r="X57" i="6" s="1"/>
  <c r="X9" i="8" s="1"/>
  <c r="W58" i="6"/>
  <c r="W55" i="6"/>
  <c r="AA54" i="6"/>
  <c r="AA55" i="6" s="1"/>
  <c r="Z54" i="6"/>
  <c r="Z55" i="6" s="1"/>
  <c r="Y54" i="6"/>
  <c r="Y6" i="8" s="1"/>
  <c r="Z45" i="6"/>
  <c r="Z11" i="8" s="1"/>
  <c r="Y45" i="6"/>
  <c r="X10" i="8"/>
  <c r="AA45" i="6"/>
  <c r="W31" i="6"/>
  <c r="AC63" i="8"/>
  <c r="AC61" i="8"/>
  <c r="AC60" i="8"/>
  <c r="AC56" i="8"/>
  <c r="AC54" i="8"/>
  <c r="AC53" i="8"/>
  <c r="AC51" i="8"/>
  <c r="AC50" i="8"/>
  <c r="O152" i="6"/>
  <c r="W152" i="6"/>
  <c r="M152" i="6"/>
  <c r="W18" i="6"/>
  <c r="W23" i="6"/>
  <c r="W22" i="6"/>
  <c r="AA39" i="6"/>
  <c r="AA38" i="6"/>
  <c r="J75" i="11"/>
  <c r="J68" i="11"/>
  <c r="J69" i="11"/>
  <c r="N81" i="13"/>
  <c r="N82" i="13" s="1"/>
  <c r="N87" i="13" s="1"/>
  <c r="M81" i="13"/>
  <c r="M82" i="13" s="1"/>
  <c r="M87" i="13" s="1"/>
  <c r="L82" i="13"/>
  <c r="L85" i="13" s="1"/>
  <c r="K82" i="13"/>
  <c r="K85" i="13" s="1"/>
  <c r="J81" i="13"/>
  <c r="J82" i="13" s="1"/>
  <c r="J87" i="13" s="1"/>
  <c r="J72" i="11"/>
  <c r="J71" i="11"/>
  <c r="J70" i="11"/>
  <c r="I75" i="11"/>
  <c r="I72" i="11"/>
  <c r="I71" i="11"/>
  <c r="I70" i="11"/>
  <c r="I69" i="11"/>
  <c r="I68" i="11"/>
  <c r="I67" i="11"/>
  <c r="K28" i="13"/>
  <c r="J28" i="13"/>
  <c r="J32" i="13" s="1"/>
  <c r="I28" i="13"/>
  <c r="I33" i="13" s="1"/>
  <c r="H28" i="13"/>
  <c r="H31" i="13" s="1"/>
  <c r="F82" i="13"/>
  <c r="F28" i="13"/>
  <c r="F32" i="13" s="1"/>
  <c r="E82" i="13"/>
  <c r="E28" i="13"/>
  <c r="E31" i="13" s="1"/>
  <c r="D82" i="13"/>
  <c r="D28" i="13"/>
  <c r="D86" i="13" s="1"/>
  <c r="C82" i="13"/>
  <c r="C28" i="13"/>
  <c r="C30" i="13" s="1"/>
  <c r="E15" i="13"/>
  <c r="M8" i="8"/>
  <c r="R8" i="8"/>
  <c r="R5" i="8"/>
  <c r="W5" i="8"/>
  <c r="V64" i="8"/>
  <c r="U64" i="8"/>
  <c r="T64" i="8"/>
  <c r="S64" i="8"/>
  <c r="V63" i="8"/>
  <c r="U63" i="8"/>
  <c r="T63" i="8"/>
  <c r="S63" i="8"/>
  <c r="V61" i="8"/>
  <c r="U61" i="8"/>
  <c r="T61" i="8"/>
  <c r="S61" i="8"/>
  <c r="V60" i="8"/>
  <c r="U60" i="8"/>
  <c r="T60" i="8"/>
  <c r="S60" i="8"/>
  <c r="U57" i="8"/>
  <c r="V56" i="8"/>
  <c r="U56" i="8"/>
  <c r="T56" i="8"/>
  <c r="S56" i="8"/>
  <c r="V55" i="8"/>
  <c r="U55" i="8"/>
  <c r="T55" i="8"/>
  <c r="S55" i="8"/>
  <c r="V54" i="8"/>
  <c r="U54" i="8"/>
  <c r="T54" i="8"/>
  <c r="S54" i="8"/>
  <c r="V53" i="8"/>
  <c r="U53" i="8"/>
  <c r="T53" i="8"/>
  <c r="S53" i="8"/>
  <c r="V52" i="8"/>
  <c r="U52" i="8"/>
  <c r="T52" i="8"/>
  <c r="S52" i="8"/>
  <c r="V51" i="8"/>
  <c r="U51" i="8"/>
  <c r="T51" i="8"/>
  <c r="S51" i="8"/>
  <c r="V50" i="8"/>
  <c r="U50" i="8"/>
  <c r="T50" i="8"/>
  <c r="S50" i="8"/>
  <c r="O36" i="8"/>
  <c r="M36" i="8"/>
  <c r="Q54" i="6"/>
  <c r="Q53" i="6" s="1"/>
  <c r="O8" i="8"/>
  <c r="P8" i="8" s="1"/>
  <c r="Q8" i="8" s="1"/>
  <c r="O57" i="6"/>
  <c r="P57" i="6" s="1"/>
  <c r="M58" i="6"/>
  <c r="N58" i="6" s="1"/>
  <c r="M23" i="6"/>
  <c r="M22" i="6"/>
  <c r="R22" i="6"/>
  <c r="AB246" i="6"/>
  <c r="N32" i="6"/>
  <c r="N154" i="6" s="1"/>
  <c r="Q179" i="6"/>
  <c r="Q180" i="6"/>
  <c r="Q181" i="6"/>
  <c r="Q182" i="6"/>
  <c r="Q183" i="6"/>
  <c r="Q185" i="6"/>
  <c r="Z63" i="8"/>
  <c r="Y63" i="8"/>
  <c r="X63" i="8"/>
  <c r="P63" i="8"/>
  <c r="J63" i="8"/>
  <c r="I63" i="8"/>
  <c r="Z61" i="8"/>
  <c r="Y61" i="8"/>
  <c r="X61" i="8"/>
  <c r="W61" i="8"/>
  <c r="R61" i="8"/>
  <c r="P61" i="8"/>
  <c r="J61" i="8"/>
  <c r="I61" i="8"/>
  <c r="AB60" i="8"/>
  <c r="Z60" i="8"/>
  <c r="Y60" i="8"/>
  <c r="X60" i="8"/>
  <c r="W60" i="8"/>
  <c r="R60" i="8"/>
  <c r="P60" i="8"/>
  <c r="J60" i="8"/>
  <c r="I60" i="8"/>
  <c r="AB56" i="8"/>
  <c r="Z56" i="8"/>
  <c r="Y56" i="8"/>
  <c r="X56" i="8"/>
  <c r="W56" i="8"/>
  <c r="R56" i="8"/>
  <c r="P56" i="8"/>
  <c r="J56" i="8"/>
  <c r="I56" i="8"/>
  <c r="AB54" i="8"/>
  <c r="Z54" i="8"/>
  <c r="Y54" i="8"/>
  <c r="X54" i="8"/>
  <c r="W54" i="8"/>
  <c r="R54" i="8"/>
  <c r="P54" i="8"/>
  <c r="J54" i="8"/>
  <c r="I54" i="8"/>
  <c r="AB53" i="8"/>
  <c r="Z53" i="8"/>
  <c r="Y53" i="8"/>
  <c r="X53" i="8"/>
  <c r="W53" i="8"/>
  <c r="R53" i="8"/>
  <c r="P53" i="8"/>
  <c r="J53" i="8"/>
  <c r="I53" i="8"/>
  <c r="Z51" i="8"/>
  <c r="Y51" i="8"/>
  <c r="X51" i="8"/>
  <c r="W51" i="8"/>
  <c r="R51" i="8"/>
  <c r="P51" i="8"/>
  <c r="AB50" i="8"/>
  <c r="Z50" i="8"/>
  <c r="Y50" i="8"/>
  <c r="X50" i="8"/>
  <c r="W50" i="8"/>
  <c r="R50" i="8"/>
  <c r="P50" i="8"/>
  <c r="J50" i="8"/>
  <c r="I50" i="8"/>
  <c r="C44" i="8"/>
  <c r="I33" i="6"/>
  <c r="I9" i="8" s="1"/>
  <c r="I11" i="8"/>
  <c r="I59" i="6" s="1"/>
  <c r="I60" i="6" s="1"/>
  <c r="H58" i="6"/>
  <c r="I58" i="6" s="1"/>
  <c r="F9" i="7"/>
  <c r="F26" i="7"/>
  <c r="F27" i="7" s="1"/>
  <c r="E26" i="7"/>
  <c r="E27" i="7" s="1"/>
  <c r="D26" i="7"/>
  <c r="D27" i="7" s="1"/>
  <c r="C26" i="7"/>
  <c r="C27" i="7" s="1"/>
  <c r="C69" i="12"/>
  <c r="C76" i="12" s="1"/>
  <c r="C91" i="12" s="1"/>
  <c r="C70" i="12"/>
  <c r="C77" i="12" s="1"/>
  <c r="C92" i="12" s="1"/>
  <c r="C71" i="12"/>
  <c r="C78" i="12" s="1"/>
  <c r="C93" i="12" s="1"/>
  <c r="E37" i="11"/>
  <c r="E24" i="11"/>
  <c r="E46" i="11"/>
  <c r="E59" i="11"/>
  <c r="R237" i="6"/>
  <c r="I237" i="6"/>
  <c r="J237" i="6" s="1"/>
  <c r="K237" i="6"/>
  <c r="O237" i="6"/>
  <c r="N237" i="6"/>
  <c r="Q165" i="6"/>
  <c r="N107" i="6"/>
  <c r="N108" i="6" s="1"/>
  <c r="O241" i="6"/>
  <c r="N241" i="6"/>
  <c r="N70" i="6"/>
  <c r="N71" i="6" s="1"/>
  <c r="N179" i="6"/>
  <c r="N180" i="6"/>
  <c r="N181" i="6"/>
  <c r="N182" i="6"/>
  <c r="N183" i="6"/>
  <c r="N185" i="6"/>
  <c r="O179" i="6"/>
  <c r="O180" i="6"/>
  <c r="O181" i="6"/>
  <c r="O182" i="6"/>
  <c r="O183" i="6"/>
  <c r="O185" i="6"/>
  <c r="P179" i="6"/>
  <c r="P180" i="6"/>
  <c r="P181" i="6"/>
  <c r="P182" i="6"/>
  <c r="P183" i="6"/>
  <c r="P185" i="6"/>
  <c r="W241" i="6"/>
  <c r="AB241" i="6" s="1"/>
  <c r="N152" i="6"/>
  <c r="N155" i="6" s="1"/>
  <c r="O151" i="6" s="1"/>
  <c r="E38" i="6"/>
  <c r="F32" i="6"/>
  <c r="G38" i="6" s="1"/>
  <c r="D38" i="6"/>
  <c r="N233" i="6"/>
  <c r="N244" i="6"/>
  <c r="N246" i="6" s="1"/>
  <c r="N234" i="6"/>
  <c r="M57" i="6"/>
  <c r="N23" i="6"/>
  <c r="N22" i="6"/>
  <c r="K231" i="6"/>
  <c r="M241" i="6"/>
  <c r="M107" i="6"/>
  <c r="M108" i="6" s="1"/>
  <c r="M246" i="6"/>
  <c r="M70" i="6"/>
  <c r="M71" i="6" s="1"/>
  <c r="N238" i="6"/>
  <c r="M231" i="6"/>
  <c r="C54" i="6"/>
  <c r="L55" i="6"/>
  <c r="L59" i="6"/>
  <c r="J231" i="6"/>
  <c r="I231" i="6"/>
  <c r="E54" i="6"/>
  <c r="E39" i="6"/>
  <c r="D39" i="6"/>
  <c r="C39" i="6"/>
  <c r="R152" i="6"/>
  <c r="L39" i="6"/>
  <c r="J33" i="6"/>
  <c r="J9" i="8" s="1"/>
  <c r="G58" i="6"/>
  <c r="J243" i="6"/>
  <c r="K243" i="6" s="1"/>
  <c r="J244" i="6"/>
  <c r="K244" i="6" s="1"/>
  <c r="I246" i="6"/>
  <c r="I107" i="6"/>
  <c r="I108" i="6" s="1"/>
  <c r="J107" i="6"/>
  <c r="J108" i="6" s="1"/>
  <c r="G54" i="6"/>
  <c r="G53" i="6" s="1"/>
  <c r="J165" i="6"/>
  <c r="I165" i="6"/>
  <c r="J160" i="6"/>
  <c r="K160" i="6" s="1"/>
  <c r="I160" i="6"/>
  <c r="H107" i="6"/>
  <c r="H108" i="6" s="1"/>
  <c r="J96" i="6"/>
  <c r="I96" i="6"/>
  <c r="J241" i="6"/>
  <c r="I241" i="6"/>
  <c r="J70" i="6"/>
  <c r="J71" i="6" s="1"/>
  <c r="I152" i="6"/>
  <c r="I155" i="6" s="1"/>
  <c r="J23" i="6"/>
  <c r="I70" i="6"/>
  <c r="I71" i="6" s="1"/>
  <c r="J62" i="6"/>
  <c r="K62" i="6"/>
  <c r="J53" i="6"/>
  <c r="K53" i="6"/>
  <c r="I53" i="6"/>
  <c r="I23" i="6"/>
  <c r="I22" i="6"/>
  <c r="J152" i="6"/>
  <c r="G107" i="6"/>
  <c r="G108" i="6" s="1"/>
  <c r="G243" i="6"/>
  <c r="G246" i="6" s="1"/>
  <c r="F230" i="6"/>
  <c r="G231" i="6"/>
  <c r="G230" i="6" s="1"/>
  <c r="G233" i="6" s="1"/>
  <c r="G152" i="6"/>
  <c r="R231" i="6"/>
  <c r="W231" i="6"/>
  <c r="F243" i="6"/>
  <c r="C244" i="6"/>
  <c r="D231" i="6"/>
  <c r="D230" i="6" s="1"/>
  <c r="E231" i="6"/>
  <c r="F232" i="6" s="1"/>
  <c r="C231" i="6"/>
  <c r="C230" i="6" s="1"/>
  <c r="F58" i="6"/>
  <c r="C152" i="6"/>
  <c r="C153" i="6" s="1"/>
  <c r="D54" i="6"/>
  <c r="F54" i="6"/>
  <c r="F107" i="6"/>
  <c r="D55" i="6"/>
  <c r="E55" i="6"/>
  <c r="C55" i="6"/>
  <c r="F57" i="6"/>
  <c r="F152" i="6"/>
  <c r="D15" i="6"/>
  <c r="D10" i="6"/>
  <c r="D16" i="6" s="1"/>
  <c r="C15" i="6"/>
  <c r="C16" i="6"/>
  <c r="B16" i="6"/>
  <c r="D58" i="6"/>
  <c r="E58" i="6"/>
  <c r="C58" i="6"/>
  <c r="D154" i="6"/>
  <c r="E154" i="6"/>
  <c r="C154" i="6"/>
  <c r="F22" i="6"/>
  <c r="D22" i="6"/>
  <c r="E22" i="6"/>
  <c r="D23" i="6"/>
  <c r="E23" i="6"/>
  <c r="C22" i="6"/>
  <c r="D152" i="6"/>
  <c r="E152" i="6"/>
  <c r="C107" i="6"/>
  <c r="D107" i="6"/>
  <c r="E107" i="6"/>
  <c r="C57" i="6"/>
  <c r="C23" i="6"/>
  <c r="C21" i="6"/>
  <c r="E21" i="6"/>
  <c r="D21" i="6"/>
  <c r="D57" i="6"/>
  <c r="E57" i="6"/>
  <c r="B23" i="6"/>
  <c r="F23" i="6"/>
  <c r="G22" i="6"/>
  <c r="G23" i="6"/>
  <c r="H23" i="6"/>
  <c r="D244" i="6"/>
  <c r="E244" i="6"/>
  <c r="H246" i="6"/>
  <c r="H22" i="6"/>
  <c r="R23" i="6"/>
  <c r="G55" i="6"/>
  <c r="P53" i="6"/>
  <c r="O53" i="6"/>
  <c r="N53" i="6"/>
  <c r="M55" i="6"/>
  <c r="G160" i="6"/>
  <c r="O6" i="8"/>
  <c r="J11" i="8"/>
  <c r="C17" i="11"/>
  <c r="F89" i="11"/>
  <c r="G89" i="11"/>
  <c r="H89" i="11"/>
  <c r="D59" i="11"/>
  <c r="D46" i="11"/>
  <c r="C59" i="11"/>
  <c r="C46" i="11"/>
  <c r="B46" i="11"/>
  <c r="B59" i="11"/>
  <c r="D24" i="11"/>
  <c r="C24" i="11"/>
  <c r="B37" i="11"/>
  <c r="B24" i="11"/>
  <c r="B31" i="7" s="1"/>
  <c r="B17" i="11"/>
  <c r="A4" i="11"/>
  <c r="A4" i="7" s="1"/>
  <c r="C37" i="11"/>
  <c r="D37" i="11"/>
  <c r="F81" i="11"/>
  <c r="F82" i="11"/>
  <c r="F83" i="11"/>
  <c r="F84" i="11"/>
  <c r="F80" i="11"/>
  <c r="F88" i="11"/>
  <c r="G88" i="11"/>
  <c r="G80" i="11"/>
  <c r="G81" i="11"/>
  <c r="G82" i="11"/>
  <c r="G83" i="11"/>
  <c r="G84" i="11"/>
  <c r="H88" i="11"/>
  <c r="H90" i="11" s="1"/>
  <c r="H80" i="11"/>
  <c r="H81" i="11"/>
  <c r="H82" i="11"/>
  <c r="H83" i="11"/>
  <c r="H84" i="11"/>
  <c r="F67" i="11"/>
  <c r="C72" i="11"/>
  <c r="O4" i="7"/>
  <c r="N4" i="7"/>
  <c r="M4" i="7"/>
  <c r="L4" i="7"/>
  <c r="K4" i="7"/>
  <c r="C49" i="7"/>
  <c r="D49" i="7"/>
  <c r="E49" i="7"/>
  <c r="H4" i="7"/>
  <c r="I4" i="7"/>
  <c r="J4" i="7"/>
  <c r="B17" i="7"/>
  <c r="B18" i="7" s="1"/>
  <c r="B23" i="7" s="1"/>
  <c r="B35" i="7"/>
  <c r="B27" i="7"/>
  <c r="B4" i="7"/>
  <c r="C4" i="7"/>
  <c r="D4" i="7"/>
  <c r="E4" i="7"/>
  <c r="F4" i="7"/>
  <c r="G4" i="7"/>
  <c r="C73" i="12"/>
  <c r="C80" i="12" s="1"/>
  <c r="C95" i="12" s="1"/>
  <c r="C72" i="12"/>
  <c r="C79" i="12" s="1"/>
  <c r="C94" i="12" s="1"/>
  <c r="C87" i="12"/>
  <c r="C86" i="12"/>
  <c r="C85" i="12"/>
  <c r="C84" i="12"/>
  <c r="C83" i="12"/>
  <c r="H30" i="13"/>
  <c r="D16" i="13"/>
  <c r="D18" i="13" s="1"/>
  <c r="E16" i="13" s="1"/>
  <c r="H36" i="8"/>
  <c r="G36" i="8"/>
  <c r="F36" i="8"/>
  <c r="E36" i="8"/>
  <c r="N44" i="8"/>
  <c r="O44" i="8"/>
  <c r="O72" i="8" s="1"/>
  <c r="P44" i="8"/>
  <c r="Q44" i="8"/>
  <c r="N9" i="8"/>
  <c r="N36" i="8"/>
  <c r="Q36" i="8"/>
  <c r="P36" i="8"/>
  <c r="H8" i="8"/>
  <c r="E8" i="8"/>
  <c r="K36" i="8"/>
  <c r="J36" i="8"/>
  <c r="I36" i="8"/>
  <c r="H44" i="8"/>
  <c r="D36" i="8"/>
  <c r="C36" i="8"/>
  <c r="D44" i="8"/>
  <c r="E44" i="8"/>
  <c r="F44" i="8"/>
  <c r="G44" i="8"/>
  <c r="K7" i="8"/>
  <c r="K9" i="8"/>
  <c r="L42" i="8"/>
  <c r="K42" i="8"/>
  <c r="J42" i="8"/>
  <c r="I42" i="8"/>
  <c r="AB61" i="8"/>
  <c r="AB51" i="8"/>
  <c r="AG56" i="8"/>
  <c r="AG54" i="8"/>
  <c r="AG53" i="8"/>
  <c r="AG50" i="8"/>
  <c r="AG23" i="6"/>
  <c r="AG51" i="8"/>
  <c r="AG55" i="8"/>
  <c r="AL23" i="6"/>
  <c r="AG57" i="8"/>
  <c r="AG61" i="8"/>
  <c r="AE60" i="8"/>
  <c r="AE62" i="8"/>
  <c r="AE63" i="8"/>
  <c r="AE64" i="8"/>
  <c r="AG63" i="8"/>
  <c r="J19" i="28"/>
  <c r="AH60" i="8"/>
  <c r="AH63" i="8"/>
  <c r="X44" i="8"/>
  <c r="Y44" i="8" s="1"/>
  <c r="Z44" i="8" s="1"/>
  <c r="AA44" i="8" s="1"/>
  <c r="AB47" i="8"/>
  <c r="AJ63" i="8"/>
  <c r="AJ61" i="8"/>
  <c r="AJ60" i="8"/>
  <c r="AJ54" i="8"/>
  <c r="AJ53" i="8"/>
  <c r="AJ50" i="8"/>
  <c r="AI60" i="8"/>
  <c r="AJ51" i="8"/>
  <c r="M24" i="11"/>
  <c r="K51" i="28"/>
  <c r="AL8" i="8"/>
  <c r="K71" i="28"/>
  <c r="K67" i="28"/>
  <c r="K12" i="28"/>
  <c r="K10" i="28"/>
  <c r="M42" i="28"/>
  <c r="AK158" i="6"/>
  <c r="K17" i="28"/>
  <c r="AJ168" i="6"/>
  <c r="K13" i="28"/>
  <c r="K68" i="28"/>
  <c r="K72" i="28"/>
  <c r="K19" i="28"/>
  <c r="AK168" i="6"/>
  <c r="AK193" i="6"/>
  <c r="AM50" i="8"/>
  <c r="AM53" i="8"/>
  <c r="AM54" i="8"/>
  <c r="AM56" i="8"/>
  <c r="AM60" i="8"/>
  <c r="AM61" i="8"/>
  <c r="M13" i="28"/>
  <c r="L71" i="28"/>
  <c r="AK195" i="6"/>
  <c r="AM51" i="8"/>
  <c r="AM52" i="8"/>
  <c r="AM63" i="8"/>
  <c r="C86" i="13"/>
  <c r="L87" i="13"/>
  <c r="E86" i="13"/>
  <c r="BA80" i="25"/>
  <c r="BC80" i="25" s="1"/>
  <c r="AI11" i="8"/>
  <c r="AE11" i="8"/>
  <c r="AI94" i="6"/>
  <c r="AM52" i="25"/>
  <c r="N64" i="28"/>
  <c r="O43" i="28"/>
  <c r="AQ79" i="25"/>
  <c r="AS79" i="25" s="1"/>
  <c r="AQ81" i="25"/>
  <c r="AS81" i="25" s="1"/>
  <c r="AM30" i="25"/>
  <c r="E22" i="31"/>
  <c r="E23" i="31"/>
  <c r="E83" i="31"/>
  <c r="E84" i="31"/>
  <c r="AM48" i="25"/>
  <c r="AM51" i="25" s="1"/>
  <c r="AO182" i="6"/>
  <c r="AS34" i="25"/>
  <c r="G11" i="31"/>
  <c r="G10" i="31"/>
  <c r="G23" i="31"/>
  <c r="G22" i="31"/>
  <c r="G84" i="31"/>
  <c r="G83" i="31"/>
  <c r="G129" i="31"/>
  <c r="G128" i="31"/>
  <c r="G152" i="31"/>
  <c r="G151" i="31"/>
  <c r="AQ8" i="8"/>
  <c r="L70" i="28"/>
  <c r="BA78" i="25"/>
  <c r="BC78" i="25" s="1"/>
  <c r="O64" i="28"/>
  <c r="AQ26" i="6"/>
  <c r="AQ146" i="6" s="1"/>
  <c r="K48" i="11"/>
  <c r="I63" i="28" s="1"/>
  <c r="L33" i="28"/>
  <c r="M70" i="28"/>
  <c r="N34" i="7"/>
  <c r="L12" i="28"/>
  <c r="L67" i="28"/>
  <c r="L63" i="28"/>
  <c r="O81" i="13"/>
  <c r="O82" i="13" s="1"/>
  <c r="O87" i="13" s="1"/>
  <c r="L69" i="28"/>
  <c r="M63" i="28"/>
  <c r="N70" i="28"/>
  <c r="J47" i="28"/>
  <c r="M33" i="28"/>
  <c r="N33" i="28"/>
  <c r="O63" i="28"/>
  <c r="N63" i="28"/>
  <c r="AP23" i="8"/>
  <c r="L17" i="28"/>
  <c r="L47" i="28"/>
  <c r="L40" i="28"/>
  <c r="N49" i="7"/>
  <c r="M47" i="28"/>
  <c r="M40" i="28"/>
  <c r="O24" i="11"/>
  <c r="M44" i="28" s="1"/>
  <c r="O49" i="7"/>
  <c r="O28" i="13"/>
  <c r="L10" i="28"/>
  <c r="N42" i="28"/>
  <c r="L68" i="28"/>
  <c r="L19" i="28"/>
  <c r="L51" i="28"/>
  <c r="L72" i="28"/>
  <c r="N59" i="11"/>
  <c r="C75" i="11" l="1"/>
  <c r="D110" i="6"/>
  <c r="Y31" i="6"/>
  <c r="Y129" i="6"/>
  <c r="D59" i="6"/>
  <c r="D60" i="6" s="1"/>
  <c r="D56" i="8"/>
  <c r="AD76" i="6"/>
  <c r="E53" i="8"/>
  <c r="AL10" i="6"/>
  <c r="C68" i="11"/>
  <c r="AG248" i="6"/>
  <c r="D8" i="8"/>
  <c r="D33" i="13"/>
  <c r="C69" i="11"/>
  <c r="X22" i="8"/>
  <c r="X59" i="8" s="1"/>
  <c r="J64" i="28"/>
  <c r="D60" i="8"/>
  <c r="AC129" i="6"/>
  <c r="D32" i="13"/>
  <c r="C70" i="11"/>
  <c r="K241" i="6"/>
  <c r="D61" i="8"/>
  <c r="AA9" i="6"/>
  <c r="C67" i="11"/>
  <c r="D165" i="6"/>
  <c r="AG52" i="8"/>
  <c r="D160" i="6"/>
  <c r="W159" i="6"/>
  <c r="C71" i="11"/>
  <c r="D50" i="8"/>
  <c r="Z52" i="8"/>
  <c r="R195" i="6"/>
  <c r="AI36" i="6"/>
  <c r="AI39" i="6"/>
  <c r="AQ35" i="6"/>
  <c r="L15" i="28"/>
  <c r="G35" i="28"/>
  <c r="B38" i="7"/>
  <c r="B39" i="7" s="1"/>
  <c r="B42" i="7" s="1"/>
  <c r="B43" i="7" s="1"/>
  <c r="AF56" i="8"/>
  <c r="O71" i="6"/>
  <c r="AF50" i="8"/>
  <c r="AN17" i="6"/>
  <c r="AO17" i="6" s="1"/>
  <c r="AO18" i="6" s="1"/>
  <c r="AT11" i="6"/>
  <c r="L64" i="28"/>
  <c r="AM11" i="6"/>
  <c r="AO23" i="6"/>
  <c r="AO94" i="6"/>
  <c r="AI59" i="6"/>
  <c r="AI60" i="6" s="1"/>
  <c r="Y55" i="6"/>
  <c r="Y7" i="8" s="1"/>
  <c r="AB52" i="8"/>
  <c r="D31" i="13"/>
  <c r="D69" i="11"/>
  <c r="B72" i="11"/>
  <c r="F70" i="11"/>
  <c r="G27" i="13"/>
  <c r="G49" i="7"/>
  <c r="AC99" i="6"/>
  <c r="AE9" i="8"/>
  <c r="AJ53" i="6"/>
  <c r="AJ54" i="6" s="1"/>
  <c r="AU72" i="8"/>
  <c r="AM103" i="6"/>
  <c r="O49" i="11"/>
  <c r="H15" i="28"/>
  <c r="H22" i="31"/>
  <c r="AK18" i="6"/>
  <c r="B58" i="26"/>
  <c r="B61" i="26" s="1"/>
  <c r="B64" i="26" s="1"/>
  <c r="B67" i="26" s="1"/>
  <c r="AI6" i="8"/>
  <c r="AI5" i="8" s="1"/>
  <c r="F30" i="13"/>
  <c r="F90" i="11"/>
  <c r="K232" i="6"/>
  <c r="G54" i="8"/>
  <c r="G63" i="8"/>
  <c r="AC52" i="8"/>
  <c r="P11" i="8"/>
  <c r="P6" i="8" s="1"/>
  <c r="P7" i="8" s="1"/>
  <c r="P55" i="6" s="1"/>
  <c r="AF53" i="8"/>
  <c r="AK35" i="6"/>
  <c r="AM18" i="6"/>
  <c r="AM136" i="6"/>
  <c r="AM75" i="6"/>
  <c r="AM76" i="6" s="1"/>
  <c r="AS32" i="25"/>
  <c r="R52" i="8"/>
  <c r="O9" i="8"/>
  <c r="AN39" i="6"/>
  <c r="AN36" i="6"/>
  <c r="AN6" i="8"/>
  <c r="AM39" i="6"/>
  <c r="AN9" i="8"/>
  <c r="AL57" i="6"/>
  <c r="AL59" i="6" s="1"/>
  <c r="AL64" i="6" s="1"/>
  <c r="AB206" i="6"/>
  <c r="AB203" i="6" s="1"/>
  <c r="AB204" i="6" s="1"/>
  <c r="P246" i="6"/>
  <c r="P121" i="6" s="1"/>
  <c r="G72" i="11"/>
  <c r="J6" i="8"/>
  <c r="J7" i="8" s="1"/>
  <c r="J55" i="6" s="1"/>
  <c r="R246" i="6"/>
  <c r="X52" i="8"/>
  <c r="AA18" i="6"/>
  <c r="AB21" i="8"/>
  <c r="G98" i="28"/>
  <c r="AH129" i="6"/>
  <c r="AH134" i="6" s="1"/>
  <c r="AH144" i="6" s="1"/>
  <c r="AQ213" i="6"/>
  <c r="AF159" i="6"/>
  <c r="Y134" i="6"/>
  <c r="Y144" i="6" s="1"/>
  <c r="X25" i="8"/>
  <c r="J33" i="13"/>
  <c r="H160" i="6"/>
  <c r="O246" i="6"/>
  <c r="J153" i="6"/>
  <c r="Y159" i="6"/>
  <c r="AD95" i="6"/>
  <c r="AJ98" i="6"/>
  <c r="AK98" i="6" s="1"/>
  <c r="AT83" i="6"/>
  <c r="L89" i="11"/>
  <c r="L90" i="11" s="1"/>
  <c r="N85" i="11"/>
  <c r="D21" i="8"/>
  <c r="H128" i="31"/>
  <c r="AK159" i="6"/>
  <c r="J53" i="28"/>
  <c r="H65" i="28"/>
  <c r="AQ31" i="6"/>
  <c r="AM99" i="6"/>
  <c r="AN99" i="6" s="1"/>
  <c r="AN97" i="6" s="1"/>
  <c r="AP11" i="8"/>
  <c r="Q72" i="8"/>
  <c r="AO72" i="8"/>
  <c r="P21" i="12"/>
  <c r="C21" i="8"/>
  <c r="AN57" i="25"/>
  <c r="AN60" i="25" s="1"/>
  <c r="C60" i="8"/>
  <c r="AH31" i="6"/>
  <c r="AO22" i="6"/>
  <c r="AR9" i="6"/>
  <c r="AM126" i="6"/>
  <c r="AM128" i="6" s="1"/>
  <c r="AM129" i="6" s="1"/>
  <c r="AM134" i="6" s="1"/>
  <c r="AM144" i="6" s="1"/>
  <c r="H151" i="31"/>
  <c r="H10" i="31"/>
  <c r="AM146" i="6"/>
  <c r="AM33" i="25"/>
  <c r="O32" i="6"/>
  <c r="O154" i="6" s="1"/>
  <c r="E30" i="13"/>
  <c r="L86" i="13"/>
  <c r="I32" i="13"/>
  <c r="AJ52" i="8"/>
  <c r="G8" i="8"/>
  <c r="H32" i="13"/>
  <c r="B68" i="11"/>
  <c r="D75" i="11"/>
  <c r="G68" i="11"/>
  <c r="F71" i="11"/>
  <c r="C38" i="11"/>
  <c r="C39" i="11" s="1"/>
  <c r="F75" i="11"/>
  <c r="C160" i="6"/>
  <c r="G59" i="6"/>
  <c r="G60" i="6" s="1"/>
  <c r="C70" i="6"/>
  <c r="C71" i="6" s="1"/>
  <c r="G50" i="8"/>
  <c r="G53" i="8"/>
  <c r="Z55" i="8"/>
  <c r="G60" i="8"/>
  <c r="H61" i="8"/>
  <c r="W246" i="6"/>
  <c r="G25" i="13"/>
  <c r="AB12" i="6"/>
  <c r="AB21" i="6" s="1"/>
  <c r="H44" i="7"/>
  <c r="G32" i="28"/>
  <c r="AH37" i="6"/>
  <c r="I32" i="28"/>
  <c r="AH110" i="6"/>
  <c r="AI110" i="6" s="1"/>
  <c r="AD6" i="8"/>
  <c r="AM57" i="25"/>
  <c r="AN35" i="6"/>
  <c r="AN110" i="6"/>
  <c r="AO110" i="6" s="1"/>
  <c r="AP110" i="6" s="1"/>
  <c r="R21" i="8"/>
  <c r="I15" i="28"/>
  <c r="AS9" i="6"/>
  <c r="AM35" i="6"/>
  <c r="E85" i="13"/>
  <c r="C31" i="13"/>
  <c r="F72" i="11"/>
  <c r="F69" i="11"/>
  <c r="E110" i="6"/>
  <c r="G110" i="6"/>
  <c r="I10" i="8"/>
  <c r="AA146" i="6"/>
  <c r="AC147" i="6" s="1"/>
  <c r="AE76" i="6"/>
  <c r="AH154" i="6"/>
  <c r="AJ159" i="6"/>
  <c r="AJ158" i="6" s="1"/>
  <c r="N37" i="11"/>
  <c r="L37" i="11"/>
  <c r="AF6" i="8"/>
  <c r="AY17" i="6"/>
  <c r="BC17" i="6" s="1"/>
  <c r="BG17" i="6" s="1"/>
  <c r="M37" i="11"/>
  <c r="M38" i="11" s="1"/>
  <c r="H33" i="13"/>
  <c r="F68" i="11"/>
  <c r="G70" i="11"/>
  <c r="G165" i="6"/>
  <c r="G232" i="6"/>
  <c r="P186" i="6"/>
  <c r="E50" i="8"/>
  <c r="N134" i="6"/>
  <c r="N142" i="6" s="1"/>
  <c r="W188" i="6"/>
  <c r="AA99" i="6"/>
  <c r="AB169" i="6"/>
  <c r="F98" i="28"/>
  <c r="G89" i="28"/>
  <c r="G33" i="28"/>
  <c r="AE37" i="6"/>
  <c r="AB7" i="6"/>
  <c r="AB46" i="6" s="1"/>
  <c r="J32" i="28"/>
  <c r="AD9" i="8"/>
  <c r="AM94" i="6"/>
  <c r="AN45" i="8"/>
  <c r="AN46" i="8" s="1"/>
  <c r="AE35" i="8"/>
  <c r="F89" i="28"/>
  <c r="AP59" i="6"/>
  <c r="AP60" i="6" s="1"/>
  <c r="I10" i="11"/>
  <c r="I36" i="28"/>
  <c r="M21" i="8"/>
  <c r="K15" i="28"/>
  <c r="M36" i="28"/>
  <c r="K36" i="28"/>
  <c r="L36" i="28"/>
  <c r="G148" i="6"/>
  <c r="AB72" i="6"/>
  <c r="AF54" i="8"/>
  <c r="AA60" i="8"/>
  <c r="AA53" i="8"/>
  <c r="AF193" i="6"/>
  <c r="AF194" i="6" s="1"/>
  <c r="AF160" i="6"/>
  <c r="AL21" i="8"/>
  <c r="AK21" i="8" s="1"/>
  <c r="AF44" i="8"/>
  <c r="AE33" i="8"/>
  <c r="AC20" i="8"/>
  <c r="AC55" i="8"/>
  <c r="F54" i="8"/>
  <c r="F50" i="8"/>
  <c r="E67" i="11"/>
  <c r="E69" i="11"/>
  <c r="F61" i="8"/>
  <c r="F56" i="8"/>
  <c r="F160" i="6"/>
  <c r="E75" i="11"/>
  <c r="F63" i="8"/>
  <c r="E71" i="11"/>
  <c r="AL206" i="6"/>
  <c r="H28" i="28"/>
  <c r="B69" i="11"/>
  <c r="D70" i="11"/>
  <c r="B75" i="11"/>
  <c r="G75" i="11"/>
  <c r="M160" i="6"/>
  <c r="E59" i="6"/>
  <c r="E60" i="6" s="1"/>
  <c r="C165" i="6"/>
  <c r="H165" i="6"/>
  <c r="K96" i="6"/>
  <c r="C56" i="8"/>
  <c r="H50" i="8"/>
  <c r="H54" i="8"/>
  <c r="H56" i="8"/>
  <c r="E60" i="8"/>
  <c r="AB38" i="6"/>
  <c r="AA107" i="6"/>
  <c r="AA108" i="6" s="1"/>
  <c r="Z159" i="6"/>
  <c r="G93" i="11"/>
  <c r="G94" i="11"/>
  <c r="AA94" i="6"/>
  <c r="AC95" i="6" s="1"/>
  <c r="AC134" i="6"/>
  <c r="AC142" i="6" s="1"/>
  <c r="F38" i="11"/>
  <c r="AB159" i="6"/>
  <c r="AE10" i="8"/>
  <c r="AI52" i="8"/>
  <c r="AH12" i="6"/>
  <c r="AH13" i="6" s="1"/>
  <c r="AH28" i="6" s="1"/>
  <c r="AI158" i="6"/>
  <c r="AJ111" i="6"/>
  <c r="AL159" i="6"/>
  <c r="AL166" i="6"/>
  <c r="AB29" i="8"/>
  <c r="AB63" i="8" s="1"/>
  <c r="AD17" i="8"/>
  <c r="AD249" i="6" s="1"/>
  <c r="AO61" i="8"/>
  <c r="AM154" i="6"/>
  <c r="AM155" i="6" s="1"/>
  <c r="AN151" i="6" s="1"/>
  <c r="BF39" i="25"/>
  <c r="BF40" i="25" s="1"/>
  <c r="BF43" i="25" s="1"/>
  <c r="AQ63" i="8"/>
  <c r="N24" i="11"/>
  <c r="L44" i="28" s="1"/>
  <c r="J85" i="13"/>
  <c r="K44" i="28"/>
  <c r="C8" i="8"/>
  <c r="H70" i="11"/>
  <c r="D67" i="11"/>
  <c r="B70" i="11"/>
  <c r="D71" i="11"/>
  <c r="G69" i="11"/>
  <c r="G71" i="11"/>
  <c r="H69" i="11"/>
  <c r="G67" i="11"/>
  <c r="C59" i="6"/>
  <c r="C60" i="6" s="1"/>
  <c r="E165" i="6"/>
  <c r="R232" i="6"/>
  <c r="O23" i="6"/>
  <c r="C50" i="8"/>
  <c r="C63" i="8"/>
  <c r="H53" i="8"/>
  <c r="M54" i="8"/>
  <c r="W55" i="8"/>
  <c r="E63" i="8"/>
  <c r="P9" i="8"/>
  <c r="J31" i="13"/>
  <c r="H67" i="11"/>
  <c r="O155" i="6"/>
  <c r="P151" i="6" s="1"/>
  <c r="P153" i="6" s="1"/>
  <c r="P154" i="6" s="1"/>
  <c r="P32" i="6" s="1"/>
  <c r="AA103" i="6"/>
  <c r="W249" i="6"/>
  <c r="AC108" i="6"/>
  <c r="AC249" i="6"/>
  <c r="AC169" i="6"/>
  <c r="AB213" i="6"/>
  <c r="AG18" i="6"/>
  <c r="AG21" i="6" s="1"/>
  <c r="G28" i="28"/>
  <c r="AG9" i="6"/>
  <c r="AG12" i="6" s="1"/>
  <c r="AQ38" i="6"/>
  <c r="AN52" i="8"/>
  <c r="AI40" i="6"/>
  <c r="AT39" i="25"/>
  <c r="H35" i="7"/>
  <c r="H49" i="7" s="1"/>
  <c r="N44" i="7"/>
  <c r="L102" i="28" s="1"/>
  <c r="L7" i="28"/>
  <c r="AQ61" i="8"/>
  <c r="AQ23" i="6"/>
  <c r="H83" i="31"/>
  <c r="AS39" i="25"/>
  <c r="O233" i="6"/>
  <c r="Z6" i="8"/>
  <c r="AJ129" i="6"/>
  <c r="AJ134" i="6" s="1"/>
  <c r="AJ140" i="6" s="1"/>
  <c r="B67" i="11"/>
  <c r="D68" i="11"/>
  <c r="B71" i="11"/>
  <c r="D72" i="11"/>
  <c r="C110" i="6"/>
  <c r="E160" i="6"/>
  <c r="I232" i="6"/>
  <c r="O22" i="6"/>
  <c r="H51" i="8"/>
  <c r="W52" i="8"/>
  <c r="E56" i="8"/>
  <c r="H60" i="8"/>
  <c r="H63" i="8"/>
  <c r="Q238" i="6"/>
  <c r="X129" i="6"/>
  <c r="X134" i="6" s="1"/>
  <c r="H110" i="6"/>
  <c r="O134" i="6"/>
  <c r="O140" i="6" s="1"/>
  <c r="O13" i="8" s="1"/>
  <c r="Q13" i="8" s="1"/>
  <c r="AA70" i="6"/>
  <c r="AA71" i="6" s="1"/>
  <c r="AL213" i="6"/>
  <c r="C54" i="8"/>
  <c r="D54" i="8"/>
  <c r="F38" i="28"/>
  <c r="AB35" i="6"/>
  <c r="AI31" i="6"/>
  <c r="AC6" i="8"/>
  <c r="AH39" i="6"/>
  <c r="AV36" i="25"/>
  <c r="AW36" i="25" s="1"/>
  <c r="AV34" i="25"/>
  <c r="AW34" i="25" s="1"/>
  <c r="AR10" i="6"/>
  <c r="AS10" i="6"/>
  <c r="E33" i="13"/>
  <c r="E32" i="13"/>
  <c r="D30" i="13"/>
  <c r="G90" i="11"/>
  <c r="F85" i="11"/>
  <c r="C60" i="11"/>
  <c r="C61" i="11" s="1"/>
  <c r="E60" i="11"/>
  <c r="AO40" i="6"/>
  <c r="AN134" i="6"/>
  <c r="AN140" i="6" s="1"/>
  <c r="AO88" i="6"/>
  <c r="AO89" i="6" s="1"/>
  <c r="AO90" i="6" s="1"/>
  <c r="N91" i="11"/>
  <c r="N17" i="7" s="1"/>
  <c r="D60" i="11"/>
  <c r="W95" i="6"/>
  <c r="AO146" i="6"/>
  <c r="Y95" i="6"/>
  <c r="G38" i="7"/>
  <c r="AJ18" i="6"/>
  <c r="AQ11" i="6"/>
  <c r="AQ12" i="6" s="1"/>
  <c r="AQ13" i="6" s="1"/>
  <c r="W237" i="6"/>
  <c r="AB237" i="6" s="1"/>
  <c r="AG237" i="6" s="1"/>
  <c r="AL237" i="6" s="1"/>
  <c r="AQ237" i="6" s="1"/>
  <c r="AT237" i="6" s="1"/>
  <c r="AY237" i="6" s="1"/>
  <c r="BD237" i="6" s="1"/>
  <c r="BI237" i="6" s="1"/>
  <c r="BN237" i="6" s="1"/>
  <c r="BR237" i="6" s="1"/>
  <c r="BS237" i="6" s="1"/>
  <c r="M159" i="6"/>
  <c r="C28" i="38"/>
  <c r="W123" i="28"/>
  <c r="AP36" i="6"/>
  <c r="AF94" i="6"/>
  <c r="AH95" i="6" s="1"/>
  <c r="AE95" i="6"/>
  <c r="K74" i="6"/>
  <c r="Y76" i="6"/>
  <c r="I163" i="6"/>
  <c r="Y9" i="6"/>
  <c r="M85" i="11"/>
  <c r="L53" i="28"/>
  <c r="L56" i="28" s="1"/>
  <c r="W29" i="8"/>
  <c r="H19" i="28" s="1"/>
  <c r="AC140" i="6"/>
  <c r="D65" i="13"/>
  <c r="D67" i="13" s="1"/>
  <c r="D69" i="13" s="1"/>
  <c r="C69" i="13"/>
  <c r="C76" i="13"/>
  <c r="Q63" i="28"/>
  <c r="P33" i="28"/>
  <c r="P64" i="28"/>
  <c r="Q64" i="28"/>
  <c r="M5" i="13"/>
  <c r="K5" i="13"/>
  <c r="I5" i="13"/>
  <c r="O5" i="13"/>
  <c r="O34" i="11"/>
  <c r="E232" i="6"/>
  <c r="Q163" i="6"/>
  <c r="AA32" i="6"/>
  <c r="AA31" i="6" s="1"/>
  <c r="AA56" i="8"/>
  <c r="AG34" i="6"/>
  <c r="AG32" i="6" s="1"/>
  <c r="AG159" i="6" s="1"/>
  <c r="AC163" i="6"/>
  <c r="AL154" i="6"/>
  <c r="AL155" i="6" s="1"/>
  <c r="AQ151" i="6" s="1"/>
  <c r="AQ153" i="6" s="1"/>
  <c r="AL43" i="6"/>
  <c r="AT7" i="6"/>
  <c r="AT85" i="6" s="1"/>
  <c r="AQ46" i="6"/>
  <c r="N5" i="13"/>
  <c r="J5" i="13"/>
  <c r="H5" i="13"/>
  <c r="J15" i="28"/>
  <c r="AC12" i="6"/>
  <c r="AC13" i="6" s="1"/>
  <c r="AC28" i="6" s="1"/>
  <c r="AD12" i="6"/>
  <c r="AD13" i="6" s="1"/>
  <c r="AD28" i="6" s="1"/>
  <c r="X99" i="6"/>
  <c r="Z169" i="6"/>
  <c r="AA163" i="6"/>
  <c r="AR40" i="25"/>
  <c r="AS40" i="25" s="1"/>
  <c r="F224" i="31"/>
  <c r="K8" i="11"/>
  <c r="AR34" i="6"/>
  <c r="AR32" i="6" s="1"/>
  <c r="AP163" i="6"/>
  <c r="AH38" i="28"/>
  <c r="W21" i="8"/>
  <c r="W22" i="8" s="1"/>
  <c r="E21" i="8"/>
  <c r="K158" i="6"/>
  <c r="K159" i="6" s="1"/>
  <c r="AG21" i="8"/>
  <c r="AG22" i="8" s="1"/>
  <c r="AG59" i="8" s="1"/>
  <c r="AK12" i="8"/>
  <c r="AK60" i="8" s="1"/>
  <c r="M94" i="11"/>
  <c r="H201" i="31"/>
  <c r="I201" i="31"/>
  <c r="K164" i="31"/>
  <c r="J171" i="31"/>
  <c r="K171" i="31"/>
  <c r="G172" i="31"/>
  <c r="D152" i="31"/>
  <c r="I152" i="31" s="1"/>
  <c r="D153" i="31" s="1"/>
  <c r="I83" i="31"/>
  <c r="D84" i="31" s="1"/>
  <c r="G47" i="31"/>
  <c r="H70" i="31"/>
  <c r="I22" i="31"/>
  <c r="D23" i="31" s="1"/>
  <c r="X164" i="31"/>
  <c r="BR34" i="6"/>
  <c r="F32" i="38" s="1"/>
  <c r="BN32" i="6"/>
  <c r="N76" i="11"/>
  <c r="N71" i="11"/>
  <c r="N69" i="11"/>
  <c r="N67" i="11"/>
  <c r="N93" i="11"/>
  <c r="N75" i="11"/>
  <c r="N72" i="11"/>
  <c r="N70" i="11"/>
  <c r="N68" i="11"/>
  <c r="H232" i="6"/>
  <c r="AK55" i="6"/>
  <c r="W12" i="6"/>
  <c r="W39" i="6" s="1"/>
  <c r="AP182" i="6"/>
  <c r="AP186" i="6" s="1"/>
  <c r="AW33" i="25"/>
  <c r="S32" i="7"/>
  <c r="O33" i="28"/>
  <c r="G36" i="28"/>
  <c r="J36" i="28"/>
  <c r="H36" i="28"/>
  <c r="E9" i="28"/>
  <c r="E11" i="28" s="1"/>
  <c r="E14" i="28" s="1"/>
  <c r="E16" i="28" s="1"/>
  <c r="E18" i="28" s="1"/>
  <c r="E20" i="28" s="1"/>
  <c r="AP31" i="6"/>
  <c r="AO11" i="8"/>
  <c r="D18" i="6"/>
  <c r="AO11" i="6"/>
  <c r="AO12" i="6" s="1"/>
  <c r="AO21" i="6" s="1"/>
  <c r="AB100" i="6"/>
  <c r="W100" i="6"/>
  <c r="BT238" i="6"/>
  <c r="O153" i="6"/>
  <c r="AA75" i="6"/>
  <c r="AA76" i="6" s="1"/>
  <c r="AB188" i="6"/>
  <c r="AD55" i="6"/>
  <c r="AQ85" i="6"/>
  <c r="BB11" i="6"/>
  <c r="BF17" i="6"/>
  <c r="D232" i="6"/>
  <c r="W232" i="6"/>
  <c r="BI131" i="6"/>
  <c r="BN131" i="6" s="1"/>
  <c r="BR131" i="6" s="1"/>
  <c r="BR133" i="6" s="1"/>
  <c r="BS131" i="6" s="1"/>
  <c r="BS133" i="6" s="1"/>
  <c r="BT131" i="6" s="1"/>
  <c r="BT133" i="6" s="1"/>
  <c r="BU131" i="6" s="1"/>
  <c r="BU133" i="6" s="1"/>
  <c r="BV131" i="6" s="1"/>
  <c r="BV133" i="6" s="1"/>
  <c r="BW131" i="6" s="1"/>
  <c r="BW133" i="6" s="1"/>
  <c r="BX131" i="6" s="1"/>
  <c r="BX133" i="6" s="1"/>
  <c r="BY131" i="6" s="1"/>
  <c r="BY133" i="6" s="1"/>
  <c r="BZ131" i="6" s="1"/>
  <c r="BZ133" i="6" s="1"/>
  <c r="CA131" i="6" s="1"/>
  <c r="CA133" i="6" s="1"/>
  <c r="CB131" i="6" s="1"/>
  <c r="CB133" i="6" s="1"/>
  <c r="BE131" i="6"/>
  <c r="BG131" i="6" s="1"/>
  <c r="BH131" i="6" s="1"/>
  <c r="BH133" i="6" s="1"/>
  <c r="P71" i="6"/>
  <c r="P119" i="6" s="1"/>
  <c r="Q70" i="6"/>
  <c r="Q71" i="6" s="1"/>
  <c r="Q119" i="6" s="1"/>
  <c r="AP7" i="8"/>
  <c r="AE194" i="6"/>
  <c r="AE197" i="6" s="1"/>
  <c r="Y72" i="6"/>
  <c r="X169" i="6"/>
  <c r="X57" i="8"/>
  <c r="AF63" i="8"/>
  <c r="X55" i="8"/>
  <c r="AB8" i="8"/>
  <c r="K124" i="6"/>
  <c r="L124" i="6" s="1"/>
  <c r="AF58" i="8"/>
  <c r="AP39" i="6"/>
  <c r="AO6" i="8"/>
  <c r="AK18" i="8"/>
  <c r="AK29" i="8"/>
  <c r="AH58" i="8"/>
  <c r="AH17" i="8"/>
  <c r="AH169" i="6" s="1"/>
  <c r="AI169" i="6" s="1"/>
  <c r="AI168" i="6" s="1"/>
  <c r="D129" i="6"/>
  <c r="D134" i="6" s="1"/>
  <c r="D70" i="6"/>
  <c r="D71" i="6" s="1"/>
  <c r="AP98" i="6"/>
  <c r="AM11" i="8"/>
  <c r="O186" i="6"/>
  <c r="Q246" i="6"/>
  <c r="Q121" i="6" s="1"/>
  <c r="AL128" i="6"/>
  <c r="AK128" i="6" s="1"/>
  <c r="AK126" i="6"/>
  <c r="AF12" i="6"/>
  <c r="AF13" i="6" s="1"/>
  <c r="AF28" i="6" s="1"/>
  <c r="AM55" i="6"/>
  <c r="AM7" i="8" s="1"/>
  <c r="AM8" i="8" s="1"/>
  <c r="AO75" i="6"/>
  <c r="AP75" i="6" s="1"/>
  <c r="AP76" i="6" s="1"/>
  <c r="BD17" i="6"/>
  <c r="BH17" i="6" s="1"/>
  <c r="AK194" i="6"/>
  <c r="H24" i="11"/>
  <c r="Q231" i="6"/>
  <c r="Q233" i="6" s="1"/>
  <c r="P233" i="6"/>
  <c r="O142" i="6"/>
  <c r="AF59" i="6"/>
  <c r="AF60" i="6" s="1"/>
  <c r="AF7" i="8"/>
  <c r="AE159" i="6"/>
  <c r="AE154" i="6"/>
  <c r="E70" i="31"/>
  <c r="I70" i="31" s="1"/>
  <c r="D71" i="31" s="1"/>
  <c r="C62" i="26"/>
  <c r="G9" i="6"/>
  <c r="H15" i="6"/>
  <c r="AF11" i="8"/>
  <c r="BA81" i="25"/>
  <c r="BC81" i="25" s="1"/>
  <c r="E73" i="13"/>
  <c r="E74" i="13" s="1"/>
  <c r="F73" i="13" s="1"/>
  <c r="F74" i="13" s="1"/>
  <c r="G73" i="13" s="1"/>
  <c r="G74" i="13" s="1"/>
  <c r="H73" i="13" s="1"/>
  <c r="H74" i="13" s="1"/>
  <c r="I73" i="13" s="1"/>
  <c r="I74" i="13" s="1"/>
  <c r="J73" i="13" s="1"/>
  <c r="J74" i="13" s="1"/>
  <c r="K73" i="13" s="1"/>
  <c r="K74" i="13" s="1"/>
  <c r="L73" i="13" s="1"/>
  <c r="L74" i="13" s="1"/>
  <c r="M73" i="13" s="1"/>
  <c r="AH76" i="6"/>
  <c r="AL151" i="6"/>
  <c r="AL153" i="6" s="1"/>
  <c r="AH151" i="6"/>
  <c r="AH153" i="6" s="1"/>
  <c r="AG156" i="6"/>
  <c r="W63" i="8"/>
  <c r="AI20" i="8"/>
  <c r="AI22" i="8" s="1"/>
  <c r="AI59" i="8" s="1"/>
  <c r="AI55" i="8"/>
  <c r="E10" i="31"/>
  <c r="E128" i="31"/>
  <c r="I128" i="31" s="1"/>
  <c r="D129" i="31" s="1"/>
  <c r="E130" i="31"/>
  <c r="E131" i="31"/>
  <c r="E129" i="31"/>
  <c r="AM151" i="6"/>
  <c r="AM153" i="6" s="1"/>
  <c r="D7" i="13"/>
  <c r="D10" i="13" s="1"/>
  <c r="C12" i="13"/>
  <c r="C20" i="13"/>
  <c r="K136" i="6"/>
  <c r="L136" i="6" s="1"/>
  <c r="L138" i="6"/>
  <c r="Y171" i="31"/>
  <c r="AF188" i="6"/>
  <c r="B38" i="11"/>
  <c r="B39" i="11" s="1"/>
  <c r="P155" i="6"/>
  <c r="Q151" i="6" s="1"/>
  <c r="Q153" i="6" s="1"/>
  <c r="S12" i="6"/>
  <c r="S13" i="6" s="1"/>
  <c r="S28" i="6" s="1"/>
  <c r="Z99" i="6"/>
  <c r="F18" i="13"/>
  <c r="G16" i="13" s="1"/>
  <c r="G18" i="13" s="1"/>
  <c r="H16" i="13" s="1"/>
  <c r="H18" i="13" s="1"/>
  <c r="I16" i="13" s="1"/>
  <c r="I18" i="13" s="1"/>
  <c r="J16" i="13" s="1"/>
  <c r="J18" i="13" s="1"/>
  <c r="K16" i="13" s="1"/>
  <c r="K18" i="13" s="1"/>
  <c r="L16" i="13" s="1"/>
  <c r="L18" i="13" s="1"/>
  <c r="M16" i="13" s="1"/>
  <c r="M18" i="13" s="1"/>
  <c r="N16" i="13" s="1"/>
  <c r="N18" i="13" s="1"/>
  <c r="O16" i="13" s="1"/>
  <c r="O18" i="13" s="1"/>
  <c r="P16" i="13" s="1"/>
  <c r="P18" i="13" s="1"/>
  <c r="Q16" i="13" s="1"/>
  <c r="AO107" i="6"/>
  <c r="I140" i="6"/>
  <c r="I13" i="8" s="1"/>
  <c r="I14" i="8" s="1"/>
  <c r="I52" i="8" s="1"/>
  <c r="C18" i="6"/>
  <c r="J232" i="6"/>
  <c r="J30" i="13"/>
  <c r="D87" i="13"/>
  <c r="K128" i="6"/>
  <c r="L128" i="6" s="1"/>
  <c r="S134" i="6"/>
  <c r="S140" i="6" s="1"/>
  <c r="K93" i="6"/>
  <c r="J9" i="28"/>
  <c r="J107" i="28" s="1"/>
  <c r="AK12" i="6"/>
  <c r="AK13" i="6" s="1"/>
  <c r="AK28" i="6" s="1"/>
  <c r="AC55" i="6"/>
  <c r="M29" i="8"/>
  <c r="R29" i="8"/>
  <c r="AY185" i="6"/>
  <c r="AY32" i="25"/>
  <c r="AY39" i="25" s="1"/>
  <c r="M142" i="6"/>
  <c r="M155" i="6" s="1"/>
  <c r="M156" i="6" s="1"/>
  <c r="M144" i="6"/>
  <c r="M140" i="6"/>
  <c r="W13" i="6"/>
  <c r="W28" i="6" s="1"/>
  <c r="H51" i="28"/>
  <c r="AD154" i="6"/>
  <c r="AI35" i="6"/>
  <c r="AN11" i="8"/>
  <c r="AA29" i="8"/>
  <c r="I19" i="28"/>
  <c r="AK11" i="8"/>
  <c r="AL157" i="6"/>
  <c r="M67" i="11"/>
  <c r="M75" i="11"/>
  <c r="AL250" i="6"/>
  <c r="AD188" i="6"/>
  <c r="I6" i="8"/>
  <c r="I7" i="8" s="1"/>
  <c r="D85" i="13"/>
  <c r="E87" i="13"/>
  <c r="D147" i="6"/>
  <c r="D153" i="6"/>
  <c r="Y147" i="6"/>
  <c r="R188" i="6"/>
  <c r="Z9" i="6"/>
  <c r="R103" i="6"/>
  <c r="W104" i="6" s="1"/>
  <c r="F73" i="28"/>
  <c r="F74" i="28" s="1"/>
  <c r="L16" i="8"/>
  <c r="L162" i="6" s="1"/>
  <c r="L163" i="6" s="1"/>
  <c r="K162" i="6"/>
  <c r="K163" i="6" s="1"/>
  <c r="H28" i="11"/>
  <c r="AA158" i="6"/>
  <c r="AA159" i="6" s="1"/>
  <c r="AA160" i="6"/>
  <c r="AD110" i="6"/>
  <c r="AD129" i="6"/>
  <c r="AD134" i="6" s="1"/>
  <c r="AD140" i="6" s="1"/>
  <c r="AE6" i="8"/>
  <c r="AE55" i="6"/>
  <c r="AE7" i="8" s="1"/>
  <c r="AV78" i="25"/>
  <c r="AX78" i="25" s="1"/>
  <c r="AV80" i="25"/>
  <c r="AX80" i="25" s="1"/>
  <c r="AQ80" i="25"/>
  <c r="AS80" i="25" s="1"/>
  <c r="AS83" i="25" s="1"/>
  <c r="AS84" i="25" s="1"/>
  <c r="AJ11" i="8"/>
  <c r="AJ155" i="6"/>
  <c r="AJ152" i="6" s="1"/>
  <c r="AJ26" i="6" s="1"/>
  <c r="M89" i="11"/>
  <c r="M90" i="11" s="1"/>
  <c r="K53" i="28"/>
  <c r="K56" i="28" s="1"/>
  <c r="AI130" i="6"/>
  <c r="Y8" i="8"/>
  <c r="P72" i="8"/>
  <c r="N72" i="8"/>
  <c r="B60" i="11"/>
  <c r="G86" i="28"/>
  <c r="J76" i="11"/>
  <c r="AE129" i="6"/>
  <c r="AE134" i="6" s="1"/>
  <c r="AI12" i="6"/>
  <c r="AI13" i="6" s="1"/>
  <c r="AI28" i="6" s="1"/>
  <c r="BA37" i="8"/>
  <c r="AZ16" i="6"/>
  <c r="AZ10" i="6" s="1"/>
  <c r="AV10" i="6"/>
  <c r="BA16" i="6"/>
  <c r="AW10" i="6"/>
  <c r="Q11" i="8"/>
  <c r="Q6" i="8" s="1"/>
  <c r="Q7" i="8" s="1"/>
  <c r="Q55" i="6" s="1"/>
  <c r="R34" i="6"/>
  <c r="X159" i="6"/>
  <c r="R33" i="6"/>
  <c r="R58" i="6" s="1"/>
  <c r="K11" i="8"/>
  <c r="Y99" i="6"/>
  <c r="AE12" i="6"/>
  <c r="AD159" i="6"/>
  <c r="C53" i="8"/>
  <c r="G18" i="8"/>
  <c r="F9" i="28"/>
  <c r="F11" i="28" s="1"/>
  <c r="F14" i="28" s="1"/>
  <c r="D9" i="28"/>
  <c r="D11" i="28" s="1"/>
  <c r="D14" i="28" s="1"/>
  <c r="D16" i="28" s="1"/>
  <c r="D18" i="28" s="1"/>
  <c r="D20" i="28" s="1"/>
  <c r="B9" i="28"/>
  <c r="B11" i="28" s="1"/>
  <c r="B14" i="28" s="1"/>
  <c r="B16" i="28" s="1"/>
  <c r="B18" i="28" s="1"/>
  <c r="B20" i="28" s="1"/>
  <c r="AG169" i="6"/>
  <c r="AG128" i="6"/>
  <c r="AG110" i="6" s="1"/>
  <c r="AS33" i="25"/>
  <c r="AO55" i="6"/>
  <c r="AO7" i="8" s="1"/>
  <c r="M48" i="11"/>
  <c r="K63" i="28" s="1"/>
  <c r="AU18" i="6"/>
  <c r="AU9" i="6"/>
  <c r="AU12" i="6" s="1"/>
  <c r="AU13" i="6" s="1"/>
  <c r="AZ15" i="6"/>
  <c r="AV9" i="6"/>
  <c r="BA15" i="6"/>
  <c r="BE15" i="6" s="1"/>
  <c r="AW9" i="6"/>
  <c r="AJ37" i="6"/>
  <c r="AJ11" i="6"/>
  <c r="AJ12" i="6" s="1"/>
  <c r="AJ13" i="6" s="1"/>
  <c r="AJ28" i="6" s="1"/>
  <c r="AH55" i="6"/>
  <c r="AT16" i="6"/>
  <c r="AJ20" i="8"/>
  <c r="AJ25" i="8" s="1"/>
  <c r="AJ30" i="8" s="1"/>
  <c r="AL99" i="6"/>
  <c r="AO134" i="6"/>
  <c r="AO140" i="6" s="1"/>
  <c r="AO13" i="8" s="1"/>
  <c r="L85" i="11"/>
  <c r="AQ129" i="6"/>
  <c r="AQ134" i="6" s="1"/>
  <c r="AQ140" i="6" s="1"/>
  <c r="AQ13" i="8" s="1"/>
  <c r="N95" i="11" s="1"/>
  <c r="AN130" i="6"/>
  <c r="AF51" i="8"/>
  <c r="AU37" i="6"/>
  <c r="AQ54" i="8"/>
  <c r="AQ50" i="8"/>
  <c r="AQ158" i="6"/>
  <c r="AB53" i="6"/>
  <c r="AC72" i="6"/>
  <c r="E147" i="6"/>
  <c r="AL63" i="8"/>
  <c r="AL53" i="8"/>
  <c r="J110" i="6"/>
  <c r="C156" i="6"/>
  <c r="M56" i="8"/>
  <c r="AA61" i="8"/>
  <c r="M63" i="8"/>
  <c r="M59" i="6"/>
  <c r="AA50" i="8"/>
  <c r="AA51" i="8" s="1"/>
  <c r="AB5" i="8"/>
  <c r="H93" i="11"/>
  <c r="H94" i="11"/>
  <c r="AM10" i="8"/>
  <c r="M69" i="11"/>
  <c r="W72" i="6"/>
  <c r="AN10" i="8"/>
  <c r="AO37" i="6"/>
  <c r="AO58" i="6"/>
  <c r="AO10" i="8" s="1"/>
  <c r="O70" i="28"/>
  <c r="P70" i="28"/>
  <c r="AF61" i="8"/>
  <c r="AF14" i="8"/>
  <c r="AF52" i="8" s="1"/>
  <c r="AX11" i="6"/>
  <c r="AT30" i="8"/>
  <c r="AT32" i="8"/>
  <c r="AS30" i="8"/>
  <c r="C9" i="28"/>
  <c r="C11" i="28" s="1"/>
  <c r="C14" i="28" s="1"/>
  <c r="C16" i="28" s="1"/>
  <c r="C18" i="28" s="1"/>
  <c r="C20" i="28" s="1"/>
  <c r="P97" i="6"/>
  <c r="AB129" i="6"/>
  <c r="AB134" i="6" s="1"/>
  <c r="AB144" i="6" s="1"/>
  <c r="W195" i="6"/>
  <c r="AA165" i="6"/>
  <c r="AD72" i="6"/>
  <c r="AQ147" i="6"/>
  <c r="O58" i="6"/>
  <c r="N10" i="8"/>
  <c r="L158" i="6"/>
  <c r="L159" i="6" s="1"/>
  <c r="AN250" i="6"/>
  <c r="AN165" i="6"/>
  <c r="AQ60" i="8"/>
  <c r="AQ53" i="8"/>
  <c r="AQ56" i="8"/>
  <c r="AM20" i="8"/>
  <c r="D62" i="6"/>
  <c r="AL61" i="8"/>
  <c r="AL60" i="8"/>
  <c r="AL56" i="8"/>
  <c r="AL50" i="8"/>
  <c r="K7" i="28"/>
  <c r="AJ193" i="6"/>
  <c r="AJ194" i="6" s="1"/>
  <c r="AL54" i="8"/>
  <c r="H68" i="11"/>
  <c r="H71" i="11"/>
  <c r="H75" i="11"/>
  <c r="M165" i="6"/>
  <c r="M110" i="6"/>
  <c r="O7" i="8"/>
  <c r="O55" i="6" s="1"/>
  <c r="J58" i="6"/>
  <c r="M50" i="8"/>
  <c r="P52" i="8"/>
  <c r="M53" i="8"/>
  <c r="AA54" i="8"/>
  <c r="M60" i="8"/>
  <c r="Q127" i="6"/>
  <c r="Z147" i="6"/>
  <c r="I159" i="6"/>
  <c r="AC194" i="6"/>
  <c r="AB59" i="6"/>
  <c r="AB60" i="6" s="1"/>
  <c r="AL165" i="6"/>
  <c r="AL160" i="6"/>
  <c r="M68" i="11"/>
  <c r="M72" i="11"/>
  <c r="M76" i="11"/>
  <c r="AH72" i="6"/>
  <c r="AO36" i="6"/>
  <c r="AO39" i="6"/>
  <c r="AP37" i="6"/>
  <c r="AP40" i="6"/>
  <c r="AP30" i="6"/>
  <c r="AP6" i="8"/>
  <c r="AE107" i="6"/>
  <c r="AD108" i="6"/>
  <c r="P20" i="8"/>
  <c r="P55" i="8"/>
  <c r="AA14" i="8"/>
  <c r="AL56" i="6"/>
  <c r="F147" i="6"/>
  <c r="AO32" i="6"/>
  <c r="AO35" i="6" s="1"/>
  <c r="AP32" i="6"/>
  <c r="AB56" i="6"/>
  <c r="AL53" i="6"/>
  <c r="J159" i="6"/>
  <c r="N6" i="8"/>
  <c r="N59" i="6"/>
  <c r="AB195" i="6"/>
  <c r="AO13" i="6"/>
  <c r="AO28" i="6" s="1"/>
  <c r="H152" i="31"/>
  <c r="I153" i="31" s="1"/>
  <c r="D154" i="31" s="1"/>
  <c r="Z7" i="8"/>
  <c r="AL208" i="6"/>
  <c r="AL209" i="6" s="1"/>
  <c r="J59" i="6"/>
  <c r="J60" i="6" s="1"/>
  <c r="F62" i="6"/>
  <c r="G62" i="6"/>
  <c r="E230" i="6"/>
  <c r="N232" i="6"/>
  <c r="M232" i="6"/>
  <c r="F38" i="6"/>
  <c r="F55" i="6"/>
  <c r="F154" i="6"/>
  <c r="E38" i="11"/>
  <c r="C32" i="13"/>
  <c r="C87" i="13"/>
  <c r="C85" i="13"/>
  <c r="C33" i="13"/>
  <c r="W54" i="6"/>
  <c r="W8" i="8"/>
  <c r="P107" i="6"/>
  <c r="O108" i="6"/>
  <c r="AA128" i="6"/>
  <c r="Z110" i="6"/>
  <c r="Z129" i="6"/>
  <c r="Z134" i="6" s="1"/>
  <c r="H54" i="6"/>
  <c r="M62" i="6" s="1"/>
  <c r="H55" i="6"/>
  <c r="Q24" i="6"/>
  <c r="Q22" i="6" s="1"/>
  <c r="P23" i="6"/>
  <c r="F38" i="7"/>
  <c r="F49" i="7"/>
  <c r="C10" i="26"/>
  <c r="B17" i="26"/>
  <c r="B12" i="26"/>
  <c r="S25" i="8"/>
  <c r="S62" i="8" s="1"/>
  <c r="S22" i="8"/>
  <c r="U25" i="8"/>
  <c r="U62" i="8" s="1"/>
  <c r="U22" i="8"/>
  <c r="Z72" i="6"/>
  <c r="Y71" i="6"/>
  <c r="D53" i="8"/>
  <c r="E54" i="8"/>
  <c r="G129" i="6"/>
  <c r="G134" i="6" s="1"/>
  <c r="G70" i="6"/>
  <c r="G71" i="6" s="1"/>
  <c r="J44" i="7"/>
  <c r="H9" i="28"/>
  <c r="H61" i="28"/>
  <c r="AF98" i="6"/>
  <c r="AE99" i="6"/>
  <c r="AF99" i="6" s="1"/>
  <c r="L76" i="11"/>
  <c r="M30" i="7"/>
  <c r="J51" i="28"/>
  <c r="AT15" i="6"/>
  <c r="AX15" i="6" s="1"/>
  <c r="AQ18" i="6"/>
  <c r="AQ19" i="6" s="1"/>
  <c r="AF30" i="6"/>
  <c r="AC32" i="6"/>
  <c r="AC9" i="8"/>
  <c r="AD36" i="6"/>
  <c r="AE36" i="6" s="1"/>
  <c r="AC10" i="8"/>
  <c r="D38" i="11"/>
  <c r="D39" i="11" s="1"/>
  <c r="D61" i="11" s="1"/>
  <c r="J246" i="6"/>
  <c r="Q186" i="6"/>
  <c r="Q57" i="6"/>
  <c r="Q9" i="8" s="1"/>
  <c r="J86" i="13"/>
  <c r="G147" i="6"/>
  <c r="W76" i="6"/>
  <c r="Z95" i="6"/>
  <c r="J163" i="6"/>
  <c r="H129" i="6"/>
  <c r="H134" i="6" s="1"/>
  <c r="G11" i="26"/>
  <c r="AB104" i="6"/>
  <c r="W129" i="6"/>
  <c r="W134" i="6" s="1"/>
  <c r="F55" i="28"/>
  <c r="AB164" i="6"/>
  <c r="E62" i="6"/>
  <c r="P238" i="6"/>
  <c r="O238" i="6"/>
  <c r="F87" i="13"/>
  <c r="F86" i="13"/>
  <c r="F85" i="13"/>
  <c r="F31" i="13"/>
  <c r="F33" i="13"/>
  <c r="I31" i="13"/>
  <c r="I30" i="13"/>
  <c r="K30" i="13"/>
  <c r="K31" i="13"/>
  <c r="K32" i="13"/>
  <c r="K86" i="13"/>
  <c r="K87" i="13"/>
  <c r="Y11" i="8"/>
  <c r="AA11" i="8" s="1"/>
  <c r="X55" i="6"/>
  <c r="X7" i="8" s="1"/>
  <c r="X6" i="8"/>
  <c r="K24" i="6"/>
  <c r="J22" i="6"/>
  <c r="F16" i="6"/>
  <c r="F18" i="6" s="1"/>
  <c r="E18" i="6"/>
  <c r="F9" i="6"/>
  <c r="U24" i="6"/>
  <c r="T9" i="6"/>
  <c r="T12" i="6" s="1"/>
  <c r="T13" i="6" s="1"/>
  <c r="T28" i="6" s="1"/>
  <c r="AA10" i="6"/>
  <c r="Z16" i="6"/>
  <c r="M196" i="6"/>
  <c r="M195" i="6"/>
  <c r="D53" i="26"/>
  <c r="C58" i="26"/>
  <c r="C61" i="26" s="1"/>
  <c r="R129" i="6"/>
  <c r="R134" i="6" s="1"/>
  <c r="Q126" i="6"/>
  <c r="O12" i="8"/>
  <c r="O60" i="6"/>
  <c r="T25" i="8"/>
  <c r="T62" i="8" s="1"/>
  <c r="T57" i="8"/>
  <c r="V25" i="8"/>
  <c r="V62" i="8" s="1"/>
  <c r="V57" i="8"/>
  <c r="AC21" i="6"/>
  <c r="AE147" i="6"/>
  <c r="Y17" i="8"/>
  <c r="Y52" i="8"/>
  <c r="Z25" i="8"/>
  <c r="Z22" i="8"/>
  <c r="Z59" i="8" s="1"/>
  <c r="G38" i="11"/>
  <c r="C140" i="6"/>
  <c r="C13" i="8" s="1"/>
  <c r="C144" i="6"/>
  <c r="E129" i="6"/>
  <c r="E134" i="6" s="1"/>
  <c r="E70" i="6"/>
  <c r="E71" i="6" s="1"/>
  <c r="F129" i="6"/>
  <c r="F134" i="6" s="1"/>
  <c r="F70" i="6"/>
  <c r="F71" i="6" s="1"/>
  <c r="F60" i="8"/>
  <c r="F53" i="8"/>
  <c r="F110" i="6"/>
  <c r="F165" i="6"/>
  <c r="F59" i="6"/>
  <c r="E68" i="11"/>
  <c r="E70" i="11"/>
  <c r="E72" i="11"/>
  <c r="F8" i="8"/>
  <c r="AD27" i="8"/>
  <c r="AD194" i="6"/>
  <c r="Z10" i="8"/>
  <c r="AA10" i="8" s="1"/>
  <c r="Y35" i="6"/>
  <c r="H33" i="28"/>
  <c r="J10" i="11"/>
  <c r="AL244" i="6"/>
  <c r="AG246" i="6"/>
  <c r="X171" i="31"/>
  <c r="H17" i="8"/>
  <c r="H52" i="8"/>
  <c r="AB20" i="8"/>
  <c r="AB249" i="6"/>
  <c r="W25" i="8"/>
  <c r="W197" i="6" s="1"/>
  <c r="C42" i="12"/>
  <c r="AR125" i="6"/>
  <c r="AK169" i="6"/>
  <c r="AM55" i="8"/>
  <c r="AR58" i="6"/>
  <c r="AP10" i="8"/>
  <c r="AN154" i="6"/>
  <c r="AN155" i="6" s="1"/>
  <c r="AM38" i="6"/>
  <c r="AN164" i="6"/>
  <c r="AN38" i="6"/>
  <c r="K131" i="6"/>
  <c r="L131" i="6" s="1"/>
  <c r="L133" i="6"/>
  <c r="R20" i="8"/>
  <c r="R55" i="8"/>
  <c r="K14" i="11"/>
  <c r="H35" i="28"/>
  <c r="AT186" i="6"/>
  <c r="H85" i="11"/>
  <c r="H91" i="11" s="1"/>
  <c r="G85" i="11"/>
  <c r="G91" i="11" s="1"/>
  <c r="N186" i="6"/>
  <c r="M237" i="6"/>
  <c r="R238" i="6" s="1"/>
  <c r="L9" i="8"/>
  <c r="Y57" i="6"/>
  <c r="Z76" i="6"/>
  <c r="R100" i="6"/>
  <c r="AB95" i="6"/>
  <c r="AD147" i="6"/>
  <c r="G73" i="28"/>
  <c r="AM12" i="6"/>
  <c r="AM13" i="6" s="1"/>
  <c r="AM28" i="6" s="1"/>
  <c r="L44" i="7"/>
  <c r="G50" i="28"/>
  <c r="J31" i="11"/>
  <c r="AC22" i="8"/>
  <c r="AC59" i="8" s="1"/>
  <c r="AD21" i="8"/>
  <c r="AG59" i="6"/>
  <c r="AG56" i="6"/>
  <c r="I9" i="28"/>
  <c r="AG185" i="6"/>
  <c r="M93" i="11"/>
  <c r="L93" i="11"/>
  <c r="J52" i="28"/>
  <c r="AL9" i="6"/>
  <c r="AL18" i="6"/>
  <c r="F45" i="28"/>
  <c r="H73" i="28"/>
  <c r="AN59" i="6"/>
  <c r="AN60" i="6" s="1"/>
  <c r="AN7" i="8"/>
  <c r="E24" i="31"/>
  <c r="AN20" i="8"/>
  <c r="AN55" i="8"/>
  <c r="J134" i="6"/>
  <c r="K129" i="6"/>
  <c r="Q15" i="11"/>
  <c r="N36" i="28"/>
  <c r="AP9" i="8"/>
  <c r="AQ185" i="6"/>
  <c r="AQ154" i="6"/>
  <c r="AQ155" i="6" s="1"/>
  <c r="AT151" i="6" s="1"/>
  <c r="R61" i="28"/>
  <c r="Q61" i="28"/>
  <c r="O32" i="13"/>
  <c r="O31" i="13"/>
  <c r="O30" i="13"/>
  <c r="AQ107" i="6"/>
  <c r="AQ70" i="6"/>
  <c r="AQ71" i="6" s="1"/>
  <c r="AQ25" i="6"/>
  <c r="L32" i="13"/>
  <c r="L31" i="13"/>
  <c r="L30" i="13"/>
  <c r="M32" i="13"/>
  <c r="M31" i="13"/>
  <c r="M30" i="13"/>
  <c r="N32" i="13"/>
  <c r="N31" i="13"/>
  <c r="N30" i="13"/>
  <c r="H230" i="6"/>
  <c r="AM70" i="6"/>
  <c r="AM25" i="6"/>
  <c r="K38" i="13"/>
  <c r="K42" i="13" s="1"/>
  <c r="K46" i="13" s="1"/>
  <c r="BD182" i="6"/>
  <c r="BD181" i="6"/>
  <c r="BD180" i="6"/>
  <c r="AQ93" i="6"/>
  <c r="AR185" i="6"/>
  <c r="AQ75" i="6"/>
  <c r="AQ103" i="6"/>
  <c r="AY182" i="6"/>
  <c r="AY181" i="6"/>
  <c r="AY180" i="6"/>
  <c r="AY179" i="6"/>
  <c r="M71" i="11"/>
  <c r="R71" i="11" s="1"/>
  <c r="S71" i="11" s="1"/>
  <c r="T71" i="11" s="1"/>
  <c r="U71" i="11" s="1"/>
  <c r="V71" i="11" s="1"/>
  <c r="W71" i="11" s="1"/>
  <c r="X71" i="11" s="1"/>
  <c r="Y71" i="11" s="1"/>
  <c r="Z71" i="11" s="1"/>
  <c r="AA71" i="11" s="1"/>
  <c r="AB71" i="11" s="1"/>
  <c r="AC71" i="11" s="1"/>
  <c r="AD71" i="11" s="1"/>
  <c r="AL173" i="6"/>
  <c r="AL188" i="6" s="1"/>
  <c r="AQ173" i="6"/>
  <c r="AQ165" i="6"/>
  <c r="AG62" i="6"/>
  <c r="AL62" i="6"/>
  <c r="AS186" i="6"/>
  <c r="AV33" i="25"/>
  <c r="AQ21" i="8"/>
  <c r="AQ206" i="6"/>
  <c r="AR180" i="6"/>
  <c r="BC39" i="25"/>
  <c r="BC33" i="25"/>
  <c r="AS34" i="6"/>
  <c r="AS55" i="6"/>
  <c r="AS58" i="6"/>
  <c r="AS125" i="6"/>
  <c r="AR36" i="6"/>
  <c r="AR55" i="6"/>
  <c r="K85" i="11"/>
  <c r="K91" i="11" s="1"/>
  <c r="K17" i="7" s="1"/>
  <c r="J85" i="11"/>
  <c r="J91" i="11" s="1"/>
  <c r="J17" i="7" s="1"/>
  <c r="I85" i="11"/>
  <c r="I91" i="11" s="1"/>
  <c r="I17" i="7" s="1"/>
  <c r="L26" i="7"/>
  <c r="L27" i="7" s="1"/>
  <c r="J89" i="28" s="1"/>
  <c r="K26" i="7"/>
  <c r="K27" i="7" s="1"/>
  <c r="I89" i="28" s="1"/>
  <c r="S33" i="7"/>
  <c r="BP44" i="8"/>
  <c r="K3" i="39" s="1"/>
  <c r="L3" i="39" s="1"/>
  <c r="M3" i="39" s="1"/>
  <c r="AG73" i="8"/>
  <c r="L7" i="11" s="1"/>
  <c r="K35" i="7"/>
  <c r="I38" i="7"/>
  <c r="M38" i="7"/>
  <c r="AM107" i="6"/>
  <c r="R44" i="8"/>
  <c r="AM21" i="8"/>
  <c r="AM58" i="8" s="1"/>
  <c r="M26" i="7"/>
  <c r="AL12" i="6" l="1"/>
  <c r="AL13" i="6" s="1"/>
  <c r="AL40" i="6" s="1"/>
  <c r="G28" i="13"/>
  <c r="G31" i="13" s="1"/>
  <c r="AA12" i="6"/>
  <c r="AA13" i="6" s="1"/>
  <c r="AA28" i="6" s="1"/>
  <c r="R36" i="6"/>
  <c r="F91" i="11"/>
  <c r="AB13" i="6"/>
  <c r="AB28" i="6" s="1"/>
  <c r="K48" i="13"/>
  <c r="K50" i="13" s="1"/>
  <c r="K59" i="13" s="1"/>
  <c r="K61" i="13" s="1"/>
  <c r="AI8" i="8"/>
  <c r="AM110" i="6"/>
  <c r="AP128" i="6"/>
  <c r="AM142" i="6"/>
  <c r="X140" i="6"/>
  <c r="X142" i="6"/>
  <c r="AJ55" i="6"/>
  <c r="AJ7" i="8" s="1"/>
  <c r="AJ6" i="8"/>
  <c r="AK151" i="6"/>
  <c r="AK152" i="6" s="1"/>
  <c r="AK26" i="6" s="1"/>
  <c r="AH20" i="8"/>
  <c r="AH25" i="8" s="1"/>
  <c r="AH142" i="6"/>
  <c r="AM140" i="6"/>
  <c r="M91" i="11"/>
  <c r="M17" i="7" s="1"/>
  <c r="I5" i="8"/>
  <c r="AM130" i="6"/>
  <c r="AN18" i="6"/>
  <c r="BC11" i="6"/>
  <c r="AP17" i="6"/>
  <c r="AP11" i="6" s="1"/>
  <c r="AP12" i="6" s="1"/>
  <c r="AP13" i="6" s="1"/>
  <c r="AP28" i="6" s="1"/>
  <c r="AY11" i="6"/>
  <c r="AB39" i="6"/>
  <c r="O26" i="7"/>
  <c r="M64" i="28"/>
  <c r="AO142" i="6"/>
  <c r="B76" i="26"/>
  <c r="AH55" i="8"/>
  <c r="AN11" i="6"/>
  <c r="AN12" i="6" s="1"/>
  <c r="AN13" i="6" s="1"/>
  <c r="AN28" i="6" s="1"/>
  <c r="L57" i="28"/>
  <c r="J8" i="8"/>
  <c r="AA147" i="6"/>
  <c r="AO147" i="6"/>
  <c r="BF41" i="25"/>
  <c r="BF42" i="25" s="1"/>
  <c r="C49" i="12" s="1"/>
  <c r="AA95" i="6"/>
  <c r="AH140" i="6"/>
  <c r="AH155" i="6"/>
  <c r="AO99" i="6"/>
  <c r="X192" i="6"/>
  <c r="X62" i="8"/>
  <c r="Y140" i="6"/>
  <c r="Y142" i="6"/>
  <c r="AV39" i="25"/>
  <c r="AV40" i="25" s="1"/>
  <c r="AV41" i="25" s="1"/>
  <c r="AV42" i="25" s="1"/>
  <c r="K57" i="28"/>
  <c r="E65" i="13"/>
  <c r="E67" i="13" s="1"/>
  <c r="E69" i="13" s="1"/>
  <c r="X48" i="8"/>
  <c r="L91" i="11"/>
  <c r="L17" i="7" s="1"/>
  <c r="G99" i="28"/>
  <c r="G103" i="28" s="1"/>
  <c r="D76" i="13"/>
  <c r="X30" i="8"/>
  <c r="X64" i="8" s="1"/>
  <c r="G31" i="28"/>
  <c r="G33" i="13"/>
  <c r="G30" i="13"/>
  <c r="AD169" i="6"/>
  <c r="G32" i="13"/>
  <c r="AF8" i="8"/>
  <c r="AO144" i="6"/>
  <c r="AD21" i="6"/>
  <c r="AM59" i="6"/>
  <c r="AM60" i="6" s="1"/>
  <c r="AN61" i="6" s="1"/>
  <c r="AL129" i="6"/>
  <c r="AL134" i="6" s="1"/>
  <c r="AL144" i="6" s="1"/>
  <c r="AL37" i="6"/>
  <c r="N140" i="6"/>
  <c r="N144" i="6"/>
  <c r="AC144" i="6"/>
  <c r="X144" i="6"/>
  <c r="AM5" i="8"/>
  <c r="AH21" i="6"/>
  <c r="L5" i="13"/>
  <c r="AA72" i="6"/>
  <c r="AO154" i="6"/>
  <c r="AO155" i="6" s="1"/>
  <c r="AP151" i="6" s="1"/>
  <c r="AK50" i="8"/>
  <c r="AK157" i="6"/>
  <c r="AN158" i="6" s="1"/>
  <c r="AN159" i="6" s="1"/>
  <c r="AK54" i="8"/>
  <c r="AK63" i="8"/>
  <c r="BH11" i="6"/>
  <c r="BL17" i="6"/>
  <c r="BL11" i="6" s="1"/>
  <c r="BG11" i="6"/>
  <c r="BK17" i="6"/>
  <c r="BK11" i="6" s="1"/>
  <c r="AB214" i="6"/>
  <c r="AB216" i="6" s="1"/>
  <c r="AB217" i="6" s="1"/>
  <c r="AB218" i="6" s="1"/>
  <c r="N38" i="11"/>
  <c r="AC76" i="6"/>
  <c r="AD20" i="8"/>
  <c r="AD22" i="8" s="1"/>
  <c r="AD59" i="8" s="1"/>
  <c r="AD55" i="8"/>
  <c r="AB140" i="6"/>
  <c r="X59" i="6"/>
  <c r="X60" i="6" s="1"/>
  <c r="F70" i="31"/>
  <c r="O144" i="6"/>
  <c r="BF11" i="6"/>
  <c r="BJ17" i="6"/>
  <c r="BJ11" i="6" s="1"/>
  <c r="AC25" i="8"/>
  <c r="AC197" i="6" s="1"/>
  <c r="AC57" i="8"/>
  <c r="H38" i="7"/>
  <c r="AW39" i="25"/>
  <c r="AW41" i="25" s="1"/>
  <c r="E29" i="38"/>
  <c r="BN35" i="6"/>
  <c r="AL130" i="6"/>
  <c r="AL110" i="6"/>
  <c r="N151" i="6"/>
  <c r="N153" i="6" s="1"/>
  <c r="I17" i="8"/>
  <c r="I20" i="8" s="1"/>
  <c r="W21" i="6"/>
  <c r="AK58" i="8"/>
  <c r="AQ29" i="6"/>
  <c r="AQ28" i="6"/>
  <c r="AQ40" i="6"/>
  <c r="K33" i="13"/>
  <c r="W238" i="6"/>
  <c r="AJ22" i="8"/>
  <c r="AJ59" i="8" s="1"/>
  <c r="AK53" i="8"/>
  <c r="AO8" i="8"/>
  <c r="J11" i="28"/>
  <c r="J108" i="28" s="1"/>
  <c r="AR186" i="6"/>
  <c r="R151" i="6"/>
  <c r="R153" i="6" s="1"/>
  <c r="AJ57" i="8"/>
  <c r="R45" i="6"/>
  <c r="R46" i="6" s="1"/>
  <c r="R163" i="6"/>
  <c r="Q43" i="28"/>
  <c r="T23" i="11"/>
  <c r="R43" i="28" s="1"/>
  <c r="F241" i="31"/>
  <c r="F242" i="31" s="1"/>
  <c r="F237" i="31"/>
  <c r="F230" i="31"/>
  <c r="AT46" i="6"/>
  <c r="P5" i="13"/>
  <c r="AG43" i="6"/>
  <c r="AG45" i="6"/>
  <c r="AG46" i="6" s="1"/>
  <c r="AG163" i="6"/>
  <c r="AL164" i="6" s="1"/>
  <c r="T12" i="11"/>
  <c r="Q33" i="28"/>
  <c r="U48" i="11"/>
  <c r="R63" i="28"/>
  <c r="U49" i="11"/>
  <c r="S64" i="28" s="1"/>
  <c r="R64" i="28"/>
  <c r="K37" i="7"/>
  <c r="I29" i="28"/>
  <c r="L8" i="11"/>
  <c r="P34" i="11"/>
  <c r="O89" i="11"/>
  <c r="M53" i="28"/>
  <c r="AP8" i="8"/>
  <c r="AL60" i="6"/>
  <c r="D202" i="31"/>
  <c r="I129" i="31"/>
  <c r="H129" i="31"/>
  <c r="I71" i="31"/>
  <c r="D72" i="31" s="1"/>
  <c r="H71" i="31"/>
  <c r="I84" i="31"/>
  <c r="D85" i="31" s="1"/>
  <c r="H84" i="31"/>
  <c r="E47" i="31"/>
  <c r="I23" i="31"/>
  <c r="H23" i="31"/>
  <c r="I10" i="31"/>
  <c r="AK7" i="8"/>
  <c r="AK59" i="6"/>
  <c r="AK60" i="6" s="1"/>
  <c r="BS34" i="6"/>
  <c r="G32" i="38" s="1"/>
  <c r="BR32" i="6"/>
  <c r="F29" i="38" s="1"/>
  <c r="AQ201" i="6"/>
  <c r="AQ203" i="6" s="1"/>
  <c r="AQ204" i="6" s="1"/>
  <c r="AQ214" i="6" s="1"/>
  <c r="AQ216" i="6" s="1"/>
  <c r="AQ217" i="6" s="1"/>
  <c r="AQ218" i="6" s="1"/>
  <c r="BN26" i="6"/>
  <c r="BN107" i="6" s="1"/>
  <c r="T32" i="7"/>
  <c r="BA10" i="6"/>
  <c r="BE16" i="6"/>
  <c r="BE10" i="6" s="1"/>
  <c r="AD7" i="8"/>
  <c r="AD59" i="6"/>
  <c r="AD60" i="6" s="1"/>
  <c r="BT237" i="6"/>
  <c r="BU238" i="6"/>
  <c r="AS17" i="6"/>
  <c r="AE8" i="8"/>
  <c r="BE9" i="6"/>
  <c r="AO38" i="6"/>
  <c r="BR125" i="6"/>
  <c r="BS125" i="6" s="1"/>
  <c r="BT125" i="6" s="1"/>
  <c r="BU125" i="6" s="1"/>
  <c r="BV125" i="6" s="1"/>
  <c r="BW125" i="6" s="1"/>
  <c r="BX125" i="6" s="1"/>
  <c r="BY125" i="6" s="1"/>
  <c r="BZ125" i="6" s="1"/>
  <c r="CA125" i="6" s="1"/>
  <c r="CB125" i="6" s="1"/>
  <c r="AF17" i="8"/>
  <c r="AF20" i="8" s="1"/>
  <c r="AF57" i="8" s="1"/>
  <c r="AF5" i="8"/>
  <c r="I51" i="8"/>
  <c r="AE5" i="8"/>
  <c r="AJ70" i="6"/>
  <c r="AJ71" i="6" s="1"/>
  <c r="AJ107" i="6"/>
  <c r="AJ103" i="6"/>
  <c r="AL35" i="6"/>
  <c r="AG213" i="6"/>
  <c r="AL38" i="6"/>
  <c r="AG35" i="6"/>
  <c r="AG154" i="6"/>
  <c r="AG38" i="6"/>
  <c r="D144" i="6"/>
  <c r="D140" i="6"/>
  <c r="D13" i="8" s="1"/>
  <c r="D142" i="6"/>
  <c r="D155" i="6" s="1"/>
  <c r="AG31" i="6"/>
  <c r="AE59" i="6"/>
  <c r="AE60" i="6" s="1"/>
  <c r="BI17" i="6"/>
  <c r="BM17" i="6" s="1"/>
  <c r="BD11" i="6"/>
  <c r="O51" i="8"/>
  <c r="AJ62" i="8"/>
  <c r="AO5" i="8"/>
  <c r="AU151" i="6"/>
  <c r="AU153" i="6" s="1"/>
  <c r="AU155" i="6" s="1"/>
  <c r="AU156" i="6" s="1"/>
  <c r="AU36" i="6"/>
  <c r="R63" i="8"/>
  <c r="Q29" i="8"/>
  <c r="AP107" i="6"/>
  <c r="AO108" i="6"/>
  <c r="AN34" i="25"/>
  <c r="AM34" i="25"/>
  <c r="AC7" i="8"/>
  <c r="AC8" i="8" s="1"/>
  <c r="AC59" i="6"/>
  <c r="AC60" i="6" s="1"/>
  <c r="AI57" i="8"/>
  <c r="AI25" i="8"/>
  <c r="M15" i="6"/>
  <c r="H9" i="6"/>
  <c r="I15" i="6"/>
  <c r="AP38" i="6"/>
  <c r="AM61" i="25"/>
  <c r="AM62" i="25" s="1"/>
  <c r="AN40" i="25"/>
  <c r="G56" i="8"/>
  <c r="BB15" i="6"/>
  <c r="BF15" i="6" s="1"/>
  <c r="BJ15" i="6" s="1"/>
  <c r="AX9" i="6"/>
  <c r="AQ142" i="6"/>
  <c r="AQ144" i="6"/>
  <c r="BA9" i="6"/>
  <c r="K6" i="8"/>
  <c r="K12" i="8"/>
  <c r="AY16" i="6"/>
  <c r="AX16" i="6"/>
  <c r="AT10" i="6"/>
  <c r="AH7" i="8"/>
  <c r="AH59" i="6"/>
  <c r="AH60" i="6" s="1"/>
  <c r="AI61" i="6" s="1"/>
  <c r="AZ9" i="6"/>
  <c r="AE21" i="6"/>
  <c r="AE13" i="6"/>
  <c r="AE28" i="6" s="1"/>
  <c r="W36" i="6"/>
  <c r="R55" i="6"/>
  <c r="R54" i="6"/>
  <c r="W62" i="6" s="1"/>
  <c r="R37" i="6"/>
  <c r="W37" i="6"/>
  <c r="R32" i="6"/>
  <c r="AD142" i="6"/>
  <c r="AD144" i="6"/>
  <c r="AL142" i="6"/>
  <c r="H37" i="11"/>
  <c r="AA63" i="8"/>
  <c r="AX18" i="6"/>
  <c r="AR59" i="6"/>
  <c r="AR63" i="6" s="1"/>
  <c r="M33" i="13"/>
  <c r="AB142" i="6"/>
  <c r="AB155" i="6" s="1"/>
  <c r="AB156" i="6" s="1"/>
  <c r="Q23" i="6"/>
  <c r="L11" i="8"/>
  <c r="BB37" i="8"/>
  <c r="AE140" i="6"/>
  <c r="AE144" i="6"/>
  <c r="AE142" i="6"/>
  <c r="AE143" i="6" s="1"/>
  <c r="AE188" i="6"/>
  <c r="BA79" i="25"/>
  <c r="BC79" i="25" s="1"/>
  <c r="BC83" i="25" s="1"/>
  <c r="BC84" i="25" s="1"/>
  <c r="AX83" i="25"/>
  <c r="AX84" i="25" s="1"/>
  <c r="AO59" i="6"/>
  <c r="AO60" i="6" s="1"/>
  <c r="AP61" i="6" s="1"/>
  <c r="AJ48" i="8"/>
  <c r="AJ31" i="8"/>
  <c r="AJ35" i="8" s="1"/>
  <c r="AK160" i="6"/>
  <c r="AK165" i="6"/>
  <c r="AK250" i="6"/>
  <c r="AK61" i="8"/>
  <c r="M64" i="6"/>
  <c r="M60" i="6"/>
  <c r="AK130" i="6"/>
  <c r="AM111" i="6" s="1"/>
  <c r="AK56" i="8"/>
  <c r="Q70" i="28"/>
  <c r="AP12" i="8"/>
  <c r="AP54" i="8" s="1"/>
  <c r="K58" i="6"/>
  <c r="K10" i="8" s="1"/>
  <c r="J10" i="8"/>
  <c r="AJ64" i="8"/>
  <c r="AJ33" i="8"/>
  <c r="AJ34" i="8"/>
  <c r="I8" i="8"/>
  <c r="I55" i="6"/>
  <c r="L7" i="8"/>
  <c r="AM25" i="8"/>
  <c r="AM57" i="8"/>
  <c r="AQ208" i="6"/>
  <c r="AQ209" i="6" s="1"/>
  <c r="P58" i="6"/>
  <c r="O10" i="8"/>
  <c r="O5" i="8" s="1"/>
  <c r="AR31" i="6"/>
  <c r="AB64" i="6"/>
  <c r="AP154" i="6"/>
  <c r="AP155" i="6" s="1"/>
  <c r="AP35" i="6"/>
  <c r="AA17" i="8"/>
  <c r="P25" i="8"/>
  <c r="P57" i="8"/>
  <c r="P22" i="8"/>
  <c r="AE108" i="6"/>
  <c r="AF107" i="6"/>
  <c r="AQ14" i="8"/>
  <c r="AQ52" i="8" s="1"/>
  <c r="AB210" i="6"/>
  <c r="AP29" i="6"/>
  <c r="N7" i="8"/>
  <c r="N55" i="6" s="1"/>
  <c r="N12" i="8"/>
  <c r="O63" i="6"/>
  <c r="N60" i="6"/>
  <c r="N64" i="6"/>
  <c r="N63" i="6"/>
  <c r="H153" i="31"/>
  <c r="E7" i="13"/>
  <c r="E10" i="13" s="1"/>
  <c r="F7" i="13" s="1"/>
  <c r="F10" i="13" s="1"/>
  <c r="D12" i="13"/>
  <c r="D20" i="13"/>
  <c r="AQ186" i="6"/>
  <c r="AQ188" i="6" s="1"/>
  <c r="AM188" i="6" s="1"/>
  <c r="AO185" i="6"/>
  <c r="AO186" i="6" s="1"/>
  <c r="E76" i="13"/>
  <c r="O36" i="28"/>
  <c r="R15" i="11"/>
  <c r="J140" i="6"/>
  <c r="J13" i="8" s="1"/>
  <c r="J142" i="6"/>
  <c r="J167" i="6" s="1"/>
  <c r="J155" i="6" s="1"/>
  <c r="K151" i="6" s="1"/>
  <c r="J144" i="6"/>
  <c r="AN57" i="8"/>
  <c r="AN25" i="8"/>
  <c r="AN5" i="8"/>
  <c r="AN8" i="8"/>
  <c r="F16" i="28"/>
  <c r="F18" i="28"/>
  <c r="AL19" i="6"/>
  <c r="AL21" i="6"/>
  <c r="AG60" i="6"/>
  <c r="AG64" i="6"/>
  <c r="AG63" i="6"/>
  <c r="AL63" i="6"/>
  <c r="Y9" i="8"/>
  <c r="Y5" i="8" s="1"/>
  <c r="Z57" i="6"/>
  <c r="Y59" i="6"/>
  <c r="H20" i="8"/>
  <c r="H55" i="8"/>
  <c r="AQ244" i="6"/>
  <c r="AL246" i="6"/>
  <c r="Z48" i="8"/>
  <c r="Z62" i="8"/>
  <c r="Z30" i="8"/>
  <c r="Z192" i="6"/>
  <c r="Y20" i="8"/>
  <c r="Y55" i="8"/>
  <c r="Y169" i="6"/>
  <c r="O60" i="8"/>
  <c r="O56" i="8"/>
  <c r="O53" i="8"/>
  <c r="O165" i="6"/>
  <c r="O14" i="8"/>
  <c r="O63" i="8"/>
  <c r="O61" i="8"/>
  <c r="O110" i="6"/>
  <c r="O54" i="8"/>
  <c r="O50" i="8"/>
  <c r="O160" i="6"/>
  <c r="P160" i="6" s="1"/>
  <c r="Q160" i="6" s="1"/>
  <c r="R140" i="6"/>
  <c r="R144" i="6"/>
  <c r="R142" i="6"/>
  <c r="R155" i="6" s="1"/>
  <c r="E53" i="26"/>
  <c r="D58" i="26"/>
  <c r="D61" i="26" s="1"/>
  <c r="U10" i="6"/>
  <c r="V24" i="6"/>
  <c r="U9" i="6"/>
  <c r="F10" i="6"/>
  <c r="F12" i="6" s="1"/>
  <c r="G16" i="6"/>
  <c r="W142" i="6"/>
  <c r="W155" i="6" s="1"/>
  <c r="W144" i="6"/>
  <c r="W140" i="6"/>
  <c r="AT9" i="6"/>
  <c r="AY15" i="6"/>
  <c r="BC15" i="6" s="1"/>
  <c r="BG15" i="6" s="1"/>
  <c r="BK15" i="6" s="1"/>
  <c r="AT18" i="6"/>
  <c r="AT19" i="6" s="1"/>
  <c r="K56" i="11"/>
  <c r="H11" i="28"/>
  <c r="H102" i="28"/>
  <c r="Q155" i="6"/>
  <c r="Q154" i="6" s="1"/>
  <c r="H62" i="6"/>
  <c r="H53" i="6"/>
  <c r="I62" i="6"/>
  <c r="W56" i="6"/>
  <c r="W53" i="6"/>
  <c r="AB62" i="6"/>
  <c r="W59" i="6"/>
  <c r="Z8" i="8"/>
  <c r="AA7" i="8"/>
  <c r="O33" i="13"/>
  <c r="H31" i="28"/>
  <c r="X8" i="8"/>
  <c r="AF97" i="6"/>
  <c r="AF120" i="6" s="1"/>
  <c r="AG120" i="6" s="1"/>
  <c r="AG97" i="6" s="1"/>
  <c r="AG99" i="6" s="1"/>
  <c r="E171" i="31"/>
  <c r="I171" i="31" s="1"/>
  <c r="L171" i="31" s="1"/>
  <c r="E172" i="31"/>
  <c r="K134" i="6"/>
  <c r="L129" i="6"/>
  <c r="AJ25" i="6"/>
  <c r="AJ23" i="6"/>
  <c r="AJ144" i="6"/>
  <c r="AJ146" i="6"/>
  <c r="AJ147" i="6" s="1"/>
  <c r="AJ142" i="6"/>
  <c r="AG13" i="6"/>
  <c r="AG28" i="6" s="1"/>
  <c r="AG14" i="6"/>
  <c r="AG182" i="6"/>
  <c r="L24" i="11"/>
  <c r="J41" i="28"/>
  <c r="I11" i="28"/>
  <c r="AE21" i="8"/>
  <c r="AD58" i="8"/>
  <c r="K31" i="11"/>
  <c r="I50" i="28" s="1"/>
  <c r="J37" i="11"/>
  <c r="H50" i="28"/>
  <c r="H56" i="28" s="1"/>
  <c r="J102" i="28"/>
  <c r="L14" i="11"/>
  <c r="I35" i="28"/>
  <c r="R25" i="8"/>
  <c r="R57" i="8"/>
  <c r="R22" i="8"/>
  <c r="AO151" i="6"/>
  <c r="AO153" i="6" s="1"/>
  <c r="AN152" i="6"/>
  <c r="AO14" i="8"/>
  <c r="AO51" i="8"/>
  <c r="J6" i="7"/>
  <c r="J18" i="7" s="1"/>
  <c r="W30" i="8"/>
  <c r="W62" i="8"/>
  <c r="W192" i="6"/>
  <c r="W48" i="8"/>
  <c r="AB25" i="8"/>
  <c r="AB22" i="8"/>
  <c r="AB59" i="8" s="1"/>
  <c r="AB57" i="8"/>
  <c r="AH57" i="8"/>
  <c r="AH22" i="8"/>
  <c r="K10" i="11"/>
  <c r="AD28" i="8"/>
  <c r="F60" i="6"/>
  <c r="F140" i="6"/>
  <c r="F13" i="8" s="1"/>
  <c r="F144" i="6"/>
  <c r="F142" i="6"/>
  <c r="F155" i="6" s="1"/>
  <c r="E142" i="6"/>
  <c r="E155" i="6" s="1"/>
  <c r="E144" i="6"/>
  <c r="E140" i="6"/>
  <c r="C14" i="8"/>
  <c r="C51" i="8"/>
  <c r="D62" i="26"/>
  <c r="C64" i="26"/>
  <c r="C67" i="26" s="1"/>
  <c r="C76" i="26"/>
  <c r="Z18" i="6"/>
  <c r="Z10" i="6"/>
  <c r="Z12" i="6" s="1"/>
  <c r="Y16" i="6"/>
  <c r="X5" i="8"/>
  <c r="AA6" i="8"/>
  <c r="H142" i="6"/>
  <c r="H155" i="6" s="1"/>
  <c r="H144" i="6"/>
  <c r="H140" i="6"/>
  <c r="AH35" i="6"/>
  <c r="AC159" i="6"/>
  <c r="AC31" i="6"/>
  <c r="AD35" i="6"/>
  <c r="AC154" i="6"/>
  <c r="AK29" i="6"/>
  <c r="AF29" i="6"/>
  <c r="K12" i="11"/>
  <c r="I33" i="28" s="1"/>
  <c r="I76" i="11"/>
  <c r="I44" i="7"/>
  <c r="G51" i="28"/>
  <c r="G142" i="6"/>
  <c r="G144" i="6"/>
  <c r="G140" i="6"/>
  <c r="G13" i="8" s="1"/>
  <c r="D10" i="26"/>
  <c r="C12" i="26"/>
  <c r="C17" i="26"/>
  <c r="Z140" i="6"/>
  <c r="Z144" i="6"/>
  <c r="Z142" i="6"/>
  <c r="AA110" i="6"/>
  <c r="AA129" i="6"/>
  <c r="AA134" i="6" s="1"/>
  <c r="P108" i="6"/>
  <c r="P123" i="6" s="1"/>
  <c r="Q107" i="6"/>
  <c r="Q108" i="6" s="1"/>
  <c r="Q123" i="6" s="1"/>
  <c r="E39" i="11"/>
  <c r="E61" i="11" s="1"/>
  <c r="AM59" i="25"/>
  <c r="AY186" i="6"/>
  <c r="N33" i="13"/>
  <c r="L33" i="13"/>
  <c r="I154" i="31"/>
  <c r="D155" i="31" s="1"/>
  <c r="AJ153" i="6"/>
  <c r="F57" i="28"/>
  <c r="F58" i="28" s="1"/>
  <c r="J56" i="28"/>
  <c r="AQ164" i="6"/>
  <c r="BD179" i="6"/>
  <c r="BD186" i="6" s="1"/>
  <c r="BI180" i="6"/>
  <c r="BI181" i="6"/>
  <c r="BI182" i="6"/>
  <c r="M12" i="11"/>
  <c r="AM21" i="6"/>
  <c r="AM22" i="6"/>
  <c r="AM87" i="6"/>
  <c r="AM88" i="6" s="1"/>
  <c r="AM89" i="6" s="1"/>
  <c r="AM90" i="6" s="1"/>
  <c r="AM72" i="6"/>
  <c r="AM71" i="6"/>
  <c r="M230" i="6"/>
  <c r="I230" i="6"/>
  <c r="H236" i="6"/>
  <c r="H239" i="6" s="1"/>
  <c r="H233" i="6"/>
  <c r="AQ87" i="6"/>
  <c r="AQ88" i="6" s="1"/>
  <c r="AQ89" i="6" s="1"/>
  <c r="AQ90" i="6" s="1"/>
  <c r="AQ22" i="6"/>
  <c r="AQ21" i="6" s="1"/>
  <c r="K44" i="13"/>
  <c r="L39" i="13" s="1"/>
  <c r="L42" i="13" s="1"/>
  <c r="AO173" i="6"/>
  <c r="BU72" i="8"/>
  <c r="T33" i="7" s="1"/>
  <c r="BU44" i="8"/>
  <c r="BR56" i="6"/>
  <c r="L8" i="28"/>
  <c r="AQ51" i="8"/>
  <c r="BD46" i="6"/>
  <c r="AY85" i="6"/>
  <c r="AT32" i="6"/>
  <c r="AT38" i="6" s="1"/>
  <c r="AT36" i="6"/>
  <c r="AS7" i="8"/>
  <c r="AS6" i="8"/>
  <c r="AR9" i="8"/>
  <c r="AR7" i="8"/>
  <c r="AR6" i="8"/>
  <c r="AR10" i="8"/>
  <c r="AR61" i="8"/>
  <c r="AR50" i="8"/>
  <c r="AR56" i="8"/>
  <c r="AR53" i="8"/>
  <c r="AS59" i="6"/>
  <c r="AS64" i="6" s="1"/>
  <c r="AS32" i="6"/>
  <c r="AS31" i="6" s="1"/>
  <c r="AR213" i="6"/>
  <c r="AR154" i="6"/>
  <c r="AR155" i="6" s="1"/>
  <c r="AV151" i="6" s="1"/>
  <c r="AR38" i="6"/>
  <c r="AR35" i="6"/>
  <c r="M27" i="7"/>
  <c r="K89" i="28" s="1"/>
  <c r="R78" i="8"/>
  <c r="AM108" i="6"/>
  <c r="AY36" i="6"/>
  <c r="K98" i="28"/>
  <c r="G47" i="28"/>
  <c r="I37" i="11"/>
  <c r="M7" i="11"/>
  <c r="N7" i="11" s="1"/>
  <c r="O7" i="11" s="1"/>
  <c r="J28" i="28"/>
  <c r="O65" i="28"/>
  <c r="N65" i="28"/>
  <c r="I47" i="28"/>
  <c r="AM22" i="8"/>
  <c r="AM59" i="8" s="1"/>
  <c r="AA21" i="6" l="1"/>
  <c r="AR17" i="6"/>
  <c r="AV17" i="6" s="1"/>
  <c r="E20" i="13"/>
  <c r="AL28" i="6"/>
  <c r="AL140" i="6"/>
  <c r="AL13" i="8" s="1"/>
  <c r="AK13" i="8" s="1"/>
  <c r="AK14" i="8" s="1"/>
  <c r="AP18" i="6"/>
  <c r="AM158" i="6"/>
  <c r="AM159" i="6" s="1"/>
  <c r="I55" i="8"/>
  <c r="Y143" i="6"/>
  <c r="AJ5" i="8"/>
  <c r="AJ8" i="8"/>
  <c r="AJ143" i="6"/>
  <c r="BM11" i="6"/>
  <c r="BO17" i="6"/>
  <c r="AR18" i="6"/>
  <c r="AR19" i="6" s="1"/>
  <c r="X33" i="8"/>
  <c r="AJ59" i="6"/>
  <c r="AJ60" i="6" s="1"/>
  <c r="AJ61" i="6" s="1"/>
  <c r="Z143" i="6"/>
  <c r="X34" i="8"/>
  <c r="X31" i="8"/>
  <c r="F9" i="36"/>
  <c r="F11" i="36" s="1"/>
  <c r="F12" i="36" s="1"/>
  <c r="BN146" i="6"/>
  <c r="AI151" i="6"/>
  <c r="AI152" i="6" s="1"/>
  <c r="AI26" i="6" s="1"/>
  <c r="AI107" i="6" s="1"/>
  <c r="AH156" i="6"/>
  <c r="K37" i="11"/>
  <c r="F65" i="13"/>
  <c r="F67" i="13" s="1"/>
  <c r="F69" i="13" s="1"/>
  <c r="AP99" i="6"/>
  <c r="AO97" i="6"/>
  <c r="AT31" i="6"/>
  <c r="E12" i="13"/>
  <c r="D172" i="31"/>
  <c r="I172" i="31" s="1"/>
  <c r="AM61" i="6"/>
  <c r="U23" i="11"/>
  <c r="S43" i="28" s="1"/>
  <c r="AG164" i="6"/>
  <c r="U12" i="6"/>
  <c r="U13" i="6" s="1"/>
  <c r="U28" i="6" s="1"/>
  <c r="AF55" i="8"/>
  <c r="AG151" i="6"/>
  <c r="AG153" i="6" s="1"/>
  <c r="AF22" i="8"/>
  <c r="AF59" i="8" s="1"/>
  <c r="AC151" i="6"/>
  <c r="AC153" i="6" s="1"/>
  <c r="AC155" i="6" s="1"/>
  <c r="AD143" i="6"/>
  <c r="BK9" i="6"/>
  <c r="AC31" i="8"/>
  <c r="AC35" i="8" s="1"/>
  <c r="AC30" i="8"/>
  <c r="AC62" i="8"/>
  <c r="AC48" i="8"/>
  <c r="AC192" i="6"/>
  <c r="AC198" i="6"/>
  <c r="H202" i="31"/>
  <c r="I202" i="31"/>
  <c r="D203" i="31" s="1"/>
  <c r="BJ9" i="6"/>
  <c r="AD25" i="8"/>
  <c r="AD57" i="8"/>
  <c r="AR60" i="6"/>
  <c r="AT12" i="6"/>
  <c r="AT13" i="6" s="1"/>
  <c r="AT28" i="6" s="1"/>
  <c r="AD61" i="6"/>
  <c r="D11" i="31"/>
  <c r="H11" i="31" s="1"/>
  <c r="E11" i="31"/>
  <c r="F225" i="31" s="1"/>
  <c r="F226" i="31" s="1"/>
  <c r="V49" i="11"/>
  <c r="T64" i="28" s="1"/>
  <c r="I56" i="28"/>
  <c r="J14" i="28"/>
  <c r="J16" i="28" s="1"/>
  <c r="J109" i="28" s="1"/>
  <c r="G56" i="28"/>
  <c r="Q34" i="11"/>
  <c r="P89" i="11"/>
  <c r="N53" i="28"/>
  <c r="M8" i="11"/>
  <c r="J29" i="28"/>
  <c r="V48" i="11"/>
  <c r="S63" i="28"/>
  <c r="U12" i="11"/>
  <c r="R33" i="28"/>
  <c r="S15" i="11"/>
  <c r="P36" i="28"/>
  <c r="AO188" i="6"/>
  <c r="H182" i="31"/>
  <c r="K182" i="31" s="1"/>
  <c r="I182" i="31"/>
  <c r="L182" i="31" s="1"/>
  <c r="D130" i="31"/>
  <c r="D24" i="31"/>
  <c r="H85" i="31"/>
  <c r="I85" i="31"/>
  <c r="D86" i="31" s="1"/>
  <c r="I72" i="31"/>
  <c r="D73" i="31" s="1"/>
  <c r="H72" i="31"/>
  <c r="I11" i="31"/>
  <c r="BS32" i="6"/>
  <c r="BS35" i="6" s="1"/>
  <c r="BT34" i="6"/>
  <c r="H32" i="38" s="1"/>
  <c r="AK5" i="8"/>
  <c r="AK8" i="8"/>
  <c r="BR26" i="6"/>
  <c r="G9" i="36" s="1"/>
  <c r="BR35" i="6"/>
  <c r="S26" i="7"/>
  <c r="BF9" i="6"/>
  <c r="AS11" i="6"/>
  <c r="AS12" i="6" s="1"/>
  <c r="AS13" i="6" s="1"/>
  <c r="AS28" i="6" s="1"/>
  <c r="AS18" i="6"/>
  <c r="AS19" i="6" s="1"/>
  <c r="AW17" i="6"/>
  <c r="AD8" i="8"/>
  <c r="AD5" i="8"/>
  <c r="BS56" i="6"/>
  <c r="BG9" i="6"/>
  <c r="BU237" i="6"/>
  <c r="BV238" i="6"/>
  <c r="BV72" i="8"/>
  <c r="U33" i="7" s="1"/>
  <c r="BV44" i="8"/>
  <c r="AP53" i="8"/>
  <c r="AF248" i="6"/>
  <c r="AF169" i="6"/>
  <c r="R59" i="6"/>
  <c r="R64" i="6" s="1"/>
  <c r="K5" i="8"/>
  <c r="AQ17" i="8"/>
  <c r="AQ169" i="6" s="1"/>
  <c r="AE61" i="6"/>
  <c r="AF61" i="6"/>
  <c r="E151" i="6"/>
  <c r="E153" i="6" s="1"/>
  <c r="D156" i="6"/>
  <c r="D14" i="8"/>
  <c r="D51" i="8"/>
  <c r="AG208" i="6"/>
  <c r="AG209" i="6" s="1"/>
  <c r="AR64" i="6"/>
  <c r="AH61" i="6"/>
  <c r="AN111" i="6"/>
  <c r="BN17" i="6"/>
  <c r="BI11" i="6"/>
  <c r="I31" i="28"/>
  <c r="AP61" i="8"/>
  <c r="AO61" i="6"/>
  <c r="R56" i="6"/>
  <c r="AC5" i="8"/>
  <c r="AP111" i="6"/>
  <c r="AI31" i="8"/>
  <c r="AI62" i="8"/>
  <c r="AI30" i="8"/>
  <c r="X172" i="31"/>
  <c r="AO40" i="25"/>
  <c r="AO42" i="25" s="1"/>
  <c r="AO43" i="25" s="1"/>
  <c r="AM39" i="25"/>
  <c r="AR107" i="6"/>
  <c r="AS107" i="6"/>
  <c r="I9" i="6"/>
  <c r="J15" i="6"/>
  <c r="N15" i="6"/>
  <c r="M9" i="6"/>
  <c r="Y172" i="31"/>
  <c r="W35" i="6"/>
  <c r="W38" i="6"/>
  <c r="R38" i="6"/>
  <c r="R159" i="6"/>
  <c r="R35" i="6"/>
  <c r="R53" i="6"/>
  <c r="R62" i="6"/>
  <c r="AH8" i="8"/>
  <c r="AH5" i="8"/>
  <c r="BB16" i="6"/>
  <c r="BB18" i="6" s="1"/>
  <c r="AX10" i="6"/>
  <c r="AX12" i="6" s="1"/>
  <c r="AX13" i="6" s="1"/>
  <c r="L12" i="8"/>
  <c r="K29" i="8"/>
  <c r="K60" i="8"/>
  <c r="K53" i="8"/>
  <c r="K61" i="8"/>
  <c r="K54" i="8"/>
  <c r="K110" i="6"/>
  <c r="K50" i="8"/>
  <c r="K56" i="8"/>
  <c r="AV11" i="6"/>
  <c r="AV12" i="6" s="1"/>
  <c r="AV13" i="6" s="1"/>
  <c r="AZ17" i="6"/>
  <c r="AV18" i="6"/>
  <c r="AO111" i="6"/>
  <c r="BC37" i="8"/>
  <c r="BD37" i="8" s="1"/>
  <c r="AQ145" i="6"/>
  <c r="AT166" i="6"/>
  <c r="AT167" i="6" s="1"/>
  <c r="AT154" i="6"/>
  <c r="AT155" i="6" s="1"/>
  <c r="AX151" i="6" s="1"/>
  <c r="BC9" i="6"/>
  <c r="H38" i="11"/>
  <c r="M95" i="11"/>
  <c r="AL14" i="8"/>
  <c r="BC16" i="6"/>
  <c r="AY10" i="6"/>
  <c r="BD16" i="6"/>
  <c r="BH16" i="6" s="1"/>
  <c r="K8" i="8"/>
  <c r="L6" i="8"/>
  <c r="L8" i="8" s="1"/>
  <c r="BB9" i="6"/>
  <c r="R70" i="28"/>
  <c r="S25" i="7"/>
  <c r="AP60" i="8"/>
  <c r="AP50" i="8"/>
  <c r="AV152" i="6"/>
  <c r="P10" i="8"/>
  <c r="Q58" i="6"/>
  <c r="Q59" i="6" s="1"/>
  <c r="Q64" i="6" s="1"/>
  <c r="AM30" i="8"/>
  <c r="AQ192" i="6"/>
  <c r="AM62" i="8"/>
  <c r="AM31" i="8"/>
  <c r="AM48" i="8"/>
  <c r="AK198" i="6"/>
  <c r="I25" i="8"/>
  <c r="I57" i="8"/>
  <c r="I22" i="8"/>
  <c r="L10" i="8"/>
  <c r="J5" i="8"/>
  <c r="P59" i="6"/>
  <c r="P48" i="8"/>
  <c r="Q48" i="8" s="1"/>
  <c r="P62" i="8"/>
  <c r="P30" i="8"/>
  <c r="P77" i="8" s="1"/>
  <c r="AA55" i="8"/>
  <c r="AA20" i="8"/>
  <c r="AA169" i="6"/>
  <c r="AR151" i="6"/>
  <c r="AR152" i="6" s="1"/>
  <c r="AS151" i="6"/>
  <c r="AP152" i="6"/>
  <c r="AS63" i="6"/>
  <c r="N63" i="8"/>
  <c r="N50" i="8"/>
  <c r="N60" i="8"/>
  <c r="N165" i="6"/>
  <c r="N56" i="8"/>
  <c r="N14" i="8"/>
  <c r="N51" i="8"/>
  <c r="N160" i="6"/>
  <c r="N54" i="8"/>
  <c r="N61" i="8"/>
  <c r="N53" i="8"/>
  <c r="N110" i="6"/>
  <c r="P110" i="6" s="1"/>
  <c r="AS60" i="6"/>
  <c r="Q12" i="8"/>
  <c r="Q63" i="8" s="1"/>
  <c r="N5" i="8"/>
  <c r="H154" i="31"/>
  <c r="F21" i="6"/>
  <c r="F39" i="6"/>
  <c r="G14" i="8"/>
  <c r="G51" i="8"/>
  <c r="H156" i="6"/>
  <c r="M151" i="6"/>
  <c r="M153" i="6" s="1"/>
  <c r="I151" i="6"/>
  <c r="I153" i="6" s="1"/>
  <c r="F151" i="6"/>
  <c r="F153" i="6" s="1"/>
  <c r="E156" i="6"/>
  <c r="AG179" i="6"/>
  <c r="AG186" i="6" s="1"/>
  <c r="I6" i="7"/>
  <c r="I18" i="7" s="1"/>
  <c r="I23" i="7" s="1"/>
  <c r="R192" i="6"/>
  <c r="R48" i="8"/>
  <c r="R62" i="8"/>
  <c r="R197" i="6"/>
  <c r="R30" i="8"/>
  <c r="AE22" i="8"/>
  <c r="AE59" i="8" s="1"/>
  <c r="AE58" i="8"/>
  <c r="W60" i="6"/>
  <c r="AB63" i="6"/>
  <c r="W64" i="6"/>
  <c r="Q32" i="6"/>
  <c r="R154" i="6"/>
  <c r="H14" i="28"/>
  <c r="I70" i="28"/>
  <c r="I73" i="28" s="1"/>
  <c r="K70" i="11"/>
  <c r="K59" i="11"/>
  <c r="W145" i="6"/>
  <c r="AB145" i="6"/>
  <c r="V9" i="6"/>
  <c r="V10" i="6"/>
  <c r="D76" i="26"/>
  <c r="E62" i="26"/>
  <c r="D64" i="26"/>
  <c r="D67" i="26" s="1"/>
  <c r="W151" i="6"/>
  <c r="W153" i="6" s="1"/>
  <c r="W154" i="6" s="1"/>
  <c r="R156" i="6"/>
  <c r="O52" i="8"/>
  <c r="O17" i="8"/>
  <c r="Y22" i="8"/>
  <c r="Y59" i="8" s="1"/>
  <c r="Y57" i="8"/>
  <c r="Y25" i="8"/>
  <c r="Z31" i="8"/>
  <c r="Z33" i="8"/>
  <c r="Z34" i="8"/>
  <c r="Z64" i="8"/>
  <c r="L48" i="11"/>
  <c r="J63" i="28" s="1"/>
  <c r="AT244" i="6"/>
  <c r="AY244" i="6" s="1"/>
  <c r="AQ246" i="6"/>
  <c r="H25" i="8"/>
  <c r="H57" i="8"/>
  <c r="H22" i="8"/>
  <c r="Y60" i="6"/>
  <c r="L56" i="11"/>
  <c r="AK25" i="6"/>
  <c r="AK23" i="6"/>
  <c r="F76" i="13"/>
  <c r="L12" i="11"/>
  <c r="G155" i="6"/>
  <c r="G143" i="6"/>
  <c r="Y10" i="6"/>
  <c r="Y12" i="6" s="1"/>
  <c r="X16" i="6"/>
  <c r="Y18" i="6"/>
  <c r="E141" i="6"/>
  <c r="E13" i="8"/>
  <c r="AH59" i="8"/>
  <c r="AO17" i="8"/>
  <c r="AO52" i="8"/>
  <c r="N14" i="11"/>
  <c r="M14" i="11"/>
  <c r="M10" i="11" s="1"/>
  <c r="J35" i="28"/>
  <c r="I14" i="28"/>
  <c r="L38" i="11"/>
  <c r="AA142" i="6"/>
  <c r="AA140" i="6"/>
  <c r="AA144" i="6"/>
  <c r="D17" i="26"/>
  <c r="D12" i="26"/>
  <c r="E10" i="26"/>
  <c r="AE35" i="6"/>
  <c r="AJ35" i="6"/>
  <c r="AD29" i="6"/>
  <c r="Z13" i="6"/>
  <c r="Z28" i="6" s="1"/>
  <c r="Z21" i="6"/>
  <c r="C52" i="8"/>
  <c r="C17" i="8"/>
  <c r="G151" i="6"/>
  <c r="G153" i="6" s="1"/>
  <c r="F156" i="6"/>
  <c r="F14" i="8"/>
  <c r="F51" i="8"/>
  <c r="AH48" i="8"/>
  <c r="AH62" i="8"/>
  <c r="AH195" i="6"/>
  <c r="AH194" i="6" s="1"/>
  <c r="AH30" i="8"/>
  <c r="AH31" i="8"/>
  <c r="AB31" i="8"/>
  <c r="AB30" i="8"/>
  <c r="AB77" i="8" s="1"/>
  <c r="AB192" i="6"/>
  <c r="AB48" i="8"/>
  <c r="AB62" i="8"/>
  <c r="W43" i="8"/>
  <c r="R43" i="8" s="1"/>
  <c r="AB197" i="6"/>
  <c r="K6" i="7"/>
  <c r="K18" i="7" s="1"/>
  <c r="AB198" i="6"/>
  <c r="H20" i="28"/>
  <c r="W34" i="8"/>
  <c r="W64" i="8"/>
  <c r="W41" i="8"/>
  <c r="W42" i="8" s="1"/>
  <c r="W33" i="8"/>
  <c r="W35" i="8"/>
  <c r="AN26" i="6"/>
  <c r="AN153" i="6"/>
  <c r="J44" i="28"/>
  <c r="J57" i="28" s="1"/>
  <c r="AJ22" i="6"/>
  <c r="AJ94" i="6"/>
  <c r="AJ21" i="6"/>
  <c r="K140" i="6"/>
  <c r="L134" i="6"/>
  <c r="BD15" i="6"/>
  <c r="BH15" i="6" s="1"/>
  <c r="BL15" i="6" s="1"/>
  <c r="AY18" i="6"/>
  <c r="AY19" i="6" s="1"/>
  <c r="AY9" i="6"/>
  <c r="AB151" i="6"/>
  <c r="AB153" i="6" s="1"/>
  <c r="AB154" i="6" s="1"/>
  <c r="W156" i="6"/>
  <c r="G10" i="6"/>
  <c r="G12" i="6" s="1"/>
  <c r="H16" i="6"/>
  <c r="G18" i="6"/>
  <c r="E58" i="26"/>
  <c r="E61" i="26" s="1"/>
  <c r="F53" i="26"/>
  <c r="F58" i="26" s="1"/>
  <c r="F61" i="26" s="1"/>
  <c r="AA57" i="6"/>
  <c r="AA59" i="6" s="1"/>
  <c r="Z9" i="8"/>
  <c r="Z59" i="6"/>
  <c r="F20" i="28"/>
  <c r="F80" i="28"/>
  <c r="F86" i="28" s="1"/>
  <c r="F99" i="28" s="1"/>
  <c r="F103" i="28" s="1"/>
  <c r="AN62" i="8"/>
  <c r="AN30" i="8"/>
  <c r="AN31" i="8"/>
  <c r="AN48" i="8"/>
  <c r="J51" i="8"/>
  <c r="J14" i="8"/>
  <c r="AT35" i="6"/>
  <c r="AT213" i="6"/>
  <c r="AQ210" i="6"/>
  <c r="AJ188" i="6"/>
  <c r="AA8" i="8"/>
  <c r="AK153" i="6"/>
  <c r="L46" i="13"/>
  <c r="L44" i="13"/>
  <c r="M39" i="13" s="1"/>
  <c r="M42" i="13" s="1"/>
  <c r="I233" i="6"/>
  <c r="J230" i="6"/>
  <c r="I236" i="6"/>
  <c r="I239" i="6" s="1"/>
  <c r="N230" i="6"/>
  <c r="M236" i="6"/>
  <c r="M239" i="6" s="1"/>
  <c r="M233" i="6"/>
  <c r="R230" i="6"/>
  <c r="M56" i="11"/>
  <c r="K33" i="28"/>
  <c r="BN182" i="6"/>
  <c r="BN181" i="6"/>
  <c r="BN180" i="6"/>
  <c r="BI179" i="6"/>
  <c r="BI186" i="6" s="1"/>
  <c r="G179" i="40"/>
  <c r="AY32" i="6"/>
  <c r="BR38" i="6" s="1"/>
  <c r="BD85" i="6"/>
  <c r="L9" i="28"/>
  <c r="L107" i="28" s="1"/>
  <c r="AR8" i="8"/>
  <c r="AS61" i="8"/>
  <c r="AS50" i="8"/>
  <c r="AS53" i="8"/>
  <c r="AS56" i="8"/>
  <c r="AS213" i="6"/>
  <c r="AS154" i="6"/>
  <c r="AS155" i="6" s="1"/>
  <c r="AW151" i="6" s="1"/>
  <c r="AS35" i="6"/>
  <c r="AS29" i="6"/>
  <c r="G7" i="13"/>
  <c r="F12" i="13"/>
  <c r="F20" i="13"/>
  <c r="J23" i="7"/>
  <c r="K28" i="28"/>
  <c r="K119" i="28" s="1"/>
  <c r="L119" i="28" s="1"/>
  <c r="BD36" i="6"/>
  <c r="I24" i="11"/>
  <c r="G40" i="28"/>
  <c r="G44" i="28" s="1"/>
  <c r="AQ108" i="6"/>
  <c r="W77" i="8"/>
  <c r="AL201" i="6" l="1"/>
  <c r="AL203" i="6" s="1"/>
  <c r="AL204" i="6" s="1"/>
  <c r="AI70" i="6"/>
  <c r="AI71" i="6" s="1"/>
  <c r="H172" i="31"/>
  <c r="AL51" i="8"/>
  <c r="BO11" i="6"/>
  <c r="BQ17" i="6"/>
  <c r="BQ11" i="6" s="1"/>
  <c r="BQ12" i="6" s="1"/>
  <c r="AR11" i="6"/>
  <c r="AR12" i="6" s="1"/>
  <c r="AR13" i="6" s="1"/>
  <c r="AI153" i="6"/>
  <c r="K8" i="28"/>
  <c r="W63" i="6"/>
  <c r="AI23" i="6"/>
  <c r="AI103" i="6"/>
  <c r="AI93" i="6"/>
  <c r="AY151" i="6"/>
  <c r="AI25" i="6"/>
  <c r="AI22" i="6" s="1"/>
  <c r="AK61" i="6"/>
  <c r="AS99" i="6"/>
  <c r="AS97" i="6" s="1"/>
  <c r="AS120" i="6" s="1"/>
  <c r="AR99" i="6"/>
  <c r="AR97" i="6" s="1"/>
  <c r="AR120" i="6" s="1"/>
  <c r="AP97" i="6"/>
  <c r="AP120" i="6" s="1"/>
  <c r="G65" i="13"/>
  <c r="G67" i="13" s="1"/>
  <c r="H65" i="13" s="1"/>
  <c r="H67" i="13" s="1"/>
  <c r="G186" i="40"/>
  <c r="G187" i="40" s="1"/>
  <c r="H179" i="40"/>
  <c r="U32" i="7"/>
  <c r="AS40" i="6"/>
  <c r="V23" i="11"/>
  <c r="T43" i="28" s="1"/>
  <c r="AT29" i="6"/>
  <c r="I240" i="6"/>
  <c r="Q61" i="8"/>
  <c r="AJ72" i="6"/>
  <c r="AQ20" i="8"/>
  <c r="AQ57" i="8" s="1"/>
  <c r="AD31" i="8"/>
  <c r="AD35" i="8" s="1"/>
  <c r="AD62" i="8"/>
  <c r="AD48" i="8"/>
  <c r="AD30" i="8"/>
  <c r="AD198" i="6"/>
  <c r="AD197" i="6"/>
  <c r="AT40" i="6"/>
  <c r="AY31" i="6"/>
  <c r="W49" i="11"/>
  <c r="X49" i="11" s="1"/>
  <c r="BL9" i="6"/>
  <c r="BH10" i="6"/>
  <c r="BL16" i="6"/>
  <c r="BL10" i="6" s="1"/>
  <c r="AC64" i="8"/>
  <c r="AC34" i="8"/>
  <c r="AC38" i="8" s="1"/>
  <c r="AC33" i="8"/>
  <c r="G57" i="28"/>
  <c r="Q60" i="6"/>
  <c r="G154" i="6"/>
  <c r="H203" i="31"/>
  <c r="P28" i="28"/>
  <c r="F19" i="25"/>
  <c r="H16" i="25" s="1"/>
  <c r="E29" i="12"/>
  <c r="F29" i="12" s="1"/>
  <c r="BS26" i="6"/>
  <c r="H9" i="36" s="1"/>
  <c r="H11" i="36" s="1"/>
  <c r="H12" i="36" s="1"/>
  <c r="G29" i="38"/>
  <c r="S33" i="28"/>
  <c r="V12" i="11"/>
  <c r="W48" i="11"/>
  <c r="X48" i="11" s="1"/>
  <c r="Y48" i="11" s="1"/>
  <c r="Z48" i="11" s="1"/>
  <c r="AA48" i="11" s="1"/>
  <c r="AB48" i="11" s="1"/>
  <c r="AC48" i="11" s="1"/>
  <c r="AD48" i="11" s="1"/>
  <c r="T63" i="28"/>
  <c r="N8" i="11"/>
  <c r="K29" i="28"/>
  <c r="O53" i="28"/>
  <c r="G10" i="13"/>
  <c r="G20" i="13" s="1"/>
  <c r="F43" i="11" s="1"/>
  <c r="G6" i="13"/>
  <c r="T15" i="11"/>
  <c r="Q36" i="28"/>
  <c r="F19" i="36"/>
  <c r="F77" i="36"/>
  <c r="G11" i="36"/>
  <c r="G12" i="36" s="1"/>
  <c r="G234" i="31"/>
  <c r="D204" i="31"/>
  <c r="D183" i="31"/>
  <c r="H183" i="31" s="1"/>
  <c r="K183" i="31" s="1"/>
  <c r="I130" i="31"/>
  <c r="H130" i="31"/>
  <c r="D12" i="31"/>
  <c r="H12" i="31" s="1"/>
  <c r="J172" i="31"/>
  <c r="K172" i="31"/>
  <c r="I24" i="31"/>
  <c r="D25" i="31" s="1"/>
  <c r="H24" i="31"/>
  <c r="I155" i="31"/>
  <c r="D156" i="31" s="1"/>
  <c r="I73" i="31"/>
  <c r="H73" i="31"/>
  <c r="I86" i="31"/>
  <c r="D87" i="31" s="1"/>
  <c r="H86" i="31"/>
  <c r="AQ55" i="8"/>
  <c r="BT32" i="6"/>
  <c r="H29" i="38" s="1"/>
  <c r="BU34" i="6"/>
  <c r="T26" i="7"/>
  <c r="T25" i="7"/>
  <c r="U56" i="11"/>
  <c r="S70" i="28" s="1"/>
  <c r="V32" i="7"/>
  <c r="R60" i="6"/>
  <c r="BC10" i="6"/>
  <c r="BC12" i="6" s="1"/>
  <c r="BC13" i="6" s="1"/>
  <c r="BG16" i="6"/>
  <c r="BK16" i="6" s="1"/>
  <c r="BB10" i="6"/>
  <c r="BB12" i="6" s="1"/>
  <c r="BB13" i="6" s="1"/>
  <c r="BF16" i="6"/>
  <c r="BJ16" i="6" s="1"/>
  <c r="BA17" i="6"/>
  <c r="AW11" i="6"/>
  <c r="AW12" i="6" s="1"/>
  <c r="AW13" i="6" s="1"/>
  <c r="AW18" i="6"/>
  <c r="BH18" i="6"/>
  <c r="BH9" i="6"/>
  <c r="BH12" i="6" s="1"/>
  <c r="BH13" i="6" s="1"/>
  <c r="BV237" i="6"/>
  <c r="BW238" i="6"/>
  <c r="BT56" i="6"/>
  <c r="BR154" i="6"/>
  <c r="BR155" i="6" s="1"/>
  <c r="BS151" i="6" s="1"/>
  <c r="BR213" i="6"/>
  <c r="BW44" i="8"/>
  <c r="BW72" i="8"/>
  <c r="V33" i="7" s="1"/>
  <c r="R63" i="6"/>
  <c r="AQ248" i="6"/>
  <c r="D52" i="8"/>
  <c r="D17" i="8"/>
  <c r="BN11" i="6"/>
  <c r="BR17" i="6"/>
  <c r="AY12" i="6"/>
  <c r="AY13" i="6" s="1"/>
  <c r="AY40" i="6" s="1"/>
  <c r="Q56" i="8"/>
  <c r="J9" i="6"/>
  <c r="K15" i="6"/>
  <c r="K9" i="6" s="1"/>
  <c r="AY35" i="6"/>
  <c r="AY213" i="6"/>
  <c r="AY154" i="6"/>
  <c r="AY155" i="6" s="1"/>
  <c r="BC151" i="6" s="1"/>
  <c r="BC152" i="6" s="1"/>
  <c r="BC153" i="6" s="1"/>
  <c r="BR31" i="6"/>
  <c r="N9" i="6"/>
  <c r="O15" i="6"/>
  <c r="AI33" i="8"/>
  <c r="AI64" i="8"/>
  <c r="AI35" i="8"/>
  <c r="AI34" i="8"/>
  <c r="BI16" i="6"/>
  <c r="BM16" i="6" s="1"/>
  <c r="BO16" i="6" s="1"/>
  <c r="BD10" i="6"/>
  <c r="K9" i="28"/>
  <c r="K107" i="28" s="1"/>
  <c r="AL214" i="6"/>
  <c r="AL216" i="6" s="1"/>
  <c r="AL217" i="6" s="1"/>
  <c r="AL218" i="6" s="1"/>
  <c r="AL210" i="6"/>
  <c r="AX152" i="6"/>
  <c r="AX153" i="6" s="1"/>
  <c r="L50" i="8"/>
  <c r="L61" i="8"/>
  <c r="L53" i="8"/>
  <c r="L60" i="8"/>
  <c r="L54" i="8"/>
  <c r="L56" i="8"/>
  <c r="AI146" i="6"/>
  <c r="AI147" i="6" s="1"/>
  <c r="AL17" i="8"/>
  <c r="AK17" i="8" s="1"/>
  <c r="AL52" i="8"/>
  <c r="AK51" i="8"/>
  <c r="AZ11" i="6"/>
  <c r="AZ12" i="6" s="1"/>
  <c r="AZ13" i="6" s="1"/>
  <c r="AZ18" i="6"/>
  <c r="L29" i="8"/>
  <c r="L63" i="8" s="1"/>
  <c r="K63" i="8"/>
  <c r="R164" i="6"/>
  <c r="W164" i="6"/>
  <c r="BC18" i="6"/>
  <c r="Q51" i="8"/>
  <c r="Q14" i="8"/>
  <c r="Q52" i="8" s="1"/>
  <c r="Q60" i="8"/>
  <c r="Q10" i="8"/>
  <c r="AW152" i="6"/>
  <c r="AW153" i="6" s="1"/>
  <c r="K23" i="7"/>
  <c r="I86" i="28" s="1"/>
  <c r="Q53" i="8"/>
  <c r="Q54" i="8"/>
  <c r="Q50" i="8"/>
  <c r="O27" i="34"/>
  <c r="Q27" i="34" s="1"/>
  <c r="AV102" i="6"/>
  <c r="AV108" i="6"/>
  <c r="AV23" i="6"/>
  <c r="AV71" i="6"/>
  <c r="AV153" i="6"/>
  <c r="P64" i="6"/>
  <c r="P63" i="6"/>
  <c r="P60" i="6"/>
  <c r="I30" i="8"/>
  <c r="I48" i="8"/>
  <c r="I62" i="8"/>
  <c r="AM33" i="8"/>
  <c r="AM34" i="8"/>
  <c r="AM64" i="8"/>
  <c r="R77" i="8"/>
  <c r="Q63" i="6"/>
  <c r="AP26" i="6"/>
  <c r="AP153" i="6"/>
  <c r="AA25" i="8"/>
  <c r="AA22" i="8"/>
  <c r="AA59" i="8" s="1"/>
  <c r="AA57" i="8"/>
  <c r="P64" i="8"/>
  <c r="P41" i="8"/>
  <c r="P42" i="8" s="1"/>
  <c r="P33" i="8"/>
  <c r="P40" i="8" s="1"/>
  <c r="P34" i="8"/>
  <c r="Q110" i="6"/>
  <c r="Q128" i="6" s="1"/>
  <c r="P128" i="6"/>
  <c r="N52" i="8"/>
  <c r="N17" i="8"/>
  <c r="H155" i="31"/>
  <c r="AD151" i="6"/>
  <c r="AD153" i="6" s="1"/>
  <c r="AD155" i="6" s="1"/>
  <c r="AC156" i="6"/>
  <c r="AK87" i="6"/>
  <c r="AK88" i="6" s="1"/>
  <c r="AK21" i="6"/>
  <c r="AK22" i="6"/>
  <c r="J70" i="28"/>
  <c r="J73" i="28" s="1"/>
  <c r="L59" i="11"/>
  <c r="L70" i="11"/>
  <c r="H30" i="8"/>
  <c r="H48" i="8"/>
  <c r="G6" i="7"/>
  <c r="G18" i="7" s="1"/>
  <c r="G23" i="7" s="1"/>
  <c r="H62" i="8"/>
  <c r="Y30" i="8"/>
  <c r="Y192" i="6"/>
  <c r="Y48" i="8"/>
  <c r="Y62" i="8"/>
  <c r="H16" i="28"/>
  <c r="H18" i="28"/>
  <c r="R64" i="8"/>
  <c r="R34" i="8"/>
  <c r="R35" i="8"/>
  <c r="R41" i="8"/>
  <c r="R42" i="8" s="1"/>
  <c r="R33" i="8"/>
  <c r="R40" i="8" s="1"/>
  <c r="AG188" i="6"/>
  <c r="G52" i="8"/>
  <c r="G17" i="8"/>
  <c r="AA9" i="8"/>
  <c r="AA5" i="8" s="1"/>
  <c r="Z5" i="8"/>
  <c r="G13" i="6"/>
  <c r="G21" i="6"/>
  <c r="G39" i="6"/>
  <c r="K13" i="8"/>
  <c r="L140" i="6"/>
  <c r="AK94" i="6"/>
  <c r="AK93" i="6" s="1"/>
  <c r="AJ93" i="6"/>
  <c r="AJ95" i="6"/>
  <c r="AN25" i="6"/>
  <c r="AN142" i="6"/>
  <c r="AN107" i="6"/>
  <c r="AN146" i="6"/>
  <c r="AN147" i="6" s="1"/>
  <c r="AN23" i="6"/>
  <c r="AN144" i="6"/>
  <c r="AN103" i="6"/>
  <c r="AO103" i="6" s="1"/>
  <c r="AP103" i="6" s="1"/>
  <c r="AN70" i="6"/>
  <c r="AN75" i="6"/>
  <c r="AN94" i="6"/>
  <c r="H3" i="28"/>
  <c r="AB34" i="8"/>
  <c r="AB64" i="8"/>
  <c r="AB43" i="8"/>
  <c r="AB41" i="8"/>
  <c r="AB42" i="8" s="1"/>
  <c r="AB33" i="8"/>
  <c r="I20" i="28"/>
  <c r="AB35" i="8"/>
  <c r="AH33" i="8"/>
  <c r="AH34" i="8"/>
  <c r="AH64" i="8"/>
  <c r="F17" i="8"/>
  <c r="F52" i="8"/>
  <c r="AA143" i="6"/>
  <c r="AC143" i="6"/>
  <c r="I16" i="28"/>
  <c r="I18" i="28"/>
  <c r="O14" i="11"/>
  <c r="P14" i="11" s="1"/>
  <c r="K35" i="28"/>
  <c r="K31" i="28" s="1"/>
  <c r="E51" i="8"/>
  <c r="E14" i="8"/>
  <c r="Y13" i="6"/>
  <c r="Y28" i="6" s="1"/>
  <c r="Y21" i="6"/>
  <c r="H151" i="6"/>
  <c r="H153" i="6" s="1"/>
  <c r="H154" i="6" s="1"/>
  <c r="H32" i="6" s="1"/>
  <c r="G156" i="6"/>
  <c r="J33" i="28"/>
  <c r="J31" i="28" s="1"/>
  <c r="L10" i="11"/>
  <c r="J17" i="8"/>
  <c r="J52" i="8"/>
  <c r="AN34" i="8"/>
  <c r="AN37" i="8"/>
  <c r="AN64" i="8"/>
  <c r="AN33" i="8"/>
  <c r="Z60" i="6"/>
  <c r="AA60" i="6"/>
  <c r="E76" i="26"/>
  <c r="F62" i="26"/>
  <c r="E64" i="26"/>
  <c r="E67" i="26" s="1"/>
  <c r="H10" i="6"/>
  <c r="H12" i="6" s="1"/>
  <c r="M16" i="6"/>
  <c r="I16" i="6"/>
  <c r="H18" i="6"/>
  <c r="BI15" i="6"/>
  <c r="BM15" i="6" s="1"/>
  <c r="BD18" i="6"/>
  <c r="BD19" i="6" s="1"/>
  <c r="BD9" i="6"/>
  <c r="H21" i="28"/>
  <c r="W40" i="8"/>
  <c r="AH35" i="8"/>
  <c r="C20" i="8"/>
  <c r="C55" i="8"/>
  <c r="E17" i="26"/>
  <c r="F10" i="26"/>
  <c r="G10" i="26" s="1"/>
  <c r="G12" i="26" s="1"/>
  <c r="E12" i="26"/>
  <c r="L35" i="28"/>
  <c r="AO20" i="8"/>
  <c r="AO55" i="8"/>
  <c r="X18" i="6"/>
  <c r="X10" i="6"/>
  <c r="X12" i="6" s="1"/>
  <c r="AI21" i="6"/>
  <c r="O20" i="8"/>
  <c r="O55" i="8"/>
  <c r="I39" i="7"/>
  <c r="F64" i="26"/>
  <c r="F67" i="26" s="1"/>
  <c r="V12" i="6"/>
  <c r="V13" i="6" s="1"/>
  <c r="V28" i="6" s="1"/>
  <c r="BN179" i="6"/>
  <c r="BN186" i="6" s="1"/>
  <c r="BR180" i="6"/>
  <c r="BR181" i="6"/>
  <c r="BR182" i="6"/>
  <c r="AN58" i="25"/>
  <c r="AN41" i="25"/>
  <c r="AN42" i="25"/>
  <c r="M70" i="11"/>
  <c r="K70" i="28"/>
  <c r="M59" i="11"/>
  <c r="W230" i="6"/>
  <c r="R236" i="6"/>
  <c r="R239" i="6" s="1"/>
  <c r="R241" i="6" s="1"/>
  <c r="W242" i="6" s="1"/>
  <c r="O230" i="6"/>
  <c r="N236" i="6"/>
  <c r="N239" i="6" s="1"/>
  <c r="N240" i="6" s="1"/>
  <c r="J236" i="6"/>
  <c r="J239" i="6" s="1"/>
  <c r="K230" i="6"/>
  <c r="J233" i="6"/>
  <c r="M44" i="13"/>
  <c r="N39" i="13" s="1"/>
  <c r="N42" i="13" s="1"/>
  <c r="M46" i="13"/>
  <c r="L52" i="13"/>
  <c r="L48" i="13"/>
  <c r="L50" i="13" s="1"/>
  <c r="L59" i="13" s="1"/>
  <c r="M240" i="6"/>
  <c r="L11" i="28"/>
  <c r="L108" i="28" s="1"/>
  <c r="BI45" i="6"/>
  <c r="BI85" i="6"/>
  <c r="AS152" i="6"/>
  <c r="AR26" i="6"/>
  <c r="AR25" i="6" s="1"/>
  <c r="AR153" i="6"/>
  <c r="AT208" i="6"/>
  <c r="AT209" i="6" s="1"/>
  <c r="O84" i="11"/>
  <c r="M71" i="28"/>
  <c r="O82" i="11"/>
  <c r="M69" i="28"/>
  <c r="O88" i="11"/>
  <c r="O90" i="11" s="1"/>
  <c r="M52" i="28"/>
  <c r="O80" i="11"/>
  <c r="M67" i="28"/>
  <c r="AT26" i="6"/>
  <c r="AT153" i="6"/>
  <c r="BD154" i="6"/>
  <c r="BD155" i="6" s="1"/>
  <c r="BH151" i="6" s="1"/>
  <c r="BD213" i="6"/>
  <c r="BD35" i="6"/>
  <c r="BD31" i="6"/>
  <c r="L28" i="28"/>
  <c r="N11" i="11"/>
  <c r="O11" i="11" s="1"/>
  <c r="H86" i="28"/>
  <c r="I38" i="11"/>
  <c r="BO10" i="6" l="1"/>
  <c r="BQ16" i="6"/>
  <c r="AR28" i="6"/>
  <c r="AR40" i="6"/>
  <c r="AR29" i="6"/>
  <c r="G76" i="13"/>
  <c r="F44" i="11" s="1"/>
  <c r="G69" i="13"/>
  <c r="BM9" i="6"/>
  <c r="BO15" i="6"/>
  <c r="AQ25" i="8"/>
  <c r="AQ62" i="8" s="1"/>
  <c r="BD151" i="6"/>
  <c r="W23" i="11"/>
  <c r="X23" i="11" s="1"/>
  <c r="I179" i="40"/>
  <c r="H186" i="40"/>
  <c r="H187" i="40" s="1"/>
  <c r="H7" i="13"/>
  <c r="H4" i="13" s="1"/>
  <c r="G12" i="13"/>
  <c r="BL18" i="6"/>
  <c r="BJ10" i="6"/>
  <c r="BJ12" i="6" s="1"/>
  <c r="BJ13" i="6" s="1"/>
  <c r="BJ18" i="6"/>
  <c r="BK10" i="6"/>
  <c r="BK12" i="6" s="1"/>
  <c r="BK13" i="6" s="1"/>
  <c r="BK18" i="6"/>
  <c r="I12" i="31"/>
  <c r="D13" i="31" s="1"/>
  <c r="H13" i="31" s="1"/>
  <c r="BM18" i="6"/>
  <c r="BO18" i="6" s="1"/>
  <c r="BQ18" i="6" s="1"/>
  <c r="BM10" i="6"/>
  <c r="BM12" i="6" s="1"/>
  <c r="BM13" i="6" s="1"/>
  <c r="AD64" i="8"/>
  <c r="AD33" i="8"/>
  <c r="AD34" i="8"/>
  <c r="BL12" i="6"/>
  <c r="BL13" i="6" s="1"/>
  <c r="F24" i="36"/>
  <c r="F37" i="36" s="1"/>
  <c r="F25" i="36"/>
  <c r="F47" i="36" s="1"/>
  <c r="F53" i="36" s="1"/>
  <c r="Q17" i="8"/>
  <c r="Q20" i="8" s="1"/>
  <c r="P53" i="28"/>
  <c r="O8" i="11"/>
  <c r="L29" i="28"/>
  <c r="U15" i="11"/>
  <c r="R36" i="28"/>
  <c r="T33" i="28"/>
  <c r="W12" i="11"/>
  <c r="X12" i="11" s="1"/>
  <c r="Y12" i="11" s="1"/>
  <c r="Z12" i="11" s="1"/>
  <c r="T7" i="11"/>
  <c r="Q28" i="28"/>
  <c r="J184" i="31"/>
  <c r="J185" i="31"/>
  <c r="M16" i="35"/>
  <c r="M20" i="35"/>
  <c r="H19" i="36"/>
  <c r="H77" i="36"/>
  <c r="G19" i="36"/>
  <c r="G77" i="36"/>
  <c r="H234" i="31"/>
  <c r="G241" i="31"/>
  <c r="I204" i="31"/>
  <c r="H204" i="31"/>
  <c r="I183" i="31"/>
  <c r="L183" i="31" s="1"/>
  <c r="D131" i="31"/>
  <c r="H131" i="31" s="1"/>
  <c r="D132" i="31"/>
  <c r="D26" i="31"/>
  <c r="H25" i="31"/>
  <c r="H156" i="31"/>
  <c r="I156" i="31"/>
  <c r="D157" i="31" s="1"/>
  <c r="H87" i="31"/>
  <c r="I87" i="31"/>
  <c r="D88" i="31" s="1"/>
  <c r="D47" i="31"/>
  <c r="D48" i="31" s="1"/>
  <c r="P10" i="11"/>
  <c r="Q14" i="11"/>
  <c r="BT26" i="6"/>
  <c r="I9" i="36" s="1"/>
  <c r="BT35" i="6"/>
  <c r="BU32" i="6"/>
  <c r="BU26" i="6" s="1"/>
  <c r="J9" i="36" s="1"/>
  <c r="BV34" i="6"/>
  <c r="BT182" i="6"/>
  <c r="BS182" i="6"/>
  <c r="BT181" i="6"/>
  <c r="BS181" i="6"/>
  <c r="BT180" i="6"/>
  <c r="BS180" i="6"/>
  <c r="BT179" i="6"/>
  <c r="BS179" i="6"/>
  <c r="U26" i="7"/>
  <c r="V56" i="11"/>
  <c r="T70" i="28" s="1"/>
  <c r="U25" i="7"/>
  <c r="Y49" i="11"/>
  <c r="BR11" i="6"/>
  <c r="BS17" i="6"/>
  <c r="BU56" i="6"/>
  <c r="BA11" i="6"/>
  <c r="BA12" i="6" s="1"/>
  <c r="BA13" i="6" s="1"/>
  <c r="BE17" i="6"/>
  <c r="BA18" i="6"/>
  <c r="BW237" i="6"/>
  <c r="BX238" i="6"/>
  <c r="BF10" i="6"/>
  <c r="BF12" i="6" s="1"/>
  <c r="BF13" i="6" s="1"/>
  <c r="BF18" i="6"/>
  <c r="BG10" i="6"/>
  <c r="BG12" i="6" s="1"/>
  <c r="BG13" i="6" s="1"/>
  <c r="BG18" i="6"/>
  <c r="BH152" i="6"/>
  <c r="BH153" i="6" s="1"/>
  <c r="BS154" i="6"/>
  <c r="BS155" i="6" s="1"/>
  <c r="BS38" i="6"/>
  <c r="BS213" i="6"/>
  <c r="BS31" i="6"/>
  <c r="BV9" i="8"/>
  <c r="BX72" i="8"/>
  <c r="W33" i="7" s="1"/>
  <c r="BX44" i="8"/>
  <c r="D55" i="8"/>
  <c r="D20" i="8"/>
  <c r="AY28" i="6"/>
  <c r="AY29" i="6"/>
  <c r="O9" i="6"/>
  <c r="P15" i="6"/>
  <c r="AY152" i="6"/>
  <c r="M52" i="13"/>
  <c r="M54" i="13" s="1"/>
  <c r="BD12" i="6"/>
  <c r="BD13" i="6" s="1"/>
  <c r="AK52" i="8"/>
  <c r="BN16" i="6"/>
  <c r="BI10" i="6"/>
  <c r="AL169" i="6"/>
  <c r="AL20" i="8"/>
  <c r="AK20" i="8" s="1"/>
  <c r="AJ248" i="6"/>
  <c r="AJ169" i="6"/>
  <c r="AL248" i="6"/>
  <c r="AL55" i="8"/>
  <c r="AH248" i="6"/>
  <c r="K11" i="28"/>
  <c r="K108" i="28" s="1"/>
  <c r="AV87" i="6"/>
  <c r="AV88" i="6" s="1"/>
  <c r="AV22" i="6"/>
  <c r="I64" i="8"/>
  <c r="I33" i="8"/>
  <c r="I34" i="8"/>
  <c r="AP102" i="6"/>
  <c r="AP124" i="6" s="1"/>
  <c r="AA30" i="8"/>
  <c r="AA62" i="8"/>
  <c r="AA31" i="8"/>
  <c r="AA192" i="6"/>
  <c r="AP74" i="6"/>
  <c r="AP121" i="6" s="1"/>
  <c r="AP108" i="6"/>
  <c r="AP123" i="6" s="1"/>
  <c r="AP25" i="6"/>
  <c r="AP23" i="6"/>
  <c r="N55" i="8"/>
  <c r="N20" i="8"/>
  <c r="I42" i="7"/>
  <c r="X21" i="6"/>
  <c r="X13" i="6"/>
  <c r="X28" i="6" s="1"/>
  <c r="F12" i="26"/>
  <c r="F17" i="26"/>
  <c r="BN15" i="6"/>
  <c r="BI18" i="6"/>
  <c r="BI19" i="6" s="1"/>
  <c r="BI9" i="6"/>
  <c r="BI12" i="6" s="1"/>
  <c r="BI13" i="6" s="1"/>
  <c r="BI28" i="6" s="1"/>
  <c r="I10" i="6"/>
  <c r="I12" i="6" s="1"/>
  <c r="I18" i="6"/>
  <c r="J16" i="6"/>
  <c r="H21" i="6"/>
  <c r="C1" i="6"/>
  <c r="H13" i="6"/>
  <c r="H28" i="6" s="1"/>
  <c r="H39" i="6"/>
  <c r="H159" i="6"/>
  <c r="H38" i="6"/>
  <c r="M38" i="6"/>
  <c r="H59" i="6"/>
  <c r="E17" i="8"/>
  <c r="E52" i="8"/>
  <c r="M35" i="28"/>
  <c r="I21" i="28"/>
  <c r="AB40" i="8"/>
  <c r="AB38" i="8"/>
  <c r="AN71" i="6"/>
  <c r="AO70" i="6"/>
  <c r="AN72" i="6"/>
  <c r="G55" i="8"/>
  <c r="G20" i="8"/>
  <c r="Y34" i="8"/>
  <c r="Y33" i="8"/>
  <c r="Y31" i="8"/>
  <c r="Y64" i="8"/>
  <c r="AK89" i="6"/>
  <c r="AK90" i="6" s="1"/>
  <c r="H69" i="13"/>
  <c r="I65" i="13"/>
  <c r="I67" i="13" s="1"/>
  <c r="H76" i="13"/>
  <c r="G44" i="11" s="1"/>
  <c r="O25" i="8"/>
  <c r="O57" i="8"/>
  <c r="O22" i="8"/>
  <c r="AO25" i="8"/>
  <c r="AO57" i="8"/>
  <c r="N35" i="28"/>
  <c r="C22" i="8"/>
  <c r="C25" i="8"/>
  <c r="C57" i="8"/>
  <c r="M10" i="6"/>
  <c r="M12" i="6" s="1"/>
  <c r="M18" i="6"/>
  <c r="N16" i="6"/>
  <c r="J55" i="8"/>
  <c r="J20" i="8"/>
  <c r="F55" i="8"/>
  <c r="F20" i="8"/>
  <c r="I3" i="28"/>
  <c r="AO76" i="6"/>
  <c r="AN76" i="6"/>
  <c r="AN108" i="6"/>
  <c r="AN87" i="6"/>
  <c r="AN88" i="6" s="1"/>
  <c r="AN89" i="6" s="1"/>
  <c r="AN90" i="6" s="1"/>
  <c r="AN21" i="6"/>
  <c r="AN22" i="6"/>
  <c r="K51" i="8"/>
  <c r="K14" i="8"/>
  <c r="L13" i="8"/>
  <c r="G39" i="7"/>
  <c r="H70" i="8"/>
  <c r="H76" i="8" s="1"/>
  <c r="H64" i="8"/>
  <c r="H41" i="8"/>
  <c r="H42" i="8" s="1"/>
  <c r="H34" i="8"/>
  <c r="H33" i="8"/>
  <c r="AD156" i="6"/>
  <c r="AE151" i="6"/>
  <c r="AE153" i="6" s="1"/>
  <c r="AE155" i="6" s="1"/>
  <c r="AT107" i="6"/>
  <c r="AY107" i="6" s="1"/>
  <c r="AT70" i="6"/>
  <c r="AT71" i="6" s="1"/>
  <c r="AT25" i="6"/>
  <c r="AT75" i="6"/>
  <c r="AT103" i="6"/>
  <c r="N44" i="13"/>
  <c r="O39" i="13" s="1"/>
  <c r="O42" i="13" s="1"/>
  <c r="N46" i="13"/>
  <c r="K236" i="6"/>
  <c r="P230" i="6"/>
  <c r="O236" i="6"/>
  <c r="O239" i="6" s="1"/>
  <c r="O240" i="6" s="1"/>
  <c r="AB230" i="6"/>
  <c r="W236" i="6"/>
  <c r="W239" i="6" s="1"/>
  <c r="BR179" i="6"/>
  <c r="BR186" i="6" s="1"/>
  <c r="J240" i="6"/>
  <c r="O10" i="11"/>
  <c r="O36" i="7"/>
  <c r="C217" i="31"/>
  <c r="C225" i="31"/>
  <c r="L172" i="31"/>
  <c r="BU9" i="8"/>
  <c r="BR99" i="6"/>
  <c r="BR7" i="6"/>
  <c r="BN45" i="6"/>
  <c r="BN85" i="6"/>
  <c r="L14" i="28"/>
  <c r="L115" i="28" s="1"/>
  <c r="AS26" i="6"/>
  <c r="AS25" i="6" s="1"/>
  <c r="AS153" i="6"/>
  <c r="AR246" i="6"/>
  <c r="AR23" i="6"/>
  <c r="AR108" i="6"/>
  <c r="AR123" i="6" s="1"/>
  <c r="F46" i="11"/>
  <c r="N10" i="11"/>
  <c r="L32" i="28"/>
  <c r="L31" i="28" s="1"/>
  <c r="M28" i="28"/>
  <c r="N6" i="7"/>
  <c r="N18" i="7" s="1"/>
  <c r="BD152" i="6"/>
  <c r="BD153" i="6" s="1"/>
  <c r="BI151" i="6"/>
  <c r="BI154" i="6"/>
  <c r="BI155" i="6" s="1"/>
  <c r="BM151" i="6" s="1"/>
  <c r="BI213" i="6"/>
  <c r="BI38" i="6"/>
  <c r="BI35" i="6"/>
  <c r="BI31" i="6"/>
  <c r="AT93" i="6"/>
  <c r="AT246" i="6"/>
  <c r="AT23" i="6"/>
  <c r="J31" i="7"/>
  <c r="H40" i="28"/>
  <c r="J24" i="11"/>
  <c r="N36" i="7"/>
  <c r="N38" i="7" s="1"/>
  <c r="BO9" i="6" l="1"/>
  <c r="BO12" i="6" s="1"/>
  <c r="BO13" i="6" s="1"/>
  <c r="BQ15" i="6"/>
  <c r="W32" i="7"/>
  <c r="AQ35" i="8"/>
  <c r="AQ31" i="8"/>
  <c r="AQ34" i="8" s="1"/>
  <c r="AQ48" i="8"/>
  <c r="AQ30" i="8"/>
  <c r="L20" i="28" s="1"/>
  <c r="H6" i="13"/>
  <c r="J132" i="40"/>
  <c r="J131" i="40"/>
  <c r="L131" i="40"/>
  <c r="K131" i="40"/>
  <c r="K132" i="40"/>
  <c r="L132" i="40"/>
  <c r="N52" i="13"/>
  <c r="N54" i="13" s="1"/>
  <c r="J179" i="40"/>
  <c r="I13" i="31"/>
  <c r="H10" i="13"/>
  <c r="BT186" i="6"/>
  <c r="BS186" i="6"/>
  <c r="D184" i="31"/>
  <c r="I184" i="31" s="1"/>
  <c r="L184" i="31" s="1"/>
  <c r="G24" i="36"/>
  <c r="G37" i="36" s="1"/>
  <c r="G36" i="36" s="1"/>
  <c r="G25" i="36"/>
  <c r="G47" i="36" s="1"/>
  <c r="G53" i="36" s="1"/>
  <c r="H24" i="36"/>
  <c r="H37" i="36" s="1"/>
  <c r="H25" i="36"/>
  <c r="H47" i="36" s="1"/>
  <c r="H53" i="36" s="1"/>
  <c r="F42" i="36"/>
  <c r="F44" i="36" s="1"/>
  <c r="F76" i="36" s="1"/>
  <c r="F78" i="36" s="1"/>
  <c r="F36" i="36"/>
  <c r="F38" i="36"/>
  <c r="BM152" i="6"/>
  <c r="BM153" i="6" s="1"/>
  <c r="Q55" i="8"/>
  <c r="U7" i="11"/>
  <c r="R28" i="28"/>
  <c r="V15" i="11"/>
  <c r="S36" i="28"/>
  <c r="P8" i="11"/>
  <c r="M29" i="28"/>
  <c r="Q53" i="28"/>
  <c r="T34" i="11"/>
  <c r="S89" i="11"/>
  <c r="BS7" i="6"/>
  <c r="J186" i="31"/>
  <c r="J187" i="31"/>
  <c r="N16" i="35"/>
  <c r="N20" i="35"/>
  <c r="J11" i="36"/>
  <c r="I11" i="36"/>
  <c r="I234" i="31"/>
  <c r="G242" i="31"/>
  <c r="D205" i="31"/>
  <c r="H132" i="31"/>
  <c r="I132" i="31"/>
  <c r="D133" i="31" s="1"/>
  <c r="H26" i="31"/>
  <c r="I26" i="31"/>
  <c r="D27" i="31" s="1"/>
  <c r="I157" i="31"/>
  <c r="D158" i="31" s="1"/>
  <c r="H157" i="31"/>
  <c r="I48" i="31"/>
  <c r="D49" i="31" s="1"/>
  <c r="H48" i="31"/>
  <c r="I88" i="31"/>
  <c r="D89" i="31" s="1"/>
  <c r="H88" i="31"/>
  <c r="R14" i="11"/>
  <c r="S14" i="11" s="1"/>
  <c r="BV32" i="6"/>
  <c r="BW34" i="6"/>
  <c r="BU35" i="6"/>
  <c r="V26" i="7"/>
  <c r="W56" i="11"/>
  <c r="V25" i="7"/>
  <c r="Z49" i="11"/>
  <c r="X32" i="7"/>
  <c r="Y23" i="11"/>
  <c r="AA12" i="11"/>
  <c r="BX237" i="6"/>
  <c r="BY238" i="6"/>
  <c r="BV56" i="6"/>
  <c r="BR97" i="6"/>
  <c r="BR120" i="6" s="1"/>
  <c r="BS99" i="6"/>
  <c r="BN75" i="6"/>
  <c r="BR75" i="6" s="1"/>
  <c r="BS75" i="6" s="1"/>
  <c r="BT75" i="6" s="1"/>
  <c r="BU75" i="6" s="1"/>
  <c r="BV75" i="6" s="1"/>
  <c r="BW75" i="6" s="1"/>
  <c r="BX75" i="6" s="1"/>
  <c r="BY75" i="6" s="1"/>
  <c r="BZ75" i="6" s="1"/>
  <c r="CA75" i="6" s="1"/>
  <c r="CB75" i="6" s="1"/>
  <c r="BE11" i="6"/>
  <c r="BE12" i="6" s="1"/>
  <c r="BE13" i="6" s="1"/>
  <c r="BE18" i="6"/>
  <c r="BS11" i="6"/>
  <c r="BT17" i="6"/>
  <c r="BI40" i="6"/>
  <c r="BE108" i="6"/>
  <c r="BT154" i="6"/>
  <c r="BT155" i="6" s="1"/>
  <c r="BT38" i="6"/>
  <c r="BT213" i="6"/>
  <c r="BT31" i="6"/>
  <c r="BT151" i="6"/>
  <c r="BS152" i="6"/>
  <c r="BW9" i="8"/>
  <c r="BY44" i="8"/>
  <c r="BY72" i="8"/>
  <c r="X33" i="7" s="1"/>
  <c r="D22" i="8"/>
  <c r="D57" i="8"/>
  <c r="D25" i="8"/>
  <c r="BI29" i="6"/>
  <c r="D33" i="38" s="1"/>
  <c r="BD28" i="6"/>
  <c r="BD29" i="6"/>
  <c r="C33" i="38" s="1"/>
  <c r="BD40" i="6"/>
  <c r="AY26" i="6"/>
  <c r="AY153" i="6"/>
  <c r="Q15" i="6"/>
  <c r="Q9" i="6" s="1"/>
  <c r="P9" i="6"/>
  <c r="R15" i="6"/>
  <c r="R9" i="6" s="1"/>
  <c r="K14" i="28"/>
  <c r="K115" i="28" s="1"/>
  <c r="AL22" i="8"/>
  <c r="AK22" i="8" s="1"/>
  <c r="AL25" i="8"/>
  <c r="AK25" i="8" s="1"/>
  <c r="AK57" i="8"/>
  <c r="AL57" i="8"/>
  <c r="AK55" i="8"/>
  <c r="BR16" i="6"/>
  <c r="BN10" i="6"/>
  <c r="AZ107" i="6"/>
  <c r="AT108" i="6"/>
  <c r="AP21" i="6"/>
  <c r="AP87" i="6"/>
  <c r="AP88" i="6" s="1"/>
  <c r="AP22" i="6"/>
  <c r="AA64" i="8"/>
  <c r="AA33" i="8"/>
  <c r="AA34" i="8"/>
  <c r="N25" i="8"/>
  <c r="N57" i="8"/>
  <c r="N22" i="8"/>
  <c r="AF151" i="6"/>
  <c r="AE156" i="6"/>
  <c r="L51" i="8"/>
  <c r="M13" i="8"/>
  <c r="N10" i="6"/>
  <c r="N12" i="6" s="1"/>
  <c r="O16" i="6"/>
  <c r="N18" i="6"/>
  <c r="M13" i="6"/>
  <c r="M28" i="6" s="1"/>
  <c r="M21" i="6"/>
  <c r="M39" i="6"/>
  <c r="C30" i="8"/>
  <c r="C48" i="8"/>
  <c r="C62" i="8"/>
  <c r="O30" i="8"/>
  <c r="O48" i="8"/>
  <c r="O62" i="8"/>
  <c r="AO71" i="6"/>
  <c r="AP70" i="6"/>
  <c r="AO72" i="6"/>
  <c r="M164" i="6"/>
  <c r="H164" i="6"/>
  <c r="K16" i="6"/>
  <c r="J10" i="6"/>
  <c r="J12" i="6" s="1"/>
  <c r="J18" i="6"/>
  <c r="I21" i="6"/>
  <c r="I13" i="6"/>
  <c r="I39" i="6"/>
  <c r="M69" i="8"/>
  <c r="G16" i="11"/>
  <c r="G42" i="7"/>
  <c r="K52" i="8"/>
  <c r="K17" i="8"/>
  <c r="L14" i="8"/>
  <c r="L52" i="8" s="1"/>
  <c r="F25" i="8"/>
  <c r="F57" i="8"/>
  <c r="F22" i="8"/>
  <c r="J25" i="8"/>
  <c r="J22" i="8"/>
  <c r="J57" i="8"/>
  <c r="AO62" i="8"/>
  <c r="AO35" i="8"/>
  <c r="AO48" i="8"/>
  <c r="AO30" i="8"/>
  <c r="AO31" i="8"/>
  <c r="AO34" i="8" s="1"/>
  <c r="J65" i="13"/>
  <c r="J67" i="13" s="1"/>
  <c r="I76" i="13"/>
  <c r="I69" i="13"/>
  <c r="G22" i="8"/>
  <c r="G25" i="8"/>
  <c r="G57" i="8"/>
  <c r="O35" i="28"/>
  <c r="E55" i="8"/>
  <c r="E20" i="8"/>
  <c r="H60" i="6"/>
  <c r="Q22" i="8"/>
  <c r="Q25" i="8"/>
  <c r="Q57" i="8"/>
  <c r="BR15" i="6"/>
  <c r="BS15" i="6" s="1"/>
  <c r="BN9" i="6"/>
  <c r="BN18" i="6"/>
  <c r="BN19" i="6" s="1"/>
  <c r="AG230" i="6"/>
  <c r="AB236" i="6"/>
  <c r="AB239" i="6" s="1"/>
  <c r="P236" i="6"/>
  <c r="P239" i="6" s="1"/>
  <c r="Q230" i="6"/>
  <c r="Q236" i="6" s="1"/>
  <c r="Q239" i="6" s="1"/>
  <c r="O44" i="13"/>
  <c r="P39" i="13" s="1"/>
  <c r="P42" i="13" s="1"/>
  <c r="P44" i="13" s="1"/>
  <c r="O46" i="13"/>
  <c r="O48" i="13" s="1"/>
  <c r="O50" i="13" s="1"/>
  <c r="M57" i="13"/>
  <c r="N56" i="13"/>
  <c r="C222" i="31"/>
  <c r="C224" i="31"/>
  <c r="C226" i="31" s="1"/>
  <c r="L16" i="28"/>
  <c r="L109" i="28" s="1"/>
  <c r="L18" i="28"/>
  <c r="BR85" i="6"/>
  <c r="BR45" i="6"/>
  <c r="BU11" i="8" s="1"/>
  <c r="AS246" i="6"/>
  <c r="AS23" i="6"/>
  <c r="AS108" i="6"/>
  <c r="AS123" i="6" s="1"/>
  <c r="AR87" i="6"/>
  <c r="AR88" i="6" s="1"/>
  <c r="AR22" i="6"/>
  <c r="AR21" i="6" s="1"/>
  <c r="AR239" i="6"/>
  <c r="F60" i="11"/>
  <c r="L98" i="28"/>
  <c r="O34" i="7"/>
  <c r="M12" i="28"/>
  <c r="BD108" i="6"/>
  <c r="J38" i="11"/>
  <c r="H44" i="28"/>
  <c r="H57" i="28" s="1"/>
  <c r="J38" i="7"/>
  <c r="J49" i="7"/>
  <c r="AT87" i="6"/>
  <c r="AT88" i="6" s="1"/>
  <c r="AT22" i="6"/>
  <c r="AT21" i="6" s="1"/>
  <c r="BI152" i="6"/>
  <c r="BI153" i="6" s="1"/>
  <c r="BN151" i="6"/>
  <c r="BN154" i="6"/>
  <c r="BN155" i="6" s="1"/>
  <c r="BN213" i="6"/>
  <c r="BN38" i="6"/>
  <c r="BN31" i="6"/>
  <c r="BD23" i="6"/>
  <c r="BD93" i="6"/>
  <c r="BD71" i="6"/>
  <c r="N23" i="7"/>
  <c r="N28" i="28"/>
  <c r="M32" i="28"/>
  <c r="M31" i="28" s="1"/>
  <c r="H184" i="31" l="1"/>
  <c r="K184" i="31" s="1"/>
  <c r="AQ33" i="8"/>
  <c r="AQ47" i="8" s="1"/>
  <c r="BR151" i="6"/>
  <c r="BR152" i="6" s="1"/>
  <c r="BO151" i="6"/>
  <c r="AQ41" i="8"/>
  <c r="AQ42" i="8" s="1"/>
  <c r="AQ77" i="8"/>
  <c r="AQ64" i="8"/>
  <c r="H162" i="40"/>
  <c r="H170" i="40"/>
  <c r="H171" i="40" s="1"/>
  <c r="I169" i="40" s="1"/>
  <c r="BS85" i="6"/>
  <c r="J134" i="40"/>
  <c r="J133" i="40"/>
  <c r="K133" i="40"/>
  <c r="I162" i="40" s="1"/>
  <c r="L133" i="40"/>
  <c r="K134" i="40"/>
  <c r="L134" i="40"/>
  <c r="K179" i="40"/>
  <c r="K186" i="40" s="1"/>
  <c r="K187" i="40" s="1"/>
  <c r="H12" i="13"/>
  <c r="I7" i="13"/>
  <c r="H20" i="13"/>
  <c r="G43" i="11" s="1"/>
  <c r="G46" i="11" s="1"/>
  <c r="G60" i="11" s="1"/>
  <c r="BT7" i="6"/>
  <c r="BN12" i="6"/>
  <c r="BN13" i="6" s="1"/>
  <c r="BN28" i="6" s="1"/>
  <c r="F55" i="36"/>
  <c r="BN246" i="6" s="1"/>
  <c r="BN244" i="6" s="1"/>
  <c r="BN245" i="6" s="1"/>
  <c r="H36" i="36"/>
  <c r="H38" i="36"/>
  <c r="H42" i="36"/>
  <c r="H44" i="36" s="1"/>
  <c r="H76" i="36" s="1"/>
  <c r="H78" i="36" s="1"/>
  <c r="G38" i="36"/>
  <c r="G42" i="36"/>
  <c r="G44" i="36" s="1"/>
  <c r="H45" i="36" s="1"/>
  <c r="I45" i="36" s="1"/>
  <c r="J45" i="36" s="1"/>
  <c r="BK107" i="6"/>
  <c r="BJ108" i="6"/>
  <c r="BS45" i="6"/>
  <c r="BV11" i="8" s="1"/>
  <c r="L110" i="28"/>
  <c r="R53" i="28"/>
  <c r="T89" i="11"/>
  <c r="U34" i="11"/>
  <c r="AY108" i="6"/>
  <c r="AY70" i="6"/>
  <c r="AY71" i="6" s="1"/>
  <c r="AY75" i="6"/>
  <c r="Q8" i="11"/>
  <c r="N29" i="28"/>
  <c r="W15" i="11"/>
  <c r="X15" i="11" s="1"/>
  <c r="Y15" i="11" s="1"/>
  <c r="Z15" i="11" s="1"/>
  <c r="AA15" i="11" s="1"/>
  <c r="AB15" i="11" s="1"/>
  <c r="AC15" i="11" s="1"/>
  <c r="AD15" i="11" s="1"/>
  <c r="T36" i="28"/>
  <c r="V7" i="11"/>
  <c r="S28" i="28"/>
  <c r="P35" i="28"/>
  <c r="P47" i="28"/>
  <c r="G226" i="31"/>
  <c r="J188" i="31"/>
  <c r="J189" i="31"/>
  <c r="O16" i="35"/>
  <c r="O20" i="35"/>
  <c r="I19" i="36"/>
  <c r="I77" i="36"/>
  <c r="J19" i="36"/>
  <c r="J77" i="36"/>
  <c r="J234" i="31"/>
  <c r="I205" i="31"/>
  <c r="H205" i="31"/>
  <c r="D185" i="31"/>
  <c r="I133" i="31"/>
  <c r="D134" i="31" s="1"/>
  <c r="H133" i="31"/>
  <c r="I158" i="31"/>
  <c r="D159" i="31" s="1"/>
  <c r="H158" i="31"/>
  <c r="I27" i="31"/>
  <c r="D28" i="31" s="1"/>
  <c r="H27" i="31"/>
  <c r="H89" i="31"/>
  <c r="I89" i="31"/>
  <c r="D90" i="31" s="1"/>
  <c r="I49" i="31"/>
  <c r="D50" i="31" s="1"/>
  <c r="H49" i="31"/>
  <c r="BV26" i="6"/>
  <c r="K9" i="36" s="1"/>
  <c r="BV35" i="6"/>
  <c r="BW32" i="6"/>
  <c r="BW26" i="6" s="1"/>
  <c r="L9" i="36" s="1"/>
  <c r="BX34" i="6"/>
  <c r="W26" i="7"/>
  <c r="X56" i="11"/>
  <c r="W25" i="7"/>
  <c r="AA49" i="11"/>
  <c r="Y32" i="7"/>
  <c r="Z23" i="11"/>
  <c r="AB12" i="11"/>
  <c r="BS9" i="6"/>
  <c r="BT15" i="6"/>
  <c r="BR10" i="6"/>
  <c r="BS16" i="6"/>
  <c r="BU17" i="6"/>
  <c r="BT11" i="6"/>
  <c r="BS97" i="6"/>
  <c r="BS120" i="6" s="1"/>
  <c r="BT99" i="6"/>
  <c r="BW56" i="6"/>
  <c r="BY237" i="6"/>
  <c r="BZ238" i="6"/>
  <c r="BF108" i="6"/>
  <c r="BS153" i="6"/>
  <c r="BU151" i="6"/>
  <c r="BT152" i="6"/>
  <c r="BU154" i="6"/>
  <c r="BU155" i="6" s="1"/>
  <c r="BU38" i="6"/>
  <c r="BU213" i="6"/>
  <c r="BU31" i="6"/>
  <c r="BX9" i="8"/>
  <c r="BZ72" i="8"/>
  <c r="Y33" i="7" s="1"/>
  <c r="BZ44" i="8"/>
  <c r="D30" i="8"/>
  <c r="D62" i="8"/>
  <c r="D48" i="8"/>
  <c r="C6" i="7"/>
  <c r="C18" i="7" s="1"/>
  <c r="C23" i="7" s="1"/>
  <c r="C39" i="7" s="1"/>
  <c r="C42" i="7" s="1"/>
  <c r="C43" i="7" s="1"/>
  <c r="C45" i="7" s="1"/>
  <c r="L174" i="31"/>
  <c r="BN40" i="6"/>
  <c r="AY23" i="6"/>
  <c r="AY93" i="6"/>
  <c r="AY25" i="6"/>
  <c r="AY246" i="6"/>
  <c r="K18" i="28"/>
  <c r="K16" i="28"/>
  <c r="K109" i="28" s="1"/>
  <c r="AL31" i="8"/>
  <c r="AK31" i="8" s="1"/>
  <c r="AL30" i="8"/>
  <c r="AK30" i="8" s="1"/>
  <c r="AJ198" i="6"/>
  <c r="M6" i="7"/>
  <c r="M18" i="7" s="1"/>
  <c r="N48" i="13"/>
  <c r="AL192" i="6"/>
  <c r="AL48" i="8"/>
  <c r="AJ197" i="6"/>
  <c r="AL62" i="8"/>
  <c r="AL59" i="8"/>
  <c r="AK59" i="8"/>
  <c r="BA70" i="6"/>
  <c r="AZ71" i="6"/>
  <c r="AZ108" i="6"/>
  <c r="BA107" i="6"/>
  <c r="AP122" i="6"/>
  <c r="AP89" i="6"/>
  <c r="AP90" i="6" s="1"/>
  <c r="N30" i="8"/>
  <c r="N62" i="8"/>
  <c r="N48" i="8"/>
  <c r="BR9" i="6"/>
  <c r="BR18" i="6"/>
  <c r="BR19" i="6" s="1"/>
  <c r="Q30" i="8"/>
  <c r="Q62" i="8"/>
  <c r="E57" i="8"/>
  <c r="E22" i="8"/>
  <c r="E25" i="8"/>
  <c r="K20" i="8"/>
  <c r="K55" i="8"/>
  <c r="L17" i="8"/>
  <c r="G17" i="11"/>
  <c r="J21" i="6"/>
  <c r="J13" i="6"/>
  <c r="J39" i="6"/>
  <c r="O33" i="8"/>
  <c r="O40" i="8" s="1"/>
  <c r="O34" i="8"/>
  <c r="O64" i="8"/>
  <c r="O41" i="8"/>
  <c r="O42" i="8" s="1"/>
  <c r="O77" i="8"/>
  <c r="N13" i="6"/>
  <c r="N28" i="6" s="1"/>
  <c r="N21" i="6"/>
  <c r="N39" i="6"/>
  <c r="AF152" i="6"/>
  <c r="AF26" i="6" s="1"/>
  <c r="F6" i="7"/>
  <c r="F18" i="7" s="1"/>
  <c r="F23" i="7" s="1"/>
  <c r="G62" i="8"/>
  <c r="G30" i="8"/>
  <c r="G48" i="8"/>
  <c r="J69" i="13"/>
  <c r="K65" i="13"/>
  <c r="K67" i="13" s="1"/>
  <c r="J76" i="13"/>
  <c r="AO33" i="8"/>
  <c r="AO40" i="8" s="1"/>
  <c r="AO41" i="8"/>
  <c r="AO42" i="8" s="1"/>
  <c r="AO70" i="8"/>
  <c r="AO76" i="8" s="1"/>
  <c r="AO64" i="8"/>
  <c r="AO77" i="8"/>
  <c r="J48" i="8"/>
  <c r="J62" i="8"/>
  <c r="J30" i="8"/>
  <c r="F30" i="8"/>
  <c r="E6" i="7"/>
  <c r="E18" i="7" s="1"/>
  <c r="E23" i="7" s="1"/>
  <c r="F62" i="8"/>
  <c r="F48" i="8"/>
  <c r="K10" i="6"/>
  <c r="K12" i="6" s="1"/>
  <c r="K18" i="6"/>
  <c r="AR70" i="6"/>
  <c r="AR71" i="6" s="1"/>
  <c r="AR119" i="6" s="1"/>
  <c r="AP71" i="6"/>
  <c r="AP119" i="6" s="1"/>
  <c r="AP72" i="6"/>
  <c r="AS70" i="6"/>
  <c r="AS71" i="6" s="1"/>
  <c r="AS119" i="6" s="1"/>
  <c r="C33" i="8"/>
  <c r="C34" i="8"/>
  <c r="C70" i="8"/>
  <c r="C76" i="8" s="1"/>
  <c r="D69" i="8" s="1"/>
  <c r="C64" i="8"/>
  <c r="P16" i="6"/>
  <c r="O10" i="6"/>
  <c r="O12" i="6" s="1"/>
  <c r="O18" i="6"/>
  <c r="H95" i="11"/>
  <c r="M51" i="8"/>
  <c r="M14" i="8"/>
  <c r="Q39" i="13"/>
  <c r="Q42" i="13" s="1"/>
  <c r="Q44" i="13" s="1"/>
  <c r="R39" i="13" s="1"/>
  <c r="R42" i="13" s="1"/>
  <c r="R44" i="13" s="1"/>
  <c r="S39" i="13" s="1"/>
  <c r="S42" i="13" s="1"/>
  <c r="S44" i="13" s="1"/>
  <c r="T39" i="13" s="1"/>
  <c r="Q122" i="6"/>
  <c r="Q240" i="6"/>
  <c r="P240" i="6"/>
  <c r="P122" i="6"/>
  <c r="AG236" i="6"/>
  <c r="AG239" i="6" s="1"/>
  <c r="AL230" i="6"/>
  <c r="N57" i="13"/>
  <c r="O56" i="13"/>
  <c r="C230" i="31"/>
  <c r="O52" i="13"/>
  <c r="O54" i="13" s="1"/>
  <c r="O38" i="7"/>
  <c r="M98" i="28" s="1"/>
  <c r="AS87" i="6"/>
  <c r="AS88" i="6" s="1"/>
  <c r="AS22" i="6"/>
  <c r="AS21" i="6" s="1"/>
  <c r="AS239" i="6"/>
  <c r="AR122" i="6"/>
  <c r="AR89" i="6"/>
  <c r="AR90" i="6" s="1"/>
  <c r="Q11" i="11"/>
  <c r="Q10" i="11" s="1"/>
  <c r="N32" i="28"/>
  <c r="N31" i="28" s="1"/>
  <c r="O28" i="28"/>
  <c r="V116" i="28" s="1"/>
  <c r="N39" i="7"/>
  <c r="L86" i="28"/>
  <c r="L99" i="28" s="1"/>
  <c r="BD87" i="6"/>
  <c r="BD88" i="6" s="1"/>
  <c r="BD22" i="6"/>
  <c r="BD21" i="6" s="1"/>
  <c r="BN152" i="6"/>
  <c r="BI25" i="6"/>
  <c r="BI93" i="6"/>
  <c r="BI23" i="6"/>
  <c r="AT89" i="6"/>
  <c r="AT90" i="6" s="1"/>
  <c r="H98" i="28"/>
  <c r="H99" i="28" s="1"/>
  <c r="J39" i="7"/>
  <c r="K31" i="7"/>
  <c r="I40" i="28"/>
  <c r="K24" i="11"/>
  <c r="L31" i="7"/>
  <c r="BI108" i="6"/>
  <c r="BO152" i="6" l="1"/>
  <c r="BO153" i="6"/>
  <c r="AQ40" i="8"/>
  <c r="L21" i="28"/>
  <c r="D70" i="8"/>
  <c r="D76" i="8" s="1"/>
  <c r="I69" i="8" s="1"/>
  <c r="I70" i="8" s="1"/>
  <c r="I76" i="8" s="1"/>
  <c r="I170" i="40"/>
  <c r="I171" i="40" s="1"/>
  <c r="J169" i="40" s="1"/>
  <c r="BN29" i="6"/>
  <c r="E33" i="38" s="1"/>
  <c r="P16" i="35"/>
  <c r="J135" i="40"/>
  <c r="J136" i="40"/>
  <c r="K135" i="40"/>
  <c r="L135" i="40"/>
  <c r="L136" i="40"/>
  <c r="K136" i="40"/>
  <c r="H167" i="40"/>
  <c r="H175" i="40"/>
  <c r="H182" i="40"/>
  <c r="I182" i="40"/>
  <c r="I167" i="40"/>
  <c r="I186" i="40"/>
  <c r="I187" i="40" s="1"/>
  <c r="J162" i="40"/>
  <c r="J190" i="31"/>
  <c r="I10" i="13"/>
  <c r="I6" i="13"/>
  <c r="I4" i="13"/>
  <c r="BR244" i="6"/>
  <c r="BS244" i="6" s="1"/>
  <c r="BT244" i="6" s="1"/>
  <c r="BU244" i="6" s="1"/>
  <c r="BV244" i="6" s="1"/>
  <c r="BW244" i="6" s="1"/>
  <c r="BX244" i="6" s="1"/>
  <c r="BY244" i="6" s="1"/>
  <c r="BZ244" i="6" s="1"/>
  <c r="CA244" i="6" s="1"/>
  <c r="CB244" i="6" s="1"/>
  <c r="AP129" i="6"/>
  <c r="AP134" i="6" s="1"/>
  <c r="AP144" i="6" s="1"/>
  <c r="P20" i="35"/>
  <c r="BT85" i="6"/>
  <c r="BU7" i="6"/>
  <c r="BV7" i="6" s="1"/>
  <c r="J191" i="31"/>
  <c r="BT45" i="6"/>
  <c r="BW11" i="8" s="1"/>
  <c r="I225" i="31"/>
  <c r="T28" i="11" s="1"/>
  <c r="R47" i="28" s="1"/>
  <c r="H55" i="36"/>
  <c r="BS121" i="6" s="1"/>
  <c r="BR12" i="6"/>
  <c r="BR13" i="6" s="1"/>
  <c r="BR28" i="6" s="1"/>
  <c r="J24" i="36"/>
  <c r="J37" i="36" s="1"/>
  <c r="J25" i="36"/>
  <c r="J47" i="36" s="1"/>
  <c r="J53" i="36" s="1"/>
  <c r="I25" i="36"/>
  <c r="I47" i="36" s="1"/>
  <c r="I53" i="36" s="1"/>
  <c r="I24" i="36"/>
  <c r="I37" i="36" s="1"/>
  <c r="G55" i="36"/>
  <c r="BR121" i="6" s="1"/>
  <c r="G76" i="36"/>
  <c r="G78" i="36" s="1"/>
  <c r="BN70" i="6"/>
  <c r="BR70" i="6" s="1"/>
  <c r="BS70" i="6" s="1"/>
  <c r="BT70" i="6" s="1"/>
  <c r="BT71" i="6" s="1"/>
  <c r="BT119" i="6" s="1"/>
  <c r="BL107" i="6"/>
  <c r="BK108" i="6"/>
  <c r="W20" i="11"/>
  <c r="W7" i="11"/>
  <c r="X7" i="11" s="1"/>
  <c r="Y7" i="11" s="1"/>
  <c r="Z7" i="11" s="1"/>
  <c r="AA7" i="11" s="1"/>
  <c r="AB7" i="11" s="1"/>
  <c r="AC7" i="11" s="1"/>
  <c r="AD7" i="11" s="1"/>
  <c r="T28" i="28"/>
  <c r="R8" i="11"/>
  <c r="O29" i="28"/>
  <c r="S53" i="28"/>
  <c r="U89" i="11"/>
  <c r="V34" i="11"/>
  <c r="T14" i="11"/>
  <c r="Q35" i="28"/>
  <c r="H224" i="31"/>
  <c r="L11" i="36"/>
  <c r="K11" i="36"/>
  <c r="BI71" i="6"/>
  <c r="BI116" i="6" s="1"/>
  <c r="K234" i="31"/>
  <c r="K241" i="31" s="1"/>
  <c r="Y38" i="7"/>
  <c r="D206" i="31"/>
  <c r="H185" i="31"/>
  <c r="K185" i="31" s="1"/>
  <c r="I185" i="31"/>
  <c r="L185" i="31" s="1"/>
  <c r="I134" i="31"/>
  <c r="D135" i="31" s="1"/>
  <c r="H134" i="31"/>
  <c r="I159" i="31"/>
  <c r="D160" i="31" s="1"/>
  <c r="H159" i="31"/>
  <c r="I28" i="31"/>
  <c r="D29" i="31" s="1"/>
  <c r="H28" i="31"/>
  <c r="I50" i="31"/>
  <c r="D51" i="31" s="1"/>
  <c r="H50" i="31"/>
  <c r="I90" i="31"/>
  <c r="D91" i="31" s="1"/>
  <c r="H90" i="31"/>
  <c r="BX32" i="6"/>
  <c r="BY34" i="6"/>
  <c r="BW35" i="6"/>
  <c r="Y26" i="7"/>
  <c r="X26" i="7"/>
  <c r="Y56" i="11"/>
  <c r="X25" i="7"/>
  <c r="AB49" i="11"/>
  <c r="Z32" i="7"/>
  <c r="AA23" i="11"/>
  <c r="AC12" i="11"/>
  <c r="BZ237" i="6"/>
  <c r="CA238" i="6"/>
  <c r="BT97" i="6"/>
  <c r="BT120" i="6" s="1"/>
  <c r="BU99" i="6"/>
  <c r="BT16" i="6"/>
  <c r="BT18" i="6" s="1"/>
  <c r="BT19" i="6" s="1"/>
  <c r="BS10" i="6"/>
  <c r="BS12" i="6" s="1"/>
  <c r="BS13" i="6" s="1"/>
  <c r="BU15" i="6"/>
  <c r="BT9" i="6"/>
  <c r="BS18" i="6"/>
  <c r="BS19" i="6" s="1"/>
  <c r="BX56" i="6"/>
  <c r="BV17" i="6"/>
  <c r="BU11" i="6"/>
  <c r="BH108" i="6"/>
  <c r="BG108" i="6"/>
  <c r="BE71" i="6"/>
  <c r="BT153" i="6"/>
  <c r="BN153" i="6"/>
  <c r="BV154" i="6"/>
  <c r="BV155" i="6" s="1"/>
  <c r="BV38" i="6"/>
  <c r="BV213" i="6"/>
  <c r="BV31" i="6"/>
  <c r="BS74" i="6"/>
  <c r="BS23" i="6"/>
  <c r="BS25" i="6"/>
  <c r="BS93" i="6"/>
  <c r="BV151" i="6"/>
  <c r="BU152" i="6"/>
  <c r="BT93" i="6"/>
  <c r="BT74" i="6"/>
  <c r="BT23" i="6"/>
  <c r="BT25" i="6"/>
  <c r="BY9" i="8"/>
  <c r="CA44" i="8"/>
  <c r="CA72" i="8"/>
  <c r="Z33" i="7" s="1"/>
  <c r="D64" i="8"/>
  <c r="D34" i="8"/>
  <c r="D33" i="8"/>
  <c r="AY87" i="6"/>
  <c r="AY88" i="6" s="1"/>
  <c r="AY22" i="6"/>
  <c r="AY21" i="6" s="1"/>
  <c r="AS206" i="6"/>
  <c r="AR206" i="6"/>
  <c r="N50" i="13"/>
  <c r="N59" i="13" s="1"/>
  <c r="AP27" i="8"/>
  <c r="AL41" i="8"/>
  <c r="AL42" i="8" s="1"/>
  <c r="AL77" i="8"/>
  <c r="AL33" i="8"/>
  <c r="AL40" i="8" s="1"/>
  <c r="AL64" i="8"/>
  <c r="M23" i="7"/>
  <c r="AK62" i="8"/>
  <c r="AK48" i="8"/>
  <c r="AK35" i="8"/>
  <c r="AL35" i="8"/>
  <c r="AL34" i="8"/>
  <c r="K20" i="28"/>
  <c r="BA71" i="6"/>
  <c r="BB70" i="6"/>
  <c r="BA108" i="6"/>
  <c r="BB107" i="6"/>
  <c r="AP93" i="6"/>
  <c r="AP94" i="6" s="1"/>
  <c r="AP146" i="6"/>
  <c r="AP147" i="6" s="1"/>
  <c r="N64" i="8"/>
  <c r="N33" i="8"/>
  <c r="N40" i="8" s="1"/>
  <c r="N41" i="8"/>
  <c r="N42" i="8" s="1"/>
  <c r="N34" i="8"/>
  <c r="N77" i="8"/>
  <c r="M17" i="8"/>
  <c r="M52" i="8"/>
  <c r="O39" i="6"/>
  <c r="O13" i="6"/>
  <c r="O28" i="6" s="1"/>
  <c r="O21" i="6"/>
  <c r="E39" i="7"/>
  <c r="J33" i="8"/>
  <c r="J64" i="8"/>
  <c r="J34" i="8"/>
  <c r="G34" i="8"/>
  <c r="G41" i="8"/>
  <c r="G42" i="8" s="1"/>
  <c r="G33" i="8"/>
  <c r="G64" i="8"/>
  <c r="F39" i="7"/>
  <c r="AF93" i="6"/>
  <c r="AF122" i="6" s="1"/>
  <c r="AG122" i="6" s="1"/>
  <c r="AG93" i="6" s="1"/>
  <c r="AG94" i="6" s="1"/>
  <c r="AF71" i="6"/>
  <c r="AF119" i="6" s="1"/>
  <c r="AF25" i="6"/>
  <c r="AF21" i="6" s="1"/>
  <c r="AF102" i="6"/>
  <c r="AF124" i="6" s="1"/>
  <c r="AG124" i="6" s="1"/>
  <c r="AG102" i="6" s="1"/>
  <c r="AG103" i="6" s="1"/>
  <c r="AF74" i="6"/>
  <c r="AF121" i="6" s="1"/>
  <c r="AF108" i="6"/>
  <c r="AF123" i="6" s="1"/>
  <c r="AG123" i="6" s="1"/>
  <c r="AG107" i="6" s="1"/>
  <c r="AG108" i="6" s="1"/>
  <c r="L20" i="8"/>
  <c r="L55" i="8"/>
  <c r="K25" i="8"/>
  <c r="K57" i="8"/>
  <c r="K22" i="8"/>
  <c r="E30" i="8"/>
  <c r="E62" i="8"/>
  <c r="D6" i="7"/>
  <c r="D18" i="7" s="1"/>
  <c r="D23" i="7" s="1"/>
  <c r="E48" i="8"/>
  <c r="Q34" i="8"/>
  <c r="Q33" i="8"/>
  <c r="Q40" i="8" s="1"/>
  <c r="Q41" i="8"/>
  <c r="Q42" i="8" s="1"/>
  <c r="Q64" i="8"/>
  <c r="Q77" i="8"/>
  <c r="Q16" i="6"/>
  <c r="P10" i="6"/>
  <c r="P12" i="6" s="1"/>
  <c r="P18" i="6"/>
  <c r="R16" i="6"/>
  <c r="E69" i="8"/>
  <c r="K25" i="6"/>
  <c r="K13" i="6"/>
  <c r="K39" i="6"/>
  <c r="F41" i="8"/>
  <c r="F42" i="8" s="1"/>
  <c r="F33" i="8"/>
  <c r="F34" i="8"/>
  <c r="F64" i="8"/>
  <c r="K69" i="13"/>
  <c r="L65" i="13"/>
  <c r="L67" i="13" s="1"/>
  <c r="K76" i="13"/>
  <c r="G2" i="11"/>
  <c r="G39" i="11"/>
  <c r="G3" i="11" s="1"/>
  <c r="AF153" i="6"/>
  <c r="O57" i="13"/>
  <c r="O59" i="13" s="1"/>
  <c r="P56" i="13"/>
  <c r="AL236" i="6"/>
  <c r="AL239" i="6" s="1"/>
  <c r="AQ230" i="6"/>
  <c r="P241" i="6"/>
  <c r="P146" i="6"/>
  <c r="P129" i="6"/>
  <c r="P134" i="6" s="1"/>
  <c r="Q129" i="6"/>
  <c r="Q134" i="6" s="1"/>
  <c r="Q146" i="6"/>
  <c r="BN108" i="6"/>
  <c r="BR107" i="6"/>
  <c r="BR93" i="6"/>
  <c r="BR74" i="6"/>
  <c r="BR25" i="6"/>
  <c r="BR23" i="6"/>
  <c r="BR153" i="6"/>
  <c r="AS122" i="6"/>
  <c r="AS89" i="6"/>
  <c r="AS90" i="6" s="1"/>
  <c r="L38" i="7"/>
  <c r="L49" i="7"/>
  <c r="K38" i="11"/>
  <c r="I44" i="28"/>
  <c r="I57" i="28" s="1"/>
  <c r="K38" i="7"/>
  <c r="K49" i="7"/>
  <c r="J42" i="7"/>
  <c r="BI87" i="6"/>
  <c r="BI22" i="6"/>
  <c r="BI21" i="6" s="1"/>
  <c r="BN25" i="6"/>
  <c r="BN23" i="6"/>
  <c r="BN93" i="6"/>
  <c r="BN74" i="6"/>
  <c r="BE118" i="6"/>
  <c r="BD89" i="6"/>
  <c r="BD90" i="6" s="1"/>
  <c r="N42" i="7"/>
  <c r="R11" i="11"/>
  <c r="P32" i="28" s="1"/>
  <c r="P31" i="28" s="1"/>
  <c r="O32" i="28"/>
  <c r="O31" i="28" s="1"/>
  <c r="K162" i="40" l="1"/>
  <c r="K167" i="40" s="1"/>
  <c r="J170" i="40"/>
  <c r="J171" i="40" s="1"/>
  <c r="J175" i="40" s="1"/>
  <c r="J186" i="40"/>
  <c r="J187" i="40" s="1"/>
  <c r="BU70" i="6"/>
  <c r="BU71" i="6" s="1"/>
  <c r="BU119" i="6" s="1"/>
  <c r="J167" i="40"/>
  <c r="J182" i="40"/>
  <c r="BN71" i="6"/>
  <c r="I175" i="40"/>
  <c r="BR246" i="6"/>
  <c r="BT246" i="6"/>
  <c r="BS246" i="6"/>
  <c r="I13" i="13"/>
  <c r="I12" i="13"/>
  <c r="J7" i="13"/>
  <c r="I20" i="13"/>
  <c r="H43" i="11" s="1"/>
  <c r="H46" i="11" s="1"/>
  <c r="BR40" i="6"/>
  <c r="AP142" i="6"/>
  <c r="AP138" i="6" s="1"/>
  <c r="AP140" i="6" s="1"/>
  <c r="AP13" i="8" s="1"/>
  <c r="AP51" i="8" s="1"/>
  <c r="BU45" i="6"/>
  <c r="BX11" i="8" s="1"/>
  <c r="Q16" i="35"/>
  <c r="Q20" i="35"/>
  <c r="BU85" i="6"/>
  <c r="BR71" i="6"/>
  <c r="BR119" i="6" s="1"/>
  <c r="BS71" i="6"/>
  <c r="BS119" i="6" s="1"/>
  <c r="BR29" i="6"/>
  <c r="F33" i="38" s="1"/>
  <c r="J38" i="36"/>
  <c r="J42" i="36"/>
  <c r="J44" i="36" s="1"/>
  <c r="J36" i="36"/>
  <c r="I38" i="36"/>
  <c r="I42" i="36"/>
  <c r="I44" i="36" s="1"/>
  <c r="I36" i="36"/>
  <c r="BM107" i="6"/>
  <c r="BL108" i="6"/>
  <c r="BJ71" i="6"/>
  <c r="BJ129" i="6" s="1"/>
  <c r="BJ134" i="6" s="1"/>
  <c r="R97" i="11"/>
  <c r="R98" i="11" s="1"/>
  <c r="R64" i="11"/>
  <c r="W28" i="11"/>
  <c r="X31" i="7" s="1"/>
  <c r="X49" i="7" s="1"/>
  <c r="Z38" i="7"/>
  <c r="P40" i="28"/>
  <c r="D40" i="38" s="1"/>
  <c r="M119" i="28"/>
  <c r="U14" i="11"/>
  <c r="R35" i="28"/>
  <c r="T53" i="28"/>
  <c r="V89" i="11"/>
  <c r="W34" i="11"/>
  <c r="K110" i="28"/>
  <c r="S8" i="11"/>
  <c r="P29" i="28"/>
  <c r="H241" i="31"/>
  <c r="H242" i="31" s="1"/>
  <c r="R16" i="35"/>
  <c r="R20" i="35"/>
  <c r="K19" i="36"/>
  <c r="K77" i="36"/>
  <c r="L19" i="36"/>
  <c r="L77" i="36"/>
  <c r="G61" i="11"/>
  <c r="G3" i="7" s="1"/>
  <c r="K242" i="31"/>
  <c r="I206" i="31"/>
  <c r="H206" i="31"/>
  <c r="D186" i="31"/>
  <c r="H135" i="31"/>
  <c r="I135" i="31"/>
  <c r="D136" i="31" s="1"/>
  <c r="I29" i="31"/>
  <c r="D30" i="31" s="1"/>
  <c r="H29" i="31"/>
  <c r="I160" i="31"/>
  <c r="D161" i="31" s="1"/>
  <c r="H160" i="31"/>
  <c r="H91" i="31"/>
  <c r="I91" i="31"/>
  <c r="D92" i="31" s="1"/>
  <c r="I51" i="31"/>
  <c r="D52" i="31" s="1"/>
  <c r="H51" i="31"/>
  <c r="BX26" i="6"/>
  <c r="M9" i="36" s="1"/>
  <c r="BX35" i="6"/>
  <c r="BY32" i="6"/>
  <c r="BY26" i="6" s="1"/>
  <c r="N9" i="36" s="1"/>
  <c r="BZ34" i="6"/>
  <c r="Z26" i="7"/>
  <c r="Z56" i="11"/>
  <c r="Y25" i="7"/>
  <c r="AC49" i="11"/>
  <c r="AA32" i="7"/>
  <c r="AB23" i="11"/>
  <c r="AD12" i="11"/>
  <c r="BS29" i="6"/>
  <c r="G33" i="38" s="1"/>
  <c r="BS40" i="6"/>
  <c r="BS28" i="6"/>
  <c r="BW17" i="6"/>
  <c r="BV11" i="6"/>
  <c r="BY56" i="6"/>
  <c r="BU16" i="6"/>
  <c r="BU18" i="6" s="1"/>
  <c r="BU19" i="6" s="1"/>
  <c r="BT10" i="6"/>
  <c r="BT12" i="6" s="1"/>
  <c r="BT13" i="6" s="1"/>
  <c r="BV15" i="6"/>
  <c r="BU9" i="6"/>
  <c r="BU97" i="6"/>
  <c r="BU120" i="6" s="1"/>
  <c r="BV99" i="6"/>
  <c r="CA237" i="6"/>
  <c r="CB238" i="6"/>
  <c r="BF71" i="6"/>
  <c r="BU74" i="6"/>
  <c r="BU246" i="6"/>
  <c r="BU23" i="6"/>
  <c r="BU25" i="6"/>
  <c r="BU93" i="6"/>
  <c r="BS87" i="6"/>
  <c r="BS88" i="6" s="1"/>
  <c r="BS22" i="6"/>
  <c r="BS21" i="6" s="1"/>
  <c r="BW151" i="6"/>
  <c r="BV152" i="6"/>
  <c r="BU153" i="6"/>
  <c r="BT87" i="6"/>
  <c r="BT88" i="6" s="1"/>
  <c r="BT22" i="6"/>
  <c r="BT21" i="6" s="1"/>
  <c r="BW154" i="6"/>
  <c r="BW155" i="6" s="1"/>
  <c r="BW38" i="6"/>
  <c r="BW213" i="6"/>
  <c r="BW31" i="6"/>
  <c r="BV153" i="6"/>
  <c r="BZ9" i="8"/>
  <c r="BV85" i="6"/>
  <c r="BW7" i="6"/>
  <c r="BV45" i="6"/>
  <c r="BY11" i="8" s="1"/>
  <c r="CB72" i="8"/>
  <c r="AA33" i="7" s="1"/>
  <c r="CB44" i="8"/>
  <c r="BR108" i="6"/>
  <c r="BR123" i="6" s="1"/>
  <c r="BS107" i="6"/>
  <c r="AY89" i="6"/>
  <c r="AY90" i="6" s="1"/>
  <c r="AL38" i="8"/>
  <c r="K21" i="28"/>
  <c r="AK34" i="8"/>
  <c r="AK64" i="8"/>
  <c r="AK33" i="8"/>
  <c r="M39" i="7"/>
  <c r="K86" i="28"/>
  <c r="K99" i="28" s="1"/>
  <c r="BB108" i="6"/>
  <c r="BC107" i="6"/>
  <c r="BC108" i="6" s="1"/>
  <c r="BB71" i="6"/>
  <c r="BC70" i="6"/>
  <c r="BC71" i="6" s="1"/>
  <c r="BB134" i="6"/>
  <c r="AR94" i="6"/>
  <c r="AR93" i="6" s="1"/>
  <c r="AS94" i="6"/>
  <c r="AS93" i="6" s="1"/>
  <c r="R10" i="6"/>
  <c r="R12" i="6" s="1"/>
  <c r="R18" i="6"/>
  <c r="P13" i="6"/>
  <c r="P28" i="6" s="1"/>
  <c r="P21" i="6"/>
  <c r="P39" i="6"/>
  <c r="D39" i="7"/>
  <c r="E70" i="8"/>
  <c r="E76" i="8" s="1"/>
  <c r="E64" i="8"/>
  <c r="E34" i="8"/>
  <c r="E41" i="8"/>
  <c r="E42" i="8" s="1"/>
  <c r="E33" i="8"/>
  <c r="AF129" i="6"/>
  <c r="AF134" i="6" s="1"/>
  <c r="AG119" i="6"/>
  <c r="E42" i="7"/>
  <c r="L69" i="13"/>
  <c r="M65" i="13"/>
  <c r="M67" i="13" s="1"/>
  <c r="L76" i="13"/>
  <c r="K22" i="6"/>
  <c r="K26" i="6"/>
  <c r="K233" i="6"/>
  <c r="K239" i="6"/>
  <c r="Q18" i="6"/>
  <c r="Q10" i="6"/>
  <c r="Q12" i="6" s="1"/>
  <c r="K30" i="8"/>
  <c r="K62" i="8"/>
  <c r="K48" i="8"/>
  <c r="L22" i="8"/>
  <c r="L57" i="8"/>
  <c r="L25" i="8"/>
  <c r="AG121" i="6"/>
  <c r="AF146" i="6"/>
  <c r="F42" i="7"/>
  <c r="M55" i="8"/>
  <c r="M20" i="8"/>
  <c r="Q142" i="6"/>
  <c r="Q138" i="6" s="1"/>
  <c r="Q144" i="6"/>
  <c r="P144" i="6"/>
  <c r="P142" i="6"/>
  <c r="P138" i="6" s="1"/>
  <c r="Q136" i="6" s="1"/>
  <c r="AT230" i="6"/>
  <c r="AQ236" i="6"/>
  <c r="AQ239" i="6" s="1"/>
  <c r="BR87" i="6"/>
  <c r="BR88" i="6" s="1"/>
  <c r="BR122" i="6" s="1"/>
  <c r="BR22" i="6"/>
  <c r="BR21" i="6" s="1"/>
  <c r="S11" i="11"/>
  <c r="R10" i="11"/>
  <c r="BD146" i="6"/>
  <c r="BN87" i="6"/>
  <c r="BN88" i="6" s="1"/>
  <c r="BN22" i="6"/>
  <c r="BN21" i="6" s="1"/>
  <c r="BI89" i="6"/>
  <c r="BI90" i="6" s="1"/>
  <c r="I98" i="28"/>
  <c r="I99" i="28" s="1"/>
  <c r="K39" i="7"/>
  <c r="J98" i="28"/>
  <c r="BV70" i="6" l="1"/>
  <c r="K175" i="40"/>
  <c r="BM108" i="6"/>
  <c r="BM123" i="6" s="1"/>
  <c r="BO107" i="6"/>
  <c r="K182" i="40"/>
  <c r="L182" i="40" s="1"/>
  <c r="Q32" i="28"/>
  <c r="Q31" i="28" s="1"/>
  <c r="S10" i="11"/>
  <c r="J10" i="13"/>
  <c r="J4" i="13"/>
  <c r="J6" i="13"/>
  <c r="AP14" i="8"/>
  <c r="AP52" i="8" s="1"/>
  <c r="AR136" i="6"/>
  <c r="AS136" i="6"/>
  <c r="I55" i="36"/>
  <c r="BT121" i="6" s="1"/>
  <c r="I76" i="36"/>
  <c r="I78" i="36" s="1"/>
  <c r="L24" i="36"/>
  <c r="L37" i="36" s="1"/>
  <c r="L25" i="36"/>
  <c r="L47" i="36" s="1"/>
  <c r="L53" i="36" s="1"/>
  <c r="K24" i="36"/>
  <c r="K37" i="36" s="1"/>
  <c r="K25" i="36"/>
  <c r="K47" i="36" s="1"/>
  <c r="K53" i="36" s="1"/>
  <c r="J55" i="36"/>
  <c r="BU121" i="6" s="1"/>
  <c r="J76" i="36"/>
  <c r="J78" i="36" s="1"/>
  <c r="BK71" i="6"/>
  <c r="W31" i="7"/>
  <c r="W49" i="7" s="1"/>
  <c r="BJ144" i="6"/>
  <c r="BJ142" i="6"/>
  <c r="BJ140" i="6"/>
  <c r="AA38" i="7"/>
  <c r="W89" i="11"/>
  <c r="X34" i="11"/>
  <c r="V14" i="11"/>
  <c r="S35" i="28"/>
  <c r="T8" i="11"/>
  <c r="Q29" i="28"/>
  <c r="CB237" i="6"/>
  <c r="S16" i="35"/>
  <c r="S20" i="35"/>
  <c r="N11" i="36"/>
  <c r="M11" i="36"/>
  <c r="D207" i="31"/>
  <c r="I186" i="31"/>
  <c r="H186" i="31"/>
  <c r="K186" i="31" s="1"/>
  <c r="I136" i="31"/>
  <c r="D137" i="31" s="1"/>
  <c r="H136" i="31"/>
  <c r="H161" i="31"/>
  <c r="I161" i="31"/>
  <c r="I30" i="31"/>
  <c r="D31" i="31" s="1"/>
  <c r="H30" i="31"/>
  <c r="I52" i="31"/>
  <c r="D53" i="31" s="1"/>
  <c r="H52" i="31"/>
  <c r="I92" i="31"/>
  <c r="D93" i="31" s="1"/>
  <c r="H92" i="31"/>
  <c r="BZ32" i="6"/>
  <c r="CA34" i="6"/>
  <c r="BY35" i="6"/>
  <c r="AB26" i="7"/>
  <c r="AA26" i="7"/>
  <c r="AA56" i="11"/>
  <c r="Z25" i="7"/>
  <c r="AD49" i="11"/>
  <c r="AB32" i="7"/>
  <c r="AC23" i="11"/>
  <c r="BT29" i="6"/>
  <c r="H33" i="38" s="1"/>
  <c r="BT40" i="6"/>
  <c r="BT28" i="6"/>
  <c r="BV97" i="6"/>
  <c r="BV120" i="6" s="1"/>
  <c r="BW99" i="6"/>
  <c r="BW15" i="6"/>
  <c r="BV9" i="6"/>
  <c r="BU10" i="6"/>
  <c r="BU12" i="6" s="1"/>
  <c r="BU13" i="6" s="1"/>
  <c r="BV16" i="6"/>
  <c r="BZ56" i="6"/>
  <c r="BX17" i="6"/>
  <c r="BW11" i="6"/>
  <c r="BH71" i="6"/>
  <c r="BG71" i="6"/>
  <c r="BX151" i="6"/>
  <c r="BW152" i="6"/>
  <c r="BT122" i="6"/>
  <c r="BT89" i="6"/>
  <c r="BT90" i="6" s="1"/>
  <c r="BV74" i="6"/>
  <c r="BV25" i="6"/>
  <c r="BV93" i="6"/>
  <c r="BV246" i="6"/>
  <c r="BV23" i="6"/>
  <c r="BX154" i="6"/>
  <c r="BX155" i="6" s="1"/>
  <c r="BX213" i="6"/>
  <c r="BX38" i="6"/>
  <c r="BX31" i="6"/>
  <c r="BS122" i="6"/>
  <c r="BS146" i="6" s="1"/>
  <c r="BS89" i="6"/>
  <c r="BS90" i="6" s="1"/>
  <c r="BU87" i="6"/>
  <c r="BU88" i="6" s="1"/>
  <c r="BU22" i="6"/>
  <c r="BU21" i="6" s="1"/>
  <c r="CA9" i="8"/>
  <c r="BW85" i="6"/>
  <c r="BX7" i="6"/>
  <c r="BW45" i="6"/>
  <c r="BZ11" i="8" s="1"/>
  <c r="CC44" i="8"/>
  <c r="CC72" i="8"/>
  <c r="AB33" i="7" s="1"/>
  <c r="BW70" i="6"/>
  <c r="BV71" i="6"/>
  <c r="BV119" i="6" s="1"/>
  <c r="BT107" i="6"/>
  <c r="BS108" i="6"/>
  <c r="BS123" i="6" s="1"/>
  <c r="AZ118" i="6"/>
  <c r="AY146" i="6"/>
  <c r="BD147" i="6" s="1"/>
  <c r="M42" i="7"/>
  <c r="BB144" i="6"/>
  <c r="BB140" i="6"/>
  <c r="BB142" i="6"/>
  <c r="BB143" i="6" s="1"/>
  <c r="AG74" i="6"/>
  <c r="AG75" i="6" s="1"/>
  <c r="AG146" i="6"/>
  <c r="K64" i="8"/>
  <c r="K34" i="8"/>
  <c r="K33" i="8"/>
  <c r="N65" i="13"/>
  <c r="N67" i="13" s="1"/>
  <c r="M69" i="13"/>
  <c r="M76" i="13"/>
  <c r="L44" i="11" s="1"/>
  <c r="AG70" i="6"/>
  <c r="AG129" i="6"/>
  <c r="AG134" i="6" s="1"/>
  <c r="F69" i="8"/>
  <c r="F70" i="8" s="1"/>
  <c r="F76" i="8" s="1"/>
  <c r="J69" i="8"/>
  <c r="J70" i="8" s="1"/>
  <c r="J76" i="8" s="1"/>
  <c r="D42" i="7"/>
  <c r="D43" i="7" s="1"/>
  <c r="M25" i="8"/>
  <c r="M22" i="8"/>
  <c r="M57" i="8"/>
  <c r="AF147" i="6"/>
  <c r="AH147" i="6"/>
  <c r="L30" i="8"/>
  <c r="L48" i="8"/>
  <c r="L62" i="8"/>
  <c r="Q13" i="6"/>
  <c r="Q28" i="6" s="1"/>
  <c r="Q39" i="6"/>
  <c r="K246" i="6"/>
  <c r="K107" i="6"/>
  <c r="K108" i="6" s="1"/>
  <c r="K70" i="6"/>
  <c r="K71" i="6" s="1"/>
  <c r="K23" i="6"/>
  <c r="K146" i="6"/>
  <c r="K152" i="6"/>
  <c r="K144" i="6"/>
  <c r="K142" i="6"/>
  <c r="AF144" i="6"/>
  <c r="AF142" i="6"/>
  <c r="R13" i="6"/>
  <c r="R28" i="6" s="1"/>
  <c r="R21" i="6"/>
  <c r="R39" i="6"/>
  <c r="Q140" i="6"/>
  <c r="K240" i="6"/>
  <c r="AY230" i="6"/>
  <c r="AT236" i="6"/>
  <c r="AT239" i="6" s="1"/>
  <c r="T11" i="11"/>
  <c r="R32" i="28" s="1"/>
  <c r="R31" i="28" s="1"/>
  <c r="BR89" i="6"/>
  <c r="BR90" i="6" s="1"/>
  <c r="K42" i="7"/>
  <c r="BI146" i="6"/>
  <c r="BI147" i="6" s="1"/>
  <c r="BN89" i="6"/>
  <c r="BN90" i="6" s="1"/>
  <c r="BO108" i="6" l="1"/>
  <c r="BO123" i="6" s="1"/>
  <c r="BQ107" i="6"/>
  <c r="BQ108" i="6" s="1"/>
  <c r="BQ123" i="6" s="1"/>
  <c r="AB38" i="7"/>
  <c r="J12" i="13"/>
  <c r="J13" i="13"/>
  <c r="K7" i="13"/>
  <c r="J20" i="13"/>
  <c r="I43" i="11" s="1"/>
  <c r="AP17" i="8"/>
  <c r="AP55" i="8" s="1"/>
  <c r="Q40" i="28"/>
  <c r="C14" i="39"/>
  <c r="BT146" i="6"/>
  <c r="BT147" i="6" s="1"/>
  <c r="K38" i="36"/>
  <c r="K42" i="36"/>
  <c r="K44" i="36" s="1"/>
  <c r="K76" i="36" s="1"/>
  <c r="K78" i="36" s="1"/>
  <c r="K36" i="36"/>
  <c r="L38" i="36"/>
  <c r="L42" i="36"/>
  <c r="L44" i="36" s="1"/>
  <c r="L76" i="36" s="1"/>
  <c r="L78" i="36" s="1"/>
  <c r="L36" i="36"/>
  <c r="BJ146" i="6"/>
  <c r="BJ147" i="6" s="1"/>
  <c r="BK13" i="8"/>
  <c r="BL71" i="6"/>
  <c r="BM70" i="6"/>
  <c r="U8" i="11"/>
  <c r="R29" i="28"/>
  <c r="W14" i="11"/>
  <c r="X14" i="11" s="1"/>
  <c r="Y14" i="11" s="1"/>
  <c r="Z14" i="11" s="1"/>
  <c r="AA14" i="11" s="1"/>
  <c r="AB14" i="11" s="1"/>
  <c r="AC14" i="11" s="1"/>
  <c r="AD14" i="11" s="1"/>
  <c r="T35" i="28"/>
  <c r="Y34" i="11"/>
  <c r="X89" i="11"/>
  <c r="T16" i="35"/>
  <c r="T20" i="35"/>
  <c r="M19" i="36"/>
  <c r="M77" i="36"/>
  <c r="N19" i="36"/>
  <c r="N77" i="36"/>
  <c r="H207" i="31"/>
  <c r="D187" i="31"/>
  <c r="H137" i="31"/>
  <c r="I137" i="31"/>
  <c r="D138" i="31" s="1"/>
  <c r="I31" i="31"/>
  <c r="D32" i="31" s="1"/>
  <c r="H31" i="31"/>
  <c r="H93" i="31"/>
  <c r="I93" i="31"/>
  <c r="I53" i="31"/>
  <c r="D54" i="31" s="1"/>
  <c r="H53" i="31"/>
  <c r="BZ26" i="6"/>
  <c r="O9" i="36" s="1"/>
  <c r="BZ35" i="6"/>
  <c r="CA32" i="6"/>
  <c r="CA26" i="6" s="1"/>
  <c r="P9" i="36" s="1"/>
  <c r="CB34" i="6"/>
  <c r="CB32" i="6" s="1"/>
  <c r="AD26" i="7"/>
  <c r="AC26" i="7"/>
  <c r="AB56" i="11"/>
  <c r="AA25" i="7"/>
  <c r="AC32" i="7"/>
  <c r="AD23" i="11"/>
  <c r="AD32" i="7" s="1"/>
  <c r="T10" i="11"/>
  <c r="U11" i="11"/>
  <c r="S32" i="28" s="1"/>
  <c r="S31" i="28" s="1"/>
  <c r="BU29" i="6"/>
  <c r="BU40" i="6"/>
  <c r="BU28" i="6"/>
  <c r="BV10" i="6"/>
  <c r="BV12" i="6" s="1"/>
  <c r="BV13" i="6" s="1"/>
  <c r="BW16" i="6"/>
  <c r="BW18" i="6" s="1"/>
  <c r="BW19" i="6" s="1"/>
  <c r="BW97" i="6"/>
  <c r="BW120" i="6" s="1"/>
  <c r="BX99" i="6"/>
  <c r="BY17" i="6"/>
  <c r="BX11" i="6"/>
  <c r="CA56" i="6"/>
  <c r="BX15" i="6"/>
  <c r="BW9" i="6"/>
  <c r="BV18" i="6"/>
  <c r="BV19" i="6" s="1"/>
  <c r="BW153" i="6"/>
  <c r="BY151" i="6"/>
  <c r="BX152" i="6"/>
  <c r="BX153" i="6" s="1"/>
  <c r="BU89" i="6"/>
  <c r="BU90" i="6" s="1"/>
  <c r="BU122" i="6"/>
  <c r="BU146" i="6" s="1"/>
  <c r="BY154" i="6"/>
  <c r="BY155" i="6" s="1"/>
  <c r="BY213" i="6"/>
  <c r="BY38" i="6"/>
  <c r="BY31" i="6"/>
  <c r="BV87" i="6"/>
  <c r="BV88" i="6" s="1"/>
  <c r="BV22" i="6"/>
  <c r="BW93" i="6"/>
  <c r="BW246" i="6"/>
  <c r="BW23" i="6"/>
  <c r="BW25" i="6"/>
  <c r="BW74" i="6"/>
  <c r="CB9" i="8"/>
  <c r="BX85" i="6"/>
  <c r="BY7" i="6"/>
  <c r="BX45" i="6"/>
  <c r="CA11" i="8" s="1"/>
  <c r="CD72" i="8"/>
  <c r="AC33" i="7" s="1"/>
  <c r="AC38" i="7" s="1"/>
  <c r="CD44" i="8"/>
  <c r="BU107" i="6"/>
  <c r="BT108" i="6"/>
  <c r="BT123" i="6" s="1"/>
  <c r="BX70" i="6"/>
  <c r="BW71" i="6"/>
  <c r="BW119" i="6" s="1"/>
  <c r="BB146" i="6"/>
  <c r="AF143" i="6"/>
  <c r="AF138" i="6"/>
  <c r="AH143" i="6"/>
  <c r="AG142" i="6"/>
  <c r="AG144" i="6"/>
  <c r="K155" i="6"/>
  <c r="K153" i="6"/>
  <c r="L33" i="8"/>
  <c r="L64" i="8"/>
  <c r="L34" i="8"/>
  <c r="H6" i="7"/>
  <c r="H18" i="7" s="1"/>
  <c r="H23" i="7" s="1"/>
  <c r="M197" i="6"/>
  <c r="M192" i="6"/>
  <c r="M30" i="8"/>
  <c r="M62" i="8"/>
  <c r="M48" i="8"/>
  <c r="E41" i="7"/>
  <c r="E43" i="7" s="1"/>
  <c r="D45" i="7"/>
  <c r="K69" i="8"/>
  <c r="K70" i="8" s="1"/>
  <c r="K76" i="8" s="1"/>
  <c r="G69" i="8"/>
  <c r="G70" i="8" s="1"/>
  <c r="G76" i="8" s="1"/>
  <c r="F16" i="11" s="1"/>
  <c r="AG72" i="6"/>
  <c r="AL72" i="6"/>
  <c r="AG71" i="6"/>
  <c r="N69" i="13"/>
  <c r="O69" i="13" s="1"/>
  <c r="P69" i="13" s="1"/>
  <c r="Q69" i="13" s="1"/>
  <c r="R69" i="13" s="1"/>
  <c r="O65" i="13"/>
  <c r="O67" i="13" s="1"/>
  <c r="N76" i="13"/>
  <c r="M44" i="11" s="1"/>
  <c r="AG147" i="6"/>
  <c r="AL147" i="6"/>
  <c r="BD230" i="6"/>
  <c r="AY236" i="6"/>
  <c r="AY239" i="6" s="1"/>
  <c r="D217" i="31"/>
  <c r="BR146" i="6"/>
  <c r="BS147" i="6" s="1"/>
  <c r="AR51" i="8"/>
  <c r="AR14" i="8"/>
  <c r="O10" i="7"/>
  <c r="P74" i="13"/>
  <c r="Q73" i="13" s="1"/>
  <c r="P80" i="13"/>
  <c r="P81" i="13"/>
  <c r="BN147" i="6"/>
  <c r="L9" i="7"/>
  <c r="L18" i="7" s="1"/>
  <c r="AF23" i="8"/>
  <c r="J17" i="28"/>
  <c r="AG206" i="6"/>
  <c r="AG60" i="8"/>
  <c r="AG201" i="6"/>
  <c r="AG25" i="8"/>
  <c r="BM71" i="6" l="1"/>
  <c r="BM119" i="6" s="1"/>
  <c r="BO70" i="6"/>
  <c r="K10" i="13"/>
  <c r="K6" i="13"/>
  <c r="K4" i="13"/>
  <c r="BV21" i="6"/>
  <c r="G60" i="28"/>
  <c r="G62" i="28" s="1"/>
  <c r="G74" i="28" s="1"/>
  <c r="I46" i="11"/>
  <c r="I60" i="11" s="1"/>
  <c r="BU147" i="6"/>
  <c r="K55" i="36"/>
  <c r="BV121" i="6" s="1"/>
  <c r="BK14" i="8"/>
  <c r="D38" i="34" s="1"/>
  <c r="D39" i="34" s="1"/>
  <c r="N24" i="36"/>
  <c r="N37" i="36" s="1"/>
  <c r="N25" i="36"/>
  <c r="N47" i="36" s="1"/>
  <c r="N53" i="36" s="1"/>
  <c r="M24" i="36"/>
  <c r="M37" i="36" s="1"/>
  <c r="M25" i="36"/>
  <c r="M47" i="36" s="1"/>
  <c r="M53" i="36" s="1"/>
  <c r="L55" i="36"/>
  <c r="BW121" i="6" s="1"/>
  <c r="BK51" i="8"/>
  <c r="Z34" i="11"/>
  <c r="Y89" i="11"/>
  <c r="V8" i="11"/>
  <c r="S29" i="28"/>
  <c r="U16" i="35"/>
  <c r="U20" i="35"/>
  <c r="P11" i="36"/>
  <c r="O11" i="36"/>
  <c r="D208" i="31"/>
  <c r="E208" i="31" s="1"/>
  <c r="I187" i="31"/>
  <c r="H187" i="31"/>
  <c r="I138" i="31"/>
  <c r="D139" i="31" s="1"/>
  <c r="H138" i="31"/>
  <c r="H32" i="31"/>
  <c r="I32" i="31"/>
  <c r="D33" i="31" s="1"/>
  <c r="I54" i="31"/>
  <c r="D55" i="31" s="1"/>
  <c r="H54" i="31"/>
  <c r="H47" i="31"/>
  <c r="G217" i="31" s="1"/>
  <c r="G237" i="31" s="1"/>
  <c r="E16" i="12" s="1"/>
  <c r="CB26" i="6"/>
  <c r="Q9" i="36" s="1"/>
  <c r="CB35" i="6"/>
  <c r="CA35" i="6"/>
  <c r="AC56" i="11"/>
  <c r="AB25" i="7"/>
  <c r="U10" i="11"/>
  <c r="V11" i="11"/>
  <c r="T32" i="28" s="1"/>
  <c r="T31" i="28" s="1"/>
  <c r="BV29" i="6"/>
  <c r="BV40" i="6"/>
  <c r="BV28" i="6"/>
  <c r="BY15" i="6"/>
  <c r="BX9" i="6"/>
  <c r="BX97" i="6"/>
  <c r="BX120" i="6" s="1"/>
  <c r="BY99" i="6"/>
  <c r="BW10" i="6"/>
  <c r="BW12" i="6" s="1"/>
  <c r="BW13" i="6" s="1"/>
  <c r="BX16" i="6"/>
  <c r="CB56" i="6"/>
  <c r="BZ17" i="6"/>
  <c r="BY11" i="6"/>
  <c r="BV122" i="6"/>
  <c r="BV89" i="6"/>
  <c r="BV90" i="6" s="1"/>
  <c r="BZ151" i="6"/>
  <c r="BY152" i="6"/>
  <c r="BW87" i="6"/>
  <c r="BW88" i="6" s="1"/>
  <c r="BW22" i="6"/>
  <c r="BW21" i="6" s="1"/>
  <c r="BZ154" i="6"/>
  <c r="BZ155" i="6" s="1"/>
  <c r="BZ213" i="6"/>
  <c r="BZ38" i="6"/>
  <c r="BZ31" i="6"/>
  <c r="BX74" i="6"/>
  <c r="BX246" i="6"/>
  <c r="BX23" i="6"/>
  <c r="BX25" i="6"/>
  <c r="BX93" i="6"/>
  <c r="CC9" i="8"/>
  <c r="BZ7" i="6"/>
  <c r="BY85" i="6"/>
  <c r="BY45" i="6"/>
  <c r="CB11" i="8" s="1"/>
  <c r="CE44" i="8"/>
  <c r="CE72" i="8"/>
  <c r="AD33" i="7" s="1"/>
  <c r="AD38" i="7" s="1"/>
  <c r="BY70" i="6"/>
  <c r="BX71" i="6"/>
  <c r="BX119" i="6" s="1"/>
  <c r="BV107" i="6"/>
  <c r="BU108" i="6"/>
  <c r="BU123" i="6" s="1"/>
  <c r="BC14" i="8"/>
  <c r="BC17" i="8" s="1"/>
  <c r="BC51" i="8"/>
  <c r="F17" i="11"/>
  <c r="M33" i="8"/>
  <c r="M40" i="8" s="1"/>
  <c r="M41" i="8"/>
  <c r="M42" i="8" s="1"/>
  <c r="M34" i="8"/>
  <c r="M64" i="8"/>
  <c r="M70" i="8"/>
  <c r="M76" i="8" s="1"/>
  <c r="M77" i="8"/>
  <c r="AG145" i="6"/>
  <c r="AL145" i="6"/>
  <c r="P65" i="13"/>
  <c r="P67" i="13" s="1"/>
  <c r="O76" i="13"/>
  <c r="E45" i="7"/>
  <c r="F41" i="7"/>
  <c r="F43" i="7" s="1"/>
  <c r="H39" i="7"/>
  <c r="AG138" i="6"/>
  <c r="AG140" i="6" s="1"/>
  <c r="AF140" i="6"/>
  <c r="BI230" i="6"/>
  <c r="BD236" i="6"/>
  <c r="BD239" i="6" s="1"/>
  <c r="AG203" i="6"/>
  <c r="AG204" i="6" s="1"/>
  <c r="D225" i="31"/>
  <c r="D224" i="31"/>
  <c r="BR147" i="6"/>
  <c r="AS51" i="8"/>
  <c r="AR52" i="8"/>
  <c r="AR54" i="8"/>
  <c r="S69" i="13"/>
  <c r="P82" i="13"/>
  <c r="AG31" i="8"/>
  <c r="M48" i="13"/>
  <c r="M50" i="13" s="1"/>
  <c r="AG30" i="8"/>
  <c r="AG62" i="8"/>
  <c r="AG48" i="8"/>
  <c r="AG192" i="6"/>
  <c r="J18" i="28"/>
  <c r="AF60" i="8"/>
  <c r="AF25" i="8"/>
  <c r="L23" i="7"/>
  <c r="L1" i="7"/>
  <c r="E209" i="31" l="1"/>
  <c r="E210" i="31" s="1"/>
  <c r="H225" i="31"/>
  <c r="BO71" i="6"/>
  <c r="BO119" i="6" s="1"/>
  <c r="BO129" i="6" s="1"/>
  <c r="BO134" i="6" s="1"/>
  <c r="BO144" i="6" s="1"/>
  <c r="BQ70" i="6"/>
  <c r="BQ71" i="6" s="1"/>
  <c r="BQ119" i="6" s="1"/>
  <c r="BQ129" i="6" s="1"/>
  <c r="BQ134" i="6" s="1"/>
  <c r="L7" i="13"/>
  <c r="K20" i="13"/>
  <c r="J43" i="11" s="1"/>
  <c r="K12" i="13"/>
  <c r="K13" i="13"/>
  <c r="BV146" i="6"/>
  <c r="BV147" i="6" s="1"/>
  <c r="M36" i="36"/>
  <c r="M38" i="36"/>
  <c r="M42" i="36"/>
  <c r="M44" i="36" s="1"/>
  <c r="N36" i="36"/>
  <c r="N38" i="36"/>
  <c r="N42" i="36"/>
  <c r="N44" i="36" s="1"/>
  <c r="N76" i="36" s="1"/>
  <c r="N78" i="36" s="1"/>
  <c r="BK52" i="8"/>
  <c r="BC52" i="8"/>
  <c r="BC21" i="8"/>
  <c r="W8" i="11"/>
  <c r="X8" i="11" s="1"/>
  <c r="Y8" i="11" s="1"/>
  <c r="Z8" i="11" s="1"/>
  <c r="AA8" i="11" s="1"/>
  <c r="AB8" i="11" s="1"/>
  <c r="AC8" i="11" s="1"/>
  <c r="AD8" i="11" s="1"/>
  <c r="T29" i="28"/>
  <c r="AA34" i="11"/>
  <c r="Z89" i="11"/>
  <c r="V16" i="35"/>
  <c r="V20" i="35"/>
  <c r="Q11" i="36"/>
  <c r="O19" i="36"/>
  <c r="O77" i="36"/>
  <c r="P19" i="36"/>
  <c r="P77" i="36"/>
  <c r="I208" i="31"/>
  <c r="H208" i="31"/>
  <c r="D188" i="31"/>
  <c r="H188" i="31" s="1"/>
  <c r="K188" i="31" s="1"/>
  <c r="L187" i="31"/>
  <c r="K187" i="31"/>
  <c r="H217" i="31" s="1"/>
  <c r="H237" i="31" s="1"/>
  <c r="H139" i="31"/>
  <c r="I139" i="31"/>
  <c r="D140" i="31" s="1"/>
  <c r="H33" i="31"/>
  <c r="I33" i="31"/>
  <c r="D34" i="31" s="1"/>
  <c r="I55" i="31"/>
  <c r="D56" i="31" s="1"/>
  <c r="H55" i="31"/>
  <c r="D226" i="31"/>
  <c r="AD56" i="11"/>
  <c r="AD25" i="7" s="1"/>
  <c r="AC25" i="7"/>
  <c r="V10" i="11"/>
  <c r="W11" i="11"/>
  <c r="BW29" i="6"/>
  <c r="BW40" i="6"/>
  <c r="BW28" i="6"/>
  <c r="CA17" i="6"/>
  <c r="BZ11" i="6"/>
  <c r="BY9" i="6"/>
  <c r="BZ15" i="6"/>
  <c r="BX10" i="6"/>
  <c r="BX12" i="6" s="1"/>
  <c r="BX13" i="6" s="1"/>
  <c r="BY16" i="6"/>
  <c r="BY97" i="6"/>
  <c r="BY120" i="6" s="1"/>
  <c r="BZ99" i="6"/>
  <c r="BX18" i="6"/>
  <c r="BX19" i="6" s="1"/>
  <c r="BY153" i="6"/>
  <c r="BX87" i="6"/>
  <c r="BX88" i="6" s="1"/>
  <c r="BX22" i="6"/>
  <c r="CA151" i="6"/>
  <c r="BZ152" i="6"/>
  <c r="BW122" i="6"/>
  <c r="BW146" i="6" s="1"/>
  <c r="BW89" i="6"/>
  <c r="BW90" i="6" s="1"/>
  <c r="CA154" i="6"/>
  <c r="CA155" i="6" s="1"/>
  <c r="CA213" i="6"/>
  <c r="CA38" i="6"/>
  <c r="CA31" i="6"/>
  <c r="BY74" i="6"/>
  <c r="BY25" i="6"/>
  <c r="BY93" i="6"/>
  <c r="BY246" i="6"/>
  <c r="BY23" i="6"/>
  <c r="BZ153" i="6"/>
  <c r="CD9" i="8"/>
  <c r="BZ85" i="6"/>
  <c r="CA7" i="6"/>
  <c r="BZ45" i="6"/>
  <c r="CC11" i="8" s="1"/>
  <c r="BW107" i="6"/>
  <c r="BV108" i="6"/>
  <c r="BV123" i="6" s="1"/>
  <c r="BZ70" i="6"/>
  <c r="BY71" i="6"/>
  <c r="BY119" i="6" s="1"/>
  <c r="BC20" i="8"/>
  <c r="BC57" i="8" s="1"/>
  <c r="BC55" i="8"/>
  <c r="H42" i="7"/>
  <c r="H43" i="7" s="1"/>
  <c r="G41" i="7"/>
  <c r="G43" i="7" s="1"/>
  <c r="G45" i="7" s="1"/>
  <c r="F45" i="7"/>
  <c r="P76" i="13"/>
  <c r="Q65" i="13"/>
  <c r="Q67" i="13" s="1"/>
  <c r="H16" i="11"/>
  <c r="R69" i="8"/>
  <c r="R70" i="8" s="1"/>
  <c r="R76" i="8" s="1"/>
  <c r="N69" i="8"/>
  <c r="N70" i="8" s="1"/>
  <c r="N76" i="8" s="1"/>
  <c r="O69" i="8" s="1"/>
  <c r="O70" i="8" s="1"/>
  <c r="O76" i="8" s="1"/>
  <c r="P69" i="8" s="1"/>
  <c r="P70" i="8" s="1"/>
  <c r="P76" i="8" s="1"/>
  <c r="Q69" i="8" s="1"/>
  <c r="Q70" i="8" s="1"/>
  <c r="Q76" i="8" s="1"/>
  <c r="F2" i="11"/>
  <c r="F39" i="11"/>
  <c r="BN230" i="6"/>
  <c r="BI236" i="6"/>
  <c r="BI239" i="6" s="1"/>
  <c r="AG214" i="6"/>
  <c r="AG216" i="6" s="1"/>
  <c r="AG217" i="6" s="1"/>
  <c r="AG218" i="6" s="1"/>
  <c r="AG210" i="6"/>
  <c r="D230" i="31"/>
  <c r="AS52" i="8"/>
  <c r="AS54" i="8"/>
  <c r="AR17" i="8"/>
  <c r="AR21" i="8" s="1"/>
  <c r="T69" i="13"/>
  <c r="U69" i="13" s="1"/>
  <c r="V69" i="13" s="1"/>
  <c r="L39" i="7"/>
  <c r="J86" i="28"/>
  <c r="J99" i="28" s="1"/>
  <c r="AF31" i="8"/>
  <c r="AF35" i="8" s="1"/>
  <c r="AF30" i="8"/>
  <c r="AF48" i="8"/>
  <c r="AF62" i="8"/>
  <c r="AF198" i="6"/>
  <c r="L61" i="13" s="1"/>
  <c r="AG34" i="8"/>
  <c r="AG77" i="8"/>
  <c r="AG41" i="8"/>
  <c r="AG42" i="8" s="1"/>
  <c r="AG64" i="8"/>
  <c r="M59" i="13"/>
  <c r="AG35" i="8"/>
  <c r="J21" i="28" s="1"/>
  <c r="AG33" i="8"/>
  <c r="AG40" i="8" s="1"/>
  <c r="J20" i="28"/>
  <c r="J110" i="28" s="1"/>
  <c r="Q47" i="28" l="1"/>
  <c r="E40" i="38" s="1"/>
  <c r="H226" i="31"/>
  <c r="I224" i="31" s="1"/>
  <c r="BQ140" i="6"/>
  <c r="BS13" i="8" s="1"/>
  <c r="BQ144" i="6"/>
  <c r="BQ142" i="6"/>
  <c r="BO140" i="6"/>
  <c r="BQ13" i="8" s="1"/>
  <c r="BO142" i="6"/>
  <c r="BQ51" i="8"/>
  <c r="BQ14" i="8"/>
  <c r="L4" i="13"/>
  <c r="L6" i="13"/>
  <c r="L10" i="13"/>
  <c r="J46" i="11"/>
  <c r="J60" i="11" s="1"/>
  <c r="H60" i="28"/>
  <c r="H62" i="28" s="1"/>
  <c r="H74" i="28" s="1"/>
  <c r="W105" i="6"/>
  <c r="BW147" i="6"/>
  <c r="N55" i="36"/>
  <c r="BY121" i="6" s="1"/>
  <c r="BC25" i="8"/>
  <c r="P24" i="36"/>
  <c r="P37" i="36" s="1"/>
  <c r="P25" i="36"/>
  <c r="P47" i="36" s="1"/>
  <c r="P53" i="36" s="1"/>
  <c r="O24" i="36"/>
  <c r="O37" i="36" s="1"/>
  <c r="O25" i="36"/>
  <c r="O47" i="36" s="1"/>
  <c r="O53" i="36" s="1"/>
  <c r="M55" i="36"/>
  <c r="BX121" i="6" s="1"/>
  <c r="M76" i="36"/>
  <c r="M78" i="36" s="1"/>
  <c r="I188" i="31"/>
  <c r="L188" i="31" s="1"/>
  <c r="BC62" i="8"/>
  <c r="BC26" i="8" s="1"/>
  <c r="BC27" i="8" s="1"/>
  <c r="W69" i="13"/>
  <c r="AA89" i="11"/>
  <c r="AB34" i="11"/>
  <c r="W16" i="35"/>
  <c r="W20" i="35"/>
  <c r="Q19" i="36"/>
  <c r="Q77" i="36"/>
  <c r="F16" i="12"/>
  <c r="D209" i="31"/>
  <c r="D189" i="31"/>
  <c r="H189" i="31" s="1"/>
  <c r="K189" i="31" s="1"/>
  <c r="I140" i="31"/>
  <c r="D141" i="31" s="1"/>
  <c r="H140" i="31"/>
  <c r="H34" i="31"/>
  <c r="I34" i="31"/>
  <c r="D35" i="31" s="1"/>
  <c r="I56" i="31"/>
  <c r="D57" i="31" s="1"/>
  <c r="H56" i="31"/>
  <c r="W10" i="11"/>
  <c r="X11" i="11"/>
  <c r="BX21" i="6"/>
  <c r="BX40" i="6"/>
  <c r="BX29" i="6"/>
  <c r="BX28" i="6"/>
  <c r="CA15" i="6"/>
  <c r="BZ9" i="6"/>
  <c r="BZ97" i="6"/>
  <c r="BZ120" i="6" s="1"/>
  <c r="CA99" i="6"/>
  <c r="BY10" i="6"/>
  <c r="BY12" i="6" s="1"/>
  <c r="BY13" i="6" s="1"/>
  <c r="BZ16" i="6"/>
  <c r="CB17" i="6"/>
  <c r="CB11" i="6" s="1"/>
  <c r="CA11" i="6"/>
  <c r="BY18" i="6"/>
  <c r="BY19" i="6" s="1"/>
  <c r="CB151" i="6"/>
  <c r="CA152" i="6"/>
  <c r="CA153" i="6" s="1"/>
  <c r="BX89" i="6"/>
  <c r="BX90" i="6" s="1"/>
  <c r="BX122" i="6"/>
  <c r="BY87" i="6"/>
  <c r="BY88" i="6" s="1"/>
  <c r="BY22" i="6"/>
  <c r="CB154" i="6"/>
  <c r="CB155" i="6" s="1"/>
  <c r="CB213" i="6"/>
  <c r="CB38" i="6"/>
  <c r="CB31" i="6"/>
  <c r="BZ74" i="6"/>
  <c r="BZ246" i="6"/>
  <c r="BZ23" i="6"/>
  <c r="BZ25" i="6"/>
  <c r="BZ93" i="6"/>
  <c r="CE9" i="8"/>
  <c r="CA85" i="6"/>
  <c r="CB7" i="6"/>
  <c r="CA45" i="6"/>
  <c r="CD11" i="8" s="1"/>
  <c r="CA70" i="6"/>
  <c r="BZ71" i="6"/>
  <c r="BZ119" i="6" s="1"/>
  <c r="BX107" i="6"/>
  <c r="BW108" i="6"/>
  <c r="BW123" i="6" s="1"/>
  <c r="F3" i="11"/>
  <c r="F61" i="11"/>
  <c r="H17" i="11"/>
  <c r="W70" i="8"/>
  <c r="W76" i="8" s="1"/>
  <c r="J16" i="11" s="1"/>
  <c r="Q72" i="13"/>
  <c r="R65" i="13"/>
  <c r="R67" i="13" s="1"/>
  <c r="S65" i="13" s="1"/>
  <c r="S67" i="13" s="1"/>
  <c r="T65" i="13" s="1"/>
  <c r="T67" i="13" s="1"/>
  <c r="U65" i="13" s="1"/>
  <c r="U67" i="13" s="1"/>
  <c r="V65" i="13" s="1"/>
  <c r="V67" i="13" s="1"/>
  <c r="W65" i="13" s="1"/>
  <c r="W67" i="13" s="1"/>
  <c r="X65" i="13" s="1"/>
  <c r="X67" i="13" s="1"/>
  <c r="Y65" i="13" s="1"/>
  <c r="Y67" i="13" s="1"/>
  <c r="Z65" i="13" s="1"/>
  <c r="Z67" i="13" s="1"/>
  <c r="AA65" i="13" s="1"/>
  <c r="AA67" i="13" s="1"/>
  <c r="AB65" i="13" s="1"/>
  <c r="AB67" i="13" s="1"/>
  <c r="AC65" i="13" s="1"/>
  <c r="AC67" i="13" s="1"/>
  <c r="AD65" i="13" s="1"/>
  <c r="AD67" i="13" s="1"/>
  <c r="AE65" i="13" s="1"/>
  <c r="AE67" i="13" s="1"/>
  <c r="I43" i="7"/>
  <c r="J41" i="7" s="1"/>
  <c r="H45" i="7"/>
  <c r="H58" i="11" s="1"/>
  <c r="Q46" i="13"/>
  <c r="BN236" i="6"/>
  <c r="BN239" i="6" s="1"/>
  <c r="BR230" i="6"/>
  <c r="M63" i="13"/>
  <c r="N63" i="13" s="1"/>
  <c r="O63" i="13" s="1"/>
  <c r="AR55" i="8"/>
  <c r="AR20" i="8"/>
  <c r="O8" i="7"/>
  <c r="P46" i="13"/>
  <c r="AG38" i="8"/>
  <c r="AF64" i="8"/>
  <c r="AF33" i="8"/>
  <c r="AF34" i="8"/>
  <c r="L42" i="7"/>
  <c r="I241" i="31" l="1"/>
  <c r="I242" i="31" s="1"/>
  <c r="I226" i="31"/>
  <c r="BS51" i="8"/>
  <c r="BS14" i="8"/>
  <c r="BS52" i="8" s="1"/>
  <c r="BX146" i="6"/>
  <c r="BX147" i="6" s="1"/>
  <c r="C38" i="34"/>
  <c r="C39" i="34" s="1"/>
  <c r="BQ52" i="8"/>
  <c r="M7" i="13"/>
  <c r="L20" i="13"/>
  <c r="K43" i="11" s="1"/>
  <c r="L12" i="13"/>
  <c r="L13" i="13"/>
  <c r="CB152" i="6"/>
  <c r="CB153" i="6" s="1"/>
  <c r="BY21" i="6"/>
  <c r="I189" i="31"/>
  <c r="L189" i="31" s="1"/>
  <c r="O38" i="36"/>
  <c r="O42" i="36"/>
  <c r="O44" i="36" s="1"/>
  <c r="O76" i="36" s="1"/>
  <c r="O78" i="36" s="1"/>
  <c r="O36" i="36"/>
  <c r="P38" i="36"/>
  <c r="P42" i="36"/>
  <c r="P44" i="36" s="1"/>
  <c r="P36" i="36"/>
  <c r="Q24" i="36"/>
  <c r="Q37" i="36" s="1"/>
  <c r="Q25" i="36"/>
  <c r="Q47" i="36" s="1"/>
  <c r="Q53" i="36" s="1"/>
  <c r="AB89" i="11"/>
  <c r="AC34" i="11"/>
  <c r="X69" i="13"/>
  <c r="X16" i="35"/>
  <c r="X20" i="35"/>
  <c r="I209" i="31"/>
  <c r="H209" i="31"/>
  <c r="H141" i="31"/>
  <c r="I141" i="31"/>
  <c r="D142" i="31" s="1"/>
  <c r="H35" i="31"/>
  <c r="I35" i="31"/>
  <c r="I57" i="31"/>
  <c r="D58" i="31" s="1"/>
  <c r="H57" i="31"/>
  <c r="X10" i="11"/>
  <c r="Y11" i="11"/>
  <c r="BY40" i="6"/>
  <c r="BY28" i="6"/>
  <c r="BY29" i="6"/>
  <c r="CB15" i="6"/>
  <c r="CA9" i="6"/>
  <c r="CA16" i="6"/>
  <c r="BZ10" i="6"/>
  <c r="BZ12" i="6" s="1"/>
  <c r="BZ13" i="6" s="1"/>
  <c r="CA97" i="6"/>
  <c r="CA120" i="6" s="1"/>
  <c r="CB99" i="6"/>
  <c r="CB97" i="6" s="1"/>
  <c r="CB120" i="6" s="1"/>
  <c r="BZ18" i="6"/>
  <c r="BZ19" i="6" s="1"/>
  <c r="BC32" i="8"/>
  <c r="CB74" i="6"/>
  <c r="CB25" i="6"/>
  <c r="CB93" i="6"/>
  <c r="CB246" i="6"/>
  <c r="CB23" i="6"/>
  <c r="BY89" i="6"/>
  <c r="BY90" i="6" s="1"/>
  <c r="BY122" i="6"/>
  <c r="BY146" i="6" s="1"/>
  <c r="BZ87" i="6"/>
  <c r="BZ88" i="6" s="1"/>
  <c r="BZ22" i="6"/>
  <c r="CA25" i="6"/>
  <c r="CA93" i="6"/>
  <c r="CA74" i="6"/>
  <c r="CA246" i="6"/>
  <c r="CA23" i="6"/>
  <c r="CB85" i="6"/>
  <c r="CB45" i="6"/>
  <c r="CE11" i="8" s="1"/>
  <c r="BY107" i="6"/>
  <c r="BX108" i="6"/>
  <c r="BX123" i="6" s="1"/>
  <c r="CB70" i="6"/>
  <c r="CB71" i="6" s="1"/>
  <c r="CB119" i="6" s="1"/>
  <c r="CA71" i="6"/>
  <c r="CA119" i="6" s="1"/>
  <c r="BR236" i="6"/>
  <c r="BR239" i="6" s="1"/>
  <c r="BS230" i="6"/>
  <c r="BC63" i="8"/>
  <c r="BC30" i="8"/>
  <c r="BC33" i="8" s="1"/>
  <c r="H100" i="28"/>
  <c r="H101" i="28" s="1"/>
  <c r="H103" i="28" s="1"/>
  <c r="J43" i="7"/>
  <c r="K41" i="7" s="1"/>
  <c r="Q74" i="13"/>
  <c r="Q80" i="13"/>
  <c r="Q81" i="13"/>
  <c r="G37" i="28"/>
  <c r="G38" i="28" s="1"/>
  <c r="I17" i="11"/>
  <c r="I39" i="11" s="1"/>
  <c r="F3" i="7"/>
  <c r="H59" i="11"/>
  <c r="H72" i="11"/>
  <c r="AB69" i="8"/>
  <c r="AB70" i="8" s="1"/>
  <c r="AB76" i="8" s="1"/>
  <c r="H2" i="11"/>
  <c r="H39" i="11"/>
  <c r="P63" i="13"/>
  <c r="Q63" i="13" s="1"/>
  <c r="R63" i="13" s="1"/>
  <c r="S63" i="13" s="1"/>
  <c r="T63" i="13" s="1"/>
  <c r="U63" i="13" s="1"/>
  <c r="V63" i="13" s="1"/>
  <c r="W63" i="13" s="1"/>
  <c r="X63" i="13" s="1"/>
  <c r="Y63" i="13" s="1"/>
  <c r="Z63" i="13" s="1"/>
  <c r="AA63" i="13" s="1"/>
  <c r="AB63" i="13" s="1"/>
  <c r="AC63" i="13" s="1"/>
  <c r="AD63" i="13" s="1"/>
  <c r="AE63" i="13" s="1"/>
  <c r="AT164" i="6"/>
  <c r="AT206" i="6"/>
  <c r="AS55" i="8"/>
  <c r="AR57" i="8"/>
  <c r="AR22" i="8"/>
  <c r="AR59" i="8" s="1"/>
  <c r="P52" i="13"/>
  <c r="P28" i="13"/>
  <c r="M15" i="28"/>
  <c r="AN21" i="8"/>
  <c r="J224" i="31" l="1"/>
  <c r="T20" i="11"/>
  <c r="BY147" i="6"/>
  <c r="D190" i="31"/>
  <c r="H190" i="31" s="1"/>
  <c r="K190" i="31" s="1"/>
  <c r="E38" i="34"/>
  <c r="K46" i="11"/>
  <c r="K60" i="11" s="1"/>
  <c r="I60" i="28"/>
  <c r="I62" i="28" s="1"/>
  <c r="I74" i="28" s="1"/>
  <c r="AB105" i="6"/>
  <c r="M6" i="13"/>
  <c r="M10" i="13"/>
  <c r="M4" i="13"/>
  <c r="O55" i="36"/>
  <c r="BZ121" i="6" s="1"/>
  <c r="BZ21" i="6"/>
  <c r="P55" i="36"/>
  <c r="CA121" i="6" s="1"/>
  <c r="P76" i="36"/>
  <c r="P78" i="36" s="1"/>
  <c r="Q36" i="36"/>
  <c r="Q38" i="36"/>
  <c r="Q42" i="36"/>
  <c r="Q44" i="36" s="1"/>
  <c r="Q76" i="36" s="1"/>
  <c r="Q78" i="36" s="1"/>
  <c r="Y69" i="13"/>
  <c r="AD34" i="11"/>
  <c r="AD89" i="11" s="1"/>
  <c r="AC89" i="11"/>
  <c r="D210" i="31"/>
  <c r="I142" i="31"/>
  <c r="H142" i="31"/>
  <c r="I58" i="31"/>
  <c r="D59" i="31" s="1"/>
  <c r="H58" i="31"/>
  <c r="Y10" i="11"/>
  <c r="Z11" i="11"/>
  <c r="BZ29" i="6"/>
  <c r="BZ40" i="6"/>
  <c r="BZ28" i="6"/>
  <c r="CB16" i="6"/>
  <c r="CB10" i="6" s="1"/>
  <c r="CA10" i="6"/>
  <c r="CA12" i="6" s="1"/>
  <c r="CA13" i="6" s="1"/>
  <c r="CB9" i="6"/>
  <c r="CA18" i="6"/>
  <c r="CA19" i="6" s="1"/>
  <c r="BC64" i="8"/>
  <c r="CA87" i="6"/>
  <c r="CA88" i="6" s="1"/>
  <c r="CA22" i="6"/>
  <c r="BZ89" i="6"/>
  <c r="BZ90" i="6" s="1"/>
  <c r="BZ122" i="6"/>
  <c r="CB87" i="6"/>
  <c r="CB88" i="6" s="1"/>
  <c r="CB122" i="6" s="1"/>
  <c r="CB22" i="6"/>
  <c r="BZ107" i="6"/>
  <c r="BY108" i="6"/>
  <c r="BY123" i="6" s="1"/>
  <c r="BT230" i="6"/>
  <c r="BS236" i="6"/>
  <c r="BS239" i="6" s="1"/>
  <c r="J17" i="11"/>
  <c r="H37" i="28"/>
  <c r="H38" i="28" s="1"/>
  <c r="H60" i="11"/>
  <c r="I2" i="11"/>
  <c r="I1" i="11"/>
  <c r="G58" i="28"/>
  <c r="R73" i="13"/>
  <c r="R72" i="13" s="1"/>
  <c r="Q76" i="13"/>
  <c r="K16" i="11"/>
  <c r="AG69" i="8"/>
  <c r="I100" i="28"/>
  <c r="I101" i="28" s="1"/>
  <c r="I103" i="28" s="1"/>
  <c r="K43" i="7"/>
  <c r="L41" i="7" s="1"/>
  <c r="Q82" i="13"/>
  <c r="Q87" i="13" s="1"/>
  <c r="P32" i="13"/>
  <c r="P31" i="13"/>
  <c r="P30" i="13"/>
  <c r="H222" i="31"/>
  <c r="Q18" i="13"/>
  <c r="AT129" i="6"/>
  <c r="AT134" i="6" s="1"/>
  <c r="AS57" i="8"/>
  <c r="AS59" i="8"/>
  <c r="AN58" i="8"/>
  <c r="AN22" i="8"/>
  <c r="AN59" i="8" s="1"/>
  <c r="P8" i="7"/>
  <c r="AZ21" i="8" s="1"/>
  <c r="Q61" i="13"/>
  <c r="AZ28" i="8" s="1"/>
  <c r="P54" i="13"/>
  <c r="Q52" i="13"/>
  <c r="J225" i="31" l="1"/>
  <c r="U28" i="11" s="1"/>
  <c r="S47" i="28" s="1"/>
  <c r="J241" i="31"/>
  <c r="J242" i="31" s="1"/>
  <c r="J226" i="31"/>
  <c r="U20" i="11" s="1"/>
  <c r="R40" i="28"/>
  <c r="F40" i="38" s="1"/>
  <c r="D14" i="39"/>
  <c r="I190" i="31"/>
  <c r="L190" i="31" s="1"/>
  <c r="M12" i="13"/>
  <c r="N7" i="13"/>
  <c r="M13" i="13"/>
  <c r="M20" i="13"/>
  <c r="L43" i="11" s="1"/>
  <c r="BZ146" i="6"/>
  <c r="BZ147" i="6" s="1"/>
  <c r="CB18" i="6"/>
  <c r="CB19" i="6" s="1"/>
  <c r="CB12" i="6"/>
  <c r="CB13" i="6" s="1"/>
  <c r="CB28" i="6" s="1"/>
  <c r="Q55" i="36"/>
  <c r="CB121" i="6" s="1"/>
  <c r="CB146" i="6" s="1"/>
  <c r="BK60" i="8"/>
  <c r="Q17" i="28"/>
  <c r="AI12" i="28"/>
  <c r="AG70" i="8"/>
  <c r="AG76" i="8" s="1"/>
  <c r="Z69" i="13"/>
  <c r="I210" i="31"/>
  <c r="H210" i="31"/>
  <c r="I59" i="31"/>
  <c r="H59" i="31"/>
  <c r="Z10" i="11"/>
  <c r="AA11" i="11"/>
  <c r="CA21" i="6"/>
  <c r="CA29" i="6"/>
  <c r="CA40" i="6"/>
  <c r="CA28" i="6"/>
  <c r="CB89" i="6"/>
  <c r="CB90" i="6" s="1"/>
  <c r="CA89" i="6"/>
  <c r="CA90" i="6" s="1"/>
  <c r="CA122" i="6"/>
  <c r="CA146" i="6" s="1"/>
  <c r="CA107" i="6"/>
  <c r="BZ108" i="6"/>
  <c r="BZ123" i="6" s="1"/>
  <c r="BU230" i="6"/>
  <c r="BT236" i="6"/>
  <c r="BT239" i="6" s="1"/>
  <c r="AT140" i="6"/>
  <c r="AT146" i="6" s="1"/>
  <c r="AY147" i="6" s="1"/>
  <c r="AT144" i="6"/>
  <c r="AT142" i="6"/>
  <c r="J100" i="28"/>
  <c r="J101" i="28" s="1"/>
  <c r="J103" i="28" s="1"/>
  <c r="L43" i="7"/>
  <c r="R80" i="13"/>
  <c r="R74" i="13"/>
  <c r="R81" i="13"/>
  <c r="H61" i="11"/>
  <c r="H58" i="28"/>
  <c r="J39" i="11"/>
  <c r="J3" i="11" s="1"/>
  <c r="J1" i="11"/>
  <c r="J2" i="11"/>
  <c r="K17" i="11"/>
  <c r="K18" i="11" s="1"/>
  <c r="I37" i="28"/>
  <c r="I38" i="28" s="1"/>
  <c r="I3" i="11"/>
  <c r="I61" i="11"/>
  <c r="H3" i="11"/>
  <c r="P33" i="13"/>
  <c r="O42" i="28"/>
  <c r="Q54" i="13"/>
  <c r="Q56" i="13"/>
  <c r="P57" i="13"/>
  <c r="N15" i="28"/>
  <c r="AO21" i="8"/>
  <c r="AO22" i="8" s="1"/>
  <c r="AO59" i="8" s="1"/>
  <c r="R16" i="13"/>
  <c r="M60" i="28"/>
  <c r="M62" i="28" s="1"/>
  <c r="O46" i="11"/>
  <c r="V31" i="7" l="1"/>
  <c r="V49" i="7" s="1"/>
  <c r="S40" i="28"/>
  <c r="G40" i="38" s="1"/>
  <c r="D191" i="31"/>
  <c r="CB40" i="6"/>
  <c r="CB29" i="6"/>
  <c r="N4" i="13"/>
  <c r="N10" i="13"/>
  <c r="N6" i="13"/>
  <c r="J60" i="28"/>
  <c r="J62" i="28" s="1"/>
  <c r="J74" i="28" s="1"/>
  <c r="J111" i="28" s="1"/>
  <c r="L46" i="11"/>
  <c r="L60" i="11" s="1"/>
  <c r="AG105" i="6"/>
  <c r="CA147" i="6"/>
  <c r="CB21" i="6"/>
  <c r="BL60" i="8"/>
  <c r="E38" i="38"/>
  <c r="AL69" i="8"/>
  <c r="AL70" i="8" s="1"/>
  <c r="AL76" i="8" s="1"/>
  <c r="AQ69" i="8" s="1"/>
  <c r="AQ70" i="8" s="1"/>
  <c r="AQ76" i="8" s="1"/>
  <c r="L16" i="11"/>
  <c r="L17" i="11" s="1"/>
  <c r="L18" i="11" s="1"/>
  <c r="AA69" i="13"/>
  <c r="D211" i="31"/>
  <c r="H191" i="31"/>
  <c r="I191" i="31"/>
  <c r="L191" i="31" s="1"/>
  <c r="AA10" i="11"/>
  <c r="AB11" i="11"/>
  <c r="CB147" i="6"/>
  <c r="BV230" i="6"/>
  <c r="BU236" i="6"/>
  <c r="BU239" i="6" s="1"/>
  <c r="CB107" i="6"/>
  <c r="CB108" i="6" s="1"/>
  <c r="CB123" i="6" s="1"/>
  <c r="CA108" i="6"/>
  <c r="CA123" i="6" s="1"/>
  <c r="I3" i="7"/>
  <c r="K1" i="11"/>
  <c r="K39" i="11"/>
  <c r="K2" i="11"/>
  <c r="S73" i="13"/>
  <c r="S72" i="13" s="1"/>
  <c r="R76" i="13"/>
  <c r="I58" i="28"/>
  <c r="J61" i="11"/>
  <c r="H3" i="7"/>
  <c r="M41" i="7"/>
  <c r="L45" i="7"/>
  <c r="R82" i="13"/>
  <c r="R87" i="13" s="1"/>
  <c r="H230" i="31"/>
  <c r="R46" i="13"/>
  <c r="R61" i="13" s="1"/>
  <c r="R18" i="13"/>
  <c r="S16" i="13" s="1"/>
  <c r="S18" i="13" s="1"/>
  <c r="T16" i="13" s="1"/>
  <c r="T18" i="13" s="1"/>
  <c r="R56" i="13"/>
  <c r="Q57" i="13"/>
  <c r="M16" i="11" l="1"/>
  <c r="K37" i="28" s="1"/>
  <c r="K38" i="28" s="1"/>
  <c r="J37" i="28"/>
  <c r="J38" i="28" s="1"/>
  <c r="J58" i="28" s="1"/>
  <c r="AR69" i="8"/>
  <c r="N13" i="13"/>
  <c r="N20" i="13"/>
  <c r="M43" i="11" s="1"/>
  <c r="O7" i="13"/>
  <c r="N12" i="13"/>
  <c r="BM60" i="8"/>
  <c r="AS69" i="8"/>
  <c r="AB69" i="13"/>
  <c r="I211" i="31"/>
  <c r="D212" i="31" s="1"/>
  <c r="H211" i="31"/>
  <c r="I217" i="31" s="1"/>
  <c r="K191" i="31"/>
  <c r="K217" i="31" s="1"/>
  <c r="K237" i="31" s="1"/>
  <c r="AB10" i="11"/>
  <c r="AC11" i="11"/>
  <c r="BW230" i="6"/>
  <c r="BV236" i="6"/>
  <c r="BV239" i="6" s="1"/>
  <c r="K100" i="28"/>
  <c r="K101" i="28" s="1"/>
  <c r="K103" i="28" s="1"/>
  <c r="M43" i="7"/>
  <c r="J3" i="7"/>
  <c r="AU69" i="8"/>
  <c r="N16" i="11"/>
  <c r="L2" i="11"/>
  <c r="L39" i="11"/>
  <c r="S74" i="13"/>
  <c r="S81" i="13"/>
  <c r="S80" i="13"/>
  <c r="S82" i="13" s="1"/>
  <c r="S87" i="13" s="1"/>
  <c r="K61" i="11"/>
  <c r="K3" i="7" s="1"/>
  <c r="K3" i="11"/>
  <c r="Q8" i="7"/>
  <c r="N47" i="28"/>
  <c r="R52" i="13"/>
  <c r="M17" i="11" l="1"/>
  <c r="M18" i="11" s="1"/>
  <c r="AL105" i="6"/>
  <c r="K60" i="28"/>
  <c r="K62" i="28" s="1"/>
  <c r="M46" i="11"/>
  <c r="M60" i="11" s="1"/>
  <c r="O10" i="13"/>
  <c r="O6" i="13"/>
  <c r="O4" i="13"/>
  <c r="I16" i="12"/>
  <c r="L237" i="31"/>
  <c r="I237" i="31"/>
  <c r="G16" i="12" s="1"/>
  <c r="I222" i="31"/>
  <c r="BU23" i="8" s="1"/>
  <c r="D10" i="39" s="1"/>
  <c r="U13" i="13"/>
  <c r="V13" i="13" s="1"/>
  <c r="W13" i="13" s="1"/>
  <c r="X13" i="13" s="1"/>
  <c r="Y13" i="13" s="1"/>
  <c r="Z13" i="13" s="1"/>
  <c r="AA13" i="13" s="1"/>
  <c r="AB13" i="13" s="1"/>
  <c r="AC13" i="13" s="1"/>
  <c r="AD13" i="13" s="1"/>
  <c r="AE13" i="13" s="1"/>
  <c r="AC69" i="13"/>
  <c r="K114" i="28"/>
  <c r="K112" i="28"/>
  <c r="K222" i="31"/>
  <c r="BW23" i="8" s="1"/>
  <c r="T17" i="28" s="1"/>
  <c r="H38" i="38" s="1"/>
  <c r="K230" i="31"/>
  <c r="I212" i="31"/>
  <c r="D213" i="31" s="1"/>
  <c r="H212" i="31"/>
  <c r="AC10" i="11"/>
  <c r="AD11" i="11"/>
  <c r="AD10" i="11" s="1"/>
  <c r="BX230" i="6"/>
  <c r="BW236" i="6"/>
  <c r="BW239" i="6" s="1"/>
  <c r="O15" i="28"/>
  <c r="AP21" i="8"/>
  <c r="S76" i="13"/>
  <c r="T73" i="13"/>
  <c r="T72" i="13" s="1"/>
  <c r="M2" i="11"/>
  <c r="N17" i="11"/>
  <c r="L37" i="28"/>
  <c r="L38" i="28" s="1"/>
  <c r="L114" i="28" s="1"/>
  <c r="K58" i="28"/>
  <c r="L61" i="11"/>
  <c r="L3" i="11"/>
  <c r="N41" i="7"/>
  <c r="M45" i="7"/>
  <c r="P49" i="7"/>
  <c r="P24" i="11"/>
  <c r="N44" i="28" s="1"/>
  <c r="N40" i="28"/>
  <c r="S24" i="11"/>
  <c r="S38" i="11" s="1"/>
  <c r="R8" i="7"/>
  <c r="P15" i="28" s="1"/>
  <c r="R54" i="13"/>
  <c r="M39" i="11" l="1"/>
  <c r="M61" i="11" s="1"/>
  <c r="J16" i="12"/>
  <c r="M237" i="31"/>
  <c r="K16" i="12" s="1"/>
  <c r="O13" i="13"/>
  <c r="O20" i="13"/>
  <c r="N43" i="11" s="1"/>
  <c r="P7" i="13"/>
  <c r="O12" i="13"/>
  <c r="Q44" i="28"/>
  <c r="C15" i="39"/>
  <c r="N18" i="11"/>
  <c r="N63" i="11"/>
  <c r="N19" i="11"/>
  <c r="R17" i="28"/>
  <c r="F38" i="38" s="1"/>
  <c r="AJ12" i="28"/>
  <c r="AD69" i="13"/>
  <c r="L112" i="28"/>
  <c r="BJ21" i="8"/>
  <c r="E6" i="12"/>
  <c r="V19" i="7"/>
  <c r="V9" i="7"/>
  <c r="I213" i="31"/>
  <c r="H213" i="31"/>
  <c r="J217" i="31" s="1"/>
  <c r="BY230" i="6"/>
  <c r="BX236" i="6"/>
  <c r="BX239" i="6" s="1"/>
  <c r="S46" i="13"/>
  <c r="N1" i="11"/>
  <c r="N2" i="11"/>
  <c r="N39" i="11"/>
  <c r="L100" i="28"/>
  <c r="L101" i="28" s="1"/>
  <c r="L103" i="28" s="1"/>
  <c r="N43" i="7"/>
  <c r="L3" i="7"/>
  <c r="L58" i="28"/>
  <c r="M3" i="11"/>
  <c r="K73" i="28" s="1"/>
  <c r="T80" i="13"/>
  <c r="T81" i="13"/>
  <c r="T74" i="13"/>
  <c r="S56" i="13"/>
  <c r="R57" i="13"/>
  <c r="P27" i="7"/>
  <c r="N89" i="28" s="1"/>
  <c r="AQ105" i="6" l="1"/>
  <c r="AY105" i="6" s="1"/>
  <c r="AR102" i="6"/>
  <c r="AR124" i="6" s="1"/>
  <c r="N46" i="11"/>
  <c r="AS102" i="6"/>
  <c r="AS124" i="6" s="1"/>
  <c r="L60" i="28"/>
  <c r="L62" i="28" s="1"/>
  <c r="P10" i="13"/>
  <c r="P6" i="13"/>
  <c r="P4" i="13"/>
  <c r="T82" i="13"/>
  <c r="T87" i="13" s="1"/>
  <c r="J237" i="31"/>
  <c r="H16" i="12" s="1"/>
  <c r="J222" i="31"/>
  <c r="BV23" i="8" s="1"/>
  <c r="J230" i="31"/>
  <c r="AE69" i="13"/>
  <c r="BZ230" i="6"/>
  <c r="BY236" i="6"/>
  <c r="BY239" i="6" s="1"/>
  <c r="S61" i="13"/>
  <c r="S52" i="13"/>
  <c r="S54" i="13" s="1"/>
  <c r="S57" i="13" s="1"/>
  <c r="K74" i="28"/>
  <c r="O41" i="7"/>
  <c r="M100" i="28" s="1"/>
  <c r="N45" i="7"/>
  <c r="U73" i="13"/>
  <c r="U72" i="13" s="1"/>
  <c r="T76" i="13"/>
  <c r="M3" i="7"/>
  <c r="AS60" i="8"/>
  <c r="P13" i="13" l="1"/>
  <c r="Q7" i="13"/>
  <c r="P20" i="13"/>
  <c r="P12" i="13"/>
  <c r="N60" i="11"/>
  <c r="N61" i="11" s="1"/>
  <c r="O24" i="7"/>
  <c r="O27" i="7" s="1"/>
  <c r="M89" i="28" s="1"/>
  <c r="K111" i="28"/>
  <c r="K113" i="28"/>
  <c r="S17" i="28"/>
  <c r="G38" i="38" s="1"/>
  <c r="U19" i="7"/>
  <c r="U9" i="7"/>
  <c r="T56" i="13"/>
  <c r="BZ236" i="6"/>
  <c r="BZ239" i="6" s="1"/>
  <c r="CA230" i="6"/>
  <c r="U81" i="13"/>
  <c r="U74" i="13"/>
  <c r="U80" i="13"/>
  <c r="O47" i="28"/>
  <c r="AS62" i="8"/>
  <c r="AR60" i="8"/>
  <c r="AR25" i="8"/>
  <c r="AR32" i="8" s="1"/>
  <c r="AQ22" i="8"/>
  <c r="AQ59" i="8" s="1"/>
  <c r="BI105" i="6"/>
  <c r="BN105" i="6" s="1"/>
  <c r="BD105" i="6"/>
  <c r="BR105" i="6" s="1"/>
  <c r="Q27" i="7"/>
  <c r="O89" i="28" s="1"/>
  <c r="BS105" i="6" l="1"/>
  <c r="N3" i="7"/>
  <c r="N3" i="11"/>
  <c r="L73" i="28" s="1"/>
  <c r="L74" i="28" s="1"/>
  <c r="L111" i="28" s="1"/>
  <c r="Q4" i="13"/>
  <c r="Q10" i="13"/>
  <c r="Q6" i="13"/>
  <c r="E8" i="12"/>
  <c r="U76" i="13"/>
  <c r="V73" i="13"/>
  <c r="V72" i="13" s="1"/>
  <c r="U24" i="11"/>
  <c r="S44" i="28" s="1"/>
  <c r="CB230" i="6"/>
  <c r="CB236" i="6" s="1"/>
  <c r="CB239" i="6" s="1"/>
  <c r="CA236" i="6"/>
  <c r="CA239" i="6" s="1"/>
  <c r="U82" i="13"/>
  <c r="U87" i="13" s="1"/>
  <c r="I230" i="31"/>
  <c r="U31" i="7"/>
  <c r="U49" i="7" s="1"/>
  <c r="AS63" i="8"/>
  <c r="AS48" i="8"/>
  <c r="AS35" i="8"/>
  <c r="AS31" i="8"/>
  <c r="AR62" i="8"/>
  <c r="R27" i="7"/>
  <c r="L113" i="28" l="1"/>
  <c r="T6" i="13"/>
  <c r="T4" i="13"/>
  <c r="P89" i="28"/>
  <c r="B24" i="39"/>
  <c r="R7" i="13"/>
  <c r="Q20" i="13"/>
  <c r="P43" i="11" s="1"/>
  <c r="Q13" i="13"/>
  <c r="Q12" i="13"/>
  <c r="V74" i="13"/>
  <c r="V80" i="13"/>
  <c r="V81" i="13"/>
  <c r="BT105" i="6"/>
  <c r="T31" i="7"/>
  <c r="T24" i="11"/>
  <c r="D15" i="39" s="1"/>
  <c r="O40" i="28"/>
  <c r="C40" i="38" s="1"/>
  <c r="Q24" i="11"/>
  <c r="O44" i="28" s="1"/>
  <c r="AS34" i="8"/>
  <c r="AS77" i="8"/>
  <c r="AS70" i="8"/>
  <c r="AS76" i="8" s="1"/>
  <c r="AS64" i="8"/>
  <c r="AS41" i="8"/>
  <c r="AS42" i="8" s="1"/>
  <c r="AS40" i="8"/>
  <c r="AR63" i="8"/>
  <c r="AR48" i="8"/>
  <c r="AR35" i="8"/>
  <c r="AR30" i="8"/>
  <c r="AR31" i="8"/>
  <c r="AR34" i="8" s="1"/>
  <c r="AY136" i="6"/>
  <c r="AU13" i="8"/>
  <c r="O95" i="11" s="1"/>
  <c r="R10" i="13" l="1"/>
  <c r="S7" i="13" s="1"/>
  <c r="R6" i="13"/>
  <c r="R4" i="13"/>
  <c r="N60" i="28"/>
  <c r="N62" i="28" s="1"/>
  <c r="P46" i="11"/>
  <c r="AY102" i="6"/>
  <c r="R44" i="28"/>
  <c r="V82" i="13"/>
  <c r="V87" i="13" s="1"/>
  <c r="V76" i="13"/>
  <c r="W73" i="13"/>
  <c r="W72" i="13" s="1"/>
  <c r="V24" i="11"/>
  <c r="T44" i="28" s="1"/>
  <c r="BV105" i="6"/>
  <c r="BU105" i="6"/>
  <c r="T49" i="7"/>
  <c r="Q49" i="7"/>
  <c r="AS37" i="8"/>
  <c r="AR77" i="8"/>
  <c r="AR70" i="8"/>
  <c r="AR76" i="8" s="1"/>
  <c r="AR64" i="8"/>
  <c r="AR41" i="8"/>
  <c r="AR42" i="8" s="1"/>
  <c r="AR33" i="8"/>
  <c r="AR40" i="8" s="1"/>
  <c r="M8" i="28"/>
  <c r="S10" i="13" l="1"/>
  <c r="R20" i="13"/>
  <c r="Q43" i="11" s="1"/>
  <c r="R13" i="13"/>
  <c r="R12" i="13"/>
  <c r="W80" i="13"/>
  <c r="W81" i="13"/>
  <c r="W74" i="13"/>
  <c r="BW105" i="6"/>
  <c r="BX105" i="6"/>
  <c r="W24" i="11"/>
  <c r="O81" i="11"/>
  <c r="O85" i="11" s="1"/>
  <c r="O91" i="11" s="1"/>
  <c r="O17" i="7" s="1"/>
  <c r="M68" i="28"/>
  <c r="O60" i="28" l="1"/>
  <c r="O62" i="28" s="1"/>
  <c r="Q46" i="11"/>
  <c r="BD102" i="6"/>
  <c r="S13" i="13"/>
  <c r="T7" i="13"/>
  <c r="S20" i="13"/>
  <c r="R43" i="11" s="1"/>
  <c r="S12" i="13"/>
  <c r="W82" i="13"/>
  <c r="W87" i="13" s="1"/>
  <c r="W76" i="13"/>
  <c r="X73" i="13"/>
  <c r="X72" i="13" s="1"/>
  <c r="X24" i="11"/>
  <c r="BZ105" i="6"/>
  <c r="BY105" i="6"/>
  <c r="R24" i="11"/>
  <c r="M10" i="28"/>
  <c r="T38" i="13" l="1"/>
  <c r="T42" i="13" s="1"/>
  <c r="P60" i="28"/>
  <c r="P62" i="28" s="1"/>
  <c r="R46" i="11"/>
  <c r="R51" i="11" s="1"/>
  <c r="BI102" i="6"/>
  <c r="P44" i="28"/>
  <c r="B15" i="39"/>
  <c r="X74" i="13"/>
  <c r="X80" i="13"/>
  <c r="X81" i="13"/>
  <c r="CB105" i="6"/>
  <c r="CB102" i="6" s="1"/>
  <c r="CB124" i="6" s="1"/>
  <c r="Y24" i="11"/>
  <c r="CA105" i="6"/>
  <c r="G230" i="31"/>
  <c r="T10" i="13" l="1"/>
  <c r="T20" i="13" s="1"/>
  <c r="S43" i="11" s="1"/>
  <c r="S46" i="11" s="1"/>
  <c r="S51" i="11" s="1"/>
  <c r="T44" i="13"/>
  <c r="U39" i="13" s="1"/>
  <c r="B19" i="39"/>
  <c r="X76" i="13"/>
  <c r="Y73" i="13"/>
  <c r="Y72" i="13" s="1"/>
  <c r="X82" i="13"/>
  <c r="X87" i="13" s="1"/>
  <c r="Z24" i="11"/>
  <c r="S31" i="7"/>
  <c r="U7" i="13" l="1"/>
  <c r="U8" i="13" s="1"/>
  <c r="Y80" i="13"/>
  <c r="Y81" i="13"/>
  <c r="Y74" i="13"/>
  <c r="AA24" i="11"/>
  <c r="R49" i="7"/>
  <c r="S49" i="7"/>
  <c r="U38" i="13" l="1"/>
  <c r="U42" i="13" s="1"/>
  <c r="S8" i="7"/>
  <c r="T21" i="13"/>
  <c r="T12" i="13"/>
  <c r="T46" i="13"/>
  <c r="Y76" i="13"/>
  <c r="Z73" i="13"/>
  <c r="Z72" i="13" s="1"/>
  <c r="Y82" i="13"/>
  <c r="Y87" i="13" s="1"/>
  <c r="AB24" i="11"/>
  <c r="M19" i="28"/>
  <c r="U10" i="13" l="1"/>
  <c r="U15" i="13" s="1"/>
  <c r="U46" i="13" s="1"/>
  <c r="U61" i="13" s="1"/>
  <c r="U44" i="13"/>
  <c r="V39" i="13" s="1"/>
  <c r="T52" i="13"/>
  <c r="T61" i="13"/>
  <c r="Q15" i="28"/>
  <c r="F6" i="12"/>
  <c r="Q5" i="12" s="1"/>
  <c r="BP21" i="8"/>
  <c r="U16" i="13"/>
  <c r="Z74" i="13"/>
  <c r="Z80" i="13"/>
  <c r="Z81" i="13"/>
  <c r="AD24" i="11"/>
  <c r="AC24" i="11"/>
  <c r="AT201" i="6"/>
  <c r="AT203" i="6" s="1"/>
  <c r="AT204" i="6" s="1"/>
  <c r="O9" i="7"/>
  <c r="M17" i="28"/>
  <c r="V7" i="13" l="1"/>
  <c r="V8" i="13" s="1"/>
  <c r="V38" i="13" s="1"/>
  <c r="V42" i="13" s="1"/>
  <c r="BN102" i="6"/>
  <c r="Q60" i="28"/>
  <c r="Q62" i="28" s="1"/>
  <c r="T54" i="13"/>
  <c r="U52" i="13"/>
  <c r="V10" i="13"/>
  <c r="U21" i="13"/>
  <c r="T8" i="7"/>
  <c r="U12" i="13"/>
  <c r="U18" i="13"/>
  <c r="Z82" i="13"/>
  <c r="Z87" i="13" s="1"/>
  <c r="Z76" i="13"/>
  <c r="AA73" i="13"/>
  <c r="AA72" i="13" s="1"/>
  <c r="AT210" i="6"/>
  <c r="AT214" i="6"/>
  <c r="AT216" i="6" s="1"/>
  <c r="AT217" i="6" s="1"/>
  <c r="AT218" i="6" s="1"/>
  <c r="U54" i="13" l="1"/>
  <c r="R15" i="28"/>
  <c r="BU21" i="8"/>
  <c r="G6" i="12"/>
  <c r="R5" i="12" s="1"/>
  <c r="W7" i="13"/>
  <c r="W8" i="13" s="1"/>
  <c r="V15" i="13"/>
  <c r="C19" i="39"/>
  <c r="S24" i="7"/>
  <c r="V16" i="13"/>
  <c r="U20" i="13"/>
  <c r="T43" i="11" s="1"/>
  <c r="T46" i="11" s="1"/>
  <c r="U56" i="13"/>
  <c r="T57" i="13"/>
  <c r="V44" i="13"/>
  <c r="W39" i="13" s="1"/>
  <c r="AA80" i="13"/>
  <c r="AA81" i="13"/>
  <c r="AA74" i="13"/>
  <c r="V46" i="13" l="1"/>
  <c r="V61" i="13" s="1"/>
  <c r="U8" i="7"/>
  <c r="V21" i="13"/>
  <c r="V12" i="13"/>
  <c r="V18" i="13"/>
  <c r="V52" i="13"/>
  <c r="V56" i="13"/>
  <c r="U57" i="13"/>
  <c r="R60" i="28"/>
  <c r="R62" i="28" s="1"/>
  <c r="W10" i="13"/>
  <c r="W38" i="13"/>
  <c r="W42" i="13" s="1"/>
  <c r="W44" i="13" s="1"/>
  <c r="X39" i="13" s="1"/>
  <c r="F8" i="12"/>
  <c r="Q7" i="12" s="1"/>
  <c r="S27" i="7"/>
  <c r="AA82" i="13"/>
  <c r="AA87" i="13" s="1"/>
  <c r="AA76" i="13"/>
  <c r="AB73" i="13"/>
  <c r="AB72" i="13" s="1"/>
  <c r="W15" i="13" l="1"/>
  <c r="X7" i="13"/>
  <c r="W16" i="13"/>
  <c r="V20" i="13"/>
  <c r="U43" i="11" s="1"/>
  <c r="BR102" i="6" s="1"/>
  <c r="V54" i="13"/>
  <c r="Q89" i="28"/>
  <c r="C24" i="39"/>
  <c r="D19" i="39"/>
  <c r="T24" i="7"/>
  <c r="S15" i="28"/>
  <c r="H6" i="12"/>
  <c r="S5" i="12" s="1"/>
  <c r="BS206" i="6"/>
  <c r="BV21" i="8"/>
  <c r="AB74" i="13"/>
  <c r="AB80" i="13"/>
  <c r="AB81" i="13"/>
  <c r="W12" i="13" l="1"/>
  <c r="W18" i="13"/>
  <c r="V8" i="7"/>
  <c r="W56" i="13"/>
  <c r="V57" i="13"/>
  <c r="W46" i="13"/>
  <c r="S60" i="28"/>
  <c r="S62" i="28" s="1"/>
  <c r="U46" i="11"/>
  <c r="U24" i="7" s="1"/>
  <c r="X8" i="13"/>
  <c r="X38" i="13" s="1"/>
  <c r="X42" i="13" s="1"/>
  <c r="T27" i="7"/>
  <c r="G8" i="12"/>
  <c r="R7" i="12" s="1"/>
  <c r="AB82" i="13"/>
  <c r="AB87" i="13" s="1"/>
  <c r="AB76" i="13"/>
  <c r="AC73" i="13"/>
  <c r="AC72" i="13" s="1"/>
  <c r="D218" i="31"/>
  <c r="D222" i="31" s="1"/>
  <c r="W61" i="13" l="1"/>
  <c r="W52" i="13"/>
  <c r="T15" i="28"/>
  <c r="I6" i="12"/>
  <c r="T5" i="12" s="1"/>
  <c r="BW21" i="8"/>
  <c r="BT206" i="6"/>
  <c r="X10" i="13"/>
  <c r="H8" i="12"/>
  <c r="S7" i="12" s="1"/>
  <c r="U27" i="7"/>
  <c r="S89" i="28" s="1"/>
  <c r="X44" i="13"/>
  <c r="Y39" i="13" s="1"/>
  <c r="X16" i="13"/>
  <c r="W20" i="13"/>
  <c r="V43" i="11" s="1"/>
  <c r="R89" i="28"/>
  <c r="D24" i="39"/>
  <c r="AC80" i="13"/>
  <c r="AC81" i="13"/>
  <c r="AC74" i="13"/>
  <c r="O37" i="11"/>
  <c r="O38" i="11" s="1"/>
  <c r="O30" i="7"/>
  <c r="O44" i="7" s="1"/>
  <c r="M51" i="28"/>
  <c r="W54" i="13" l="1"/>
  <c r="X15" i="13"/>
  <c r="X12" i="13" s="1"/>
  <c r="Y7" i="13"/>
  <c r="V46" i="11"/>
  <c r="BS102" i="6"/>
  <c r="BS124" i="6" s="1"/>
  <c r="T60" i="28"/>
  <c r="T62" i="28" s="1"/>
  <c r="AC82" i="13"/>
  <c r="AC87" i="13" s="1"/>
  <c r="AC76" i="13"/>
  <c r="AD73" i="13"/>
  <c r="AD72" i="13" s="1"/>
  <c r="M56" i="28"/>
  <c r="M57" i="28" s="1"/>
  <c r="M102" i="28"/>
  <c r="X56" i="13" l="1"/>
  <c r="W57" i="13"/>
  <c r="W8" i="7"/>
  <c r="X18" i="13"/>
  <c r="X46" i="13"/>
  <c r="V24" i="7"/>
  <c r="Y8" i="13"/>
  <c r="Y38" i="13" s="1"/>
  <c r="Y42" i="13" s="1"/>
  <c r="Y44" i="13" s="1"/>
  <c r="Z39" i="13" s="1"/>
  <c r="AD74" i="13"/>
  <c r="AD80" i="13"/>
  <c r="AD81" i="13"/>
  <c r="R76" i="11"/>
  <c r="O59" i="11"/>
  <c r="O60" i="11" s="1"/>
  <c r="M72" i="28"/>
  <c r="C45" i="12"/>
  <c r="Y10" i="13" l="1"/>
  <c r="Y15" i="13" s="1"/>
  <c r="X61" i="13"/>
  <c r="X52" i="13"/>
  <c r="I8" i="12"/>
  <c r="T7" i="12" s="1"/>
  <c r="V27" i="7"/>
  <c r="T89" i="28" s="1"/>
  <c r="J6" i="12"/>
  <c r="U5" i="12" s="1"/>
  <c r="BX21" i="8"/>
  <c r="BU206" i="6"/>
  <c r="X20" i="13"/>
  <c r="W43" i="11" s="1"/>
  <c r="Y16" i="13"/>
  <c r="AD82" i="13"/>
  <c r="AD87" i="13" s="1"/>
  <c r="AD76" i="13"/>
  <c r="AE73" i="13"/>
  <c r="AE72" i="13" s="1"/>
  <c r="S76" i="11"/>
  <c r="Z7" i="13" l="1"/>
  <c r="Y46" i="13"/>
  <c r="Y61" i="13" s="1"/>
  <c r="Y18" i="13"/>
  <c r="Y12" i="13"/>
  <c r="X8" i="7"/>
  <c r="K6" i="12" s="1"/>
  <c r="BT102" i="6"/>
  <c r="BT124" i="6" s="1"/>
  <c r="W46" i="11"/>
  <c r="X54" i="13"/>
  <c r="Z8" i="13"/>
  <c r="AE80" i="13"/>
  <c r="AE81" i="13"/>
  <c r="AE74" i="13"/>
  <c r="AE76" i="13" s="1"/>
  <c r="T76" i="11"/>
  <c r="U76" i="11" s="1"/>
  <c r="V76" i="11" s="1"/>
  <c r="W76" i="11" s="1"/>
  <c r="X76" i="11" s="1"/>
  <c r="Y76" i="11" s="1"/>
  <c r="Z76" i="11" s="1"/>
  <c r="AA76" i="11" s="1"/>
  <c r="AB76" i="11" s="1"/>
  <c r="AC76" i="11" s="1"/>
  <c r="AD76" i="11" s="1"/>
  <c r="Z38" i="13" l="1"/>
  <c r="Z42" i="13" s="1"/>
  <c r="Z44" i="13" s="1"/>
  <c r="AA39" i="13" s="1"/>
  <c r="W24" i="7"/>
  <c r="Y56" i="13"/>
  <c r="X57" i="13"/>
  <c r="Z16" i="13"/>
  <c r="Y20" i="13"/>
  <c r="X43" i="11" s="1"/>
  <c r="BV206" i="6"/>
  <c r="BY21" i="8"/>
  <c r="Z10" i="13"/>
  <c r="Y52" i="13"/>
  <c r="AE82" i="13"/>
  <c r="AE87" i="13" s="1"/>
  <c r="BD59" i="6"/>
  <c r="AA7" i="13" l="1"/>
  <c r="AA8" i="13" s="1"/>
  <c r="Z15" i="13"/>
  <c r="Z46" i="13" s="1"/>
  <c r="Z61" i="13" s="1"/>
  <c r="BZ28" i="8" s="1"/>
  <c r="Y54" i="13"/>
  <c r="X46" i="11"/>
  <c r="X24" i="7" s="1"/>
  <c r="BU102" i="6"/>
  <c r="BU124" i="6" s="1"/>
  <c r="J8" i="12"/>
  <c r="U7" i="12" s="1"/>
  <c r="W27" i="7"/>
  <c r="BD64" i="6"/>
  <c r="BD60" i="6"/>
  <c r="BN58" i="6"/>
  <c r="BI59" i="6"/>
  <c r="AZ50" i="8"/>
  <c r="N7" i="28"/>
  <c r="AP130" i="6"/>
  <c r="AM193" i="6"/>
  <c r="AP158" i="6"/>
  <c r="AP159" i="6" s="1"/>
  <c r="AY166" i="6"/>
  <c r="AY167" i="6" s="1"/>
  <c r="X27" i="7" l="1"/>
  <c r="K8" i="12"/>
  <c r="Z52" i="13"/>
  <c r="Z54" i="13" s="1"/>
  <c r="Z12" i="13"/>
  <c r="Y8" i="7"/>
  <c r="Z18" i="13"/>
  <c r="AA10" i="13"/>
  <c r="AA38" i="13"/>
  <c r="AA42" i="13" s="1"/>
  <c r="Z56" i="13"/>
  <c r="Y57" i="13"/>
  <c r="AZ129" i="6"/>
  <c r="AZ134" i="6" s="1"/>
  <c r="AZ53" i="8"/>
  <c r="N71" i="28"/>
  <c r="N52" i="28"/>
  <c r="P90" i="11"/>
  <c r="N67" i="28"/>
  <c r="P80" i="11"/>
  <c r="P82" i="11"/>
  <c r="N69" i="28"/>
  <c r="AY208" i="6"/>
  <c r="AY209" i="6" s="1"/>
  <c r="BI60" i="6"/>
  <c r="BI63" i="6"/>
  <c r="BI64" i="6"/>
  <c r="BR58" i="6"/>
  <c r="BS58" i="6" s="1"/>
  <c r="AA56" i="13" l="1"/>
  <c r="Z57" i="13"/>
  <c r="AA15" i="13"/>
  <c r="AA46" i="13" s="1"/>
  <c r="AB7" i="13"/>
  <c r="AA16" i="13"/>
  <c r="Z20" i="13"/>
  <c r="Y43" i="11" s="1"/>
  <c r="BZ21" i="8"/>
  <c r="BW206" i="6"/>
  <c r="AA44" i="13"/>
  <c r="AB39" i="13" s="1"/>
  <c r="AH9" i="28"/>
  <c r="P7" i="28"/>
  <c r="P52" i="28"/>
  <c r="P56" i="28" s="1"/>
  <c r="P57" i="28" s="1"/>
  <c r="BJ5" i="8"/>
  <c r="BI249" i="6"/>
  <c r="BV10" i="8"/>
  <c r="BT58" i="6"/>
  <c r="BA129" i="6"/>
  <c r="BA134" i="6" s="1"/>
  <c r="AZ140" i="6"/>
  <c r="AZ144" i="6"/>
  <c r="AZ142" i="6"/>
  <c r="BU10" i="8"/>
  <c r="BJ50" i="8"/>
  <c r="BJ53" i="8"/>
  <c r="AO193" i="6"/>
  <c r="BI166" i="6"/>
  <c r="AA12" i="13" l="1"/>
  <c r="AA18" i="13"/>
  <c r="Z8" i="7"/>
  <c r="AA61" i="13"/>
  <c r="CA28" i="8" s="1"/>
  <c r="AA52" i="13"/>
  <c r="BV102" i="6"/>
  <c r="BV124" i="6" s="1"/>
  <c r="Y46" i="11"/>
  <c r="AB8" i="13"/>
  <c r="AB10" i="13" s="1"/>
  <c r="BL129" i="6"/>
  <c r="BL134" i="6" s="1"/>
  <c r="BK129" i="6"/>
  <c r="BK134" i="6" s="1"/>
  <c r="D36" i="38"/>
  <c r="AM10" i="28"/>
  <c r="D30" i="38"/>
  <c r="X120" i="28"/>
  <c r="P67" i="28"/>
  <c r="BU249" i="6"/>
  <c r="BV249" i="6"/>
  <c r="BW249" i="6"/>
  <c r="BW10" i="8"/>
  <c r="BU58" i="6"/>
  <c r="BA142" i="6"/>
  <c r="BA144" i="6"/>
  <c r="BA140" i="6"/>
  <c r="AZ146" i="6"/>
  <c r="AZ147" i="6" s="1"/>
  <c r="R75" i="11"/>
  <c r="BI208" i="6"/>
  <c r="BI209" i="6" s="1"/>
  <c r="AZ14" i="8"/>
  <c r="N8" i="28"/>
  <c r="AZ51" i="8"/>
  <c r="AB15" i="13" l="1"/>
  <c r="AC7" i="13"/>
  <c r="AC8" i="13" s="1"/>
  <c r="AA54" i="13"/>
  <c r="AB16" i="13"/>
  <c r="AA20" i="13"/>
  <c r="Z43" i="11" s="1"/>
  <c r="Y24" i="7"/>
  <c r="Y27" i="7" s="1"/>
  <c r="CA21" i="8"/>
  <c r="BX206" i="6"/>
  <c r="AB38" i="13"/>
  <c r="AB42" i="13" s="1"/>
  <c r="AB44" i="13" s="1"/>
  <c r="AC39" i="13" s="1"/>
  <c r="BK61" i="8"/>
  <c r="BK140" i="6"/>
  <c r="BL13" i="8" s="1"/>
  <c r="D5" i="34" s="1"/>
  <c r="BK142" i="6"/>
  <c r="BK144" i="6"/>
  <c r="BL144" i="6"/>
  <c r="BL142" i="6"/>
  <c r="BL140" i="6"/>
  <c r="BM129" i="6"/>
  <c r="BM134" i="6" s="1"/>
  <c r="CA249" i="6"/>
  <c r="BZ249" i="6"/>
  <c r="CB249" i="6"/>
  <c r="BX10" i="8"/>
  <c r="BV58" i="6"/>
  <c r="BA146" i="6"/>
  <c r="BB147" i="6" s="1"/>
  <c r="BA14" i="8"/>
  <c r="AZ52" i="8"/>
  <c r="BN208" i="6"/>
  <c r="BN209" i="6" s="1"/>
  <c r="S30" i="7"/>
  <c r="N9" i="28"/>
  <c r="P81" i="11"/>
  <c r="P85" i="11" s="1"/>
  <c r="N68" i="28"/>
  <c r="T84" i="11"/>
  <c r="AB46" i="13" l="1"/>
  <c r="AB18" i="13"/>
  <c r="AA8" i="7"/>
  <c r="AB12" i="13"/>
  <c r="BW102" i="6"/>
  <c r="BW124" i="6" s="1"/>
  <c r="Z46" i="11"/>
  <c r="AC10" i="13"/>
  <c r="AC38" i="13"/>
  <c r="AC42" i="13" s="1"/>
  <c r="AC44" i="13" s="1"/>
  <c r="AD39" i="13" s="1"/>
  <c r="AA57" i="13"/>
  <c r="AB56" i="13"/>
  <c r="BL61" i="8"/>
  <c r="BK146" i="6"/>
  <c r="BK147" i="6" s="1"/>
  <c r="BM61" i="8"/>
  <c r="BL146" i="6"/>
  <c r="BM140" i="6"/>
  <c r="BN13" i="8" s="1"/>
  <c r="BM144" i="6"/>
  <c r="BM142" i="6"/>
  <c r="AG39" i="28"/>
  <c r="N107" i="28"/>
  <c r="BA21" i="8"/>
  <c r="P91" i="11"/>
  <c r="P17" i="7" s="1"/>
  <c r="BS208" i="6"/>
  <c r="BS209" i="6" s="1"/>
  <c r="U30" i="7"/>
  <c r="U84" i="11"/>
  <c r="V84" i="11"/>
  <c r="BY10" i="8"/>
  <c r="BW58" i="6"/>
  <c r="BA52" i="8"/>
  <c r="BA147" i="6"/>
  <c r="BB14" i="8"/>
  <c r="BA17" i="8"/>
  <c r="AZ17" i="8"/>
  <c r="AZ55" i="8" s="1"/>
  <c r="BR208" i="6"/>
  <c r="BR209" i="6" s="1"/>
  <c r="N10" i="28"/>
  <c r="AP165" i="6"/>
  <c r="AZ54" i="8"/>
  <c r="AB61" i="13" l="1"/>
  <c r="CB28" i="8" s="1"/>
  <c r="AB52" i="13"/>
  <c r="AC16" i="13"/>
  <c r="AB20" i="13"/>
  <c r="AA43" i="11" s="1"/>
  <c r="AD7" i="13"/>
  <c r="AD8" i="13" s="1"/>
  <c r="AC15" i="13"/>
  <c r="AC46" i="13" s="1"/>
  <c r="AC61" i="13" s="1"/>
  <c r="CC28" i="8" s="1"/>
  <c r="CB21" i="8"/>
  <c r="BY206" i="6"/>
  <c r="Z24" i="7"/>
  <c r="Z27" i="7" s="1"/>
  <c r="C5" i="34"/>
  <c r="F5" i="34"/>
  <c r="BL147" i="6"/>
  <c r="BM146" i="6"/>
  <c r="BM147" i="6" s="1"/>
  <c r="BM51" i="8"/>
  <c r="BM14" i="8"/>
  <c r="C6" i="34" s="1"/>
  <c r="BL51" i="8"/>
  <c r="BL14" i="8"/>
  <c r="BB21" i="8"/>
  <c r="BC46" i="8"/>
  <c r="BA55" i="8"/>
  <c r="BZ10" i="8"/>
  <c r="BX58" i="6"/>
  <c r="W84" i="11"/>
  <c r="BT208" i="6"/>
  <c r="V30" i="7"/>
  <c r="AM248" i="6"/>
  <c r="BB17" i="8"/>
  <c r="BB55" i="8" s="1"/>
  <c r="BB52" i="8"/>
  <c r="BA20" i="8"/>
  <c r="BR206" i="6"/>
  <c r="T19" i="7"/>
  <c r="T9" i="7"/>
  <c r="N11" i="28"/>
  <c r="N108" i="28" s="1"/>
  <c r="AM168" i="6"/>
  <c r="AM169" i="6" s="1"/>
  <c r="AZ61" i="8"/>
  <c r="AP250" i="6"/>
  <c r="N13" i="28"/>
  <c r="AD10" i="13" l="1"/>
  <c r="AD38" i="13"/>
  <c r="AD42" i="13" s="1"/>
  <c r="AC18" i="13"/>
  <c r="AC12" i="13"/>
  <c r="AB8" i="7"/>
  <c r="AB54" i="13"/>
  <c r="AC52" i="13"/>
  <c r="AC54" i="13" s="1"/>
  <c r="AA46" i="11"/>
  <c r="BX102" i="6"/>
  <c r="BX124" i="6" s="1"/>
  <c r="D6" i="34"/>
  <c r="F6" i="34"/>
  <c r="BB20" i="8"/>
  <c r="BB57" i="8" s="1"/>
  <c r="BL52" i="8"/>
  <c r="BM52" i="8"/>
  <c r="BT209" i="6"/>
  <c r="X84" i="11"/>
  <c r="Q34" i="7"/>
  <c r="Q38" i="7" s="1"/>
  <c r="O98" i="28" s="1"/>
  <c r="BU208" i="6"/>
  <c r="W30" i="7"/>
  <c r="BY58" i="6"/>
  <c r="CA10" i="8"/>
  <c r="BA25" i="8"/>
  <c r="BA30" i="8" s="1"/>
  <c r="BA57" i="8"/>
  <c r="BZ206" i="6" l="1"/>
  <c r="CC21" i="8"/>
  <c r="AB57" i="13"/>
  <c r="AC56" i="13"/>
  <c r="AC57" i="13" s="1"/>
  <c r="BB25" i="8"/>
  <c r="BB31" i="8" s="1"/>
  <c r="AD44" i="13"/>
  <c r="AE39" i="13" s="1"/>
  <c r="AA24" i="7"/>
  <c r="AA27" i="7" s="1"/>
  <c r="AE7" i="13"/>
  <c r="AD15" i="13"/>
  <c r="AD46" i="13" s="1"/>
  <c r="AD56" i="13"/>
  <c r="AD16" i="13"/>
  <c r="AC20" i="13"/>
  <c r="AB43" i="11" s="1"/>
  <c r="BA64" i="8"/>
  <c r="BA62" i="8"/>
  <c r="BA26" i="8" s="1"/>
  <c r="BA27" i="8" s="1"/>
  <c r="BZ58" i="6"/>
  <c r="CB10" i="8"/>
  <c r="BU209" i="6"/>
  <c r="Y84" i="11"/>
  <c r="X30" i="7"/>
  <c r="R38" i="7"/>
  <c r="BJ56" i="8"/>
  <c r="BV208" i="6"/>
  <c r="BA32" i="8"/>
  <c r="BA33" i="8"/>
  <c r="AZ56" i="8"/>
  <c r="AZ20" i="8"/>
  <c r="P34" i="7"/>
  <c r="BB62" i="8" l="1"/>
  <c r="BB26" i="8" s="1"/>
  <c r="BB27" i="8" s="1"/>
  <c r="BB30" i="8"/>
  <c r="BB64" i="8" s="1"/>
  <c r="BB34" i="8"/>
  <c r="P98" i="28"/>
  <c r="B25" i="39"/>
  <c r="AD52" i="13"/>
  <c r="AD48" i="13"/>
  <c r="AD50" i="13" s="1"/>
  <c r="AD61" i="13"/>
  <c r="CD28" i="8" s="1"/>
  <c r="AE8" i="13"/>
  <c r="AC8" i="7"/>
  <c r="AD18" i="13"/>
  <c r="AD12" i="13"/>
  <c r="BB32" i="8"/>
  <c r="AB46" i="11"/>
  <c r="BY102" i="6"/>
  <c r="BY124" i="6" s="1"/>
  <c r="P38" i="7"/>
  <c r="N98" i="28" s="1"/>
  <c r="S34" i="7"/>
  <c r="S38" i="7" s="1"/>
  <c r="Y30" i="7"/>
  <c r="BV209" i="6"/>
  <c r="BW208" i="6"/>
  <c r="CA58" i="6"/>
  <c r="CC10" i="8"/>
  <c r="AZ25" i="8"/>
  <c r="N14" i="28"/>
  <c r="AZ22" i="8"/>
  <c r="AZ59" i="8" s="1"/>
  <c r="AZ57" i="8"/>
  <c r="BB33" i="8" l="1"/>
  <c r="Q98" i="28"/>
  <c r="C25" i="39"/>
  <c r="AE38" i="13"/>
  <c r="AE42" i="13" s="1"/>
  <c r="AE44" i="13" s="1"/>
  <c r="AD54" i="13"/>
  <c r="AE10" i="13"/>
  <c r="AE15" i="13" s="1"/>
  <c r="AE16" i="13"/>
  <c r="AD20" i="13"/>
  <c r="AC43" i="11" s="1"/>
  <c r="AB24" i="7"/>
  <c r="AB27" i="7" s="1"/>
  <c r="CD21" i="8"/>
  <c r="CA206" i="6"/>
  <c r="Z84" i="11"/>
  <c r="BW209" i="6"/>
  <c r="AA84" i="11"/>
  <c r="T13" i="7"/>
  <c r="T34" i="7" s="1"/>
  <c r="T38" i="7" s="1"/>
  <c r="Z30" i="7"/>
  <c r="CD10" i="8"/>
  <c r="CB58" i="6"/>
  <c r="BX208" i="6"/>
  <c r="N16" i="28"/>
  <c r="N109" i="28" s="1"/>
  <c r="AE18" i="13" l="1"/>
  <c r="AE20" i="13" s="1"/>
  <c r="AD43" i="11" s="1"/>
  <c r="AE12" i="13"/>
  <c r="AD8" i="7"/>
  <c r="AE46" i="13"/>
  <c r="R98" i="28"/>
  <c r="D25" i="39"/>
  <c r="AC46" i="11"/>
  <c r="AC24" i="7" s="1"/>
  <c r="AC27" i="7" s="1"/>
  <c r="BZ102" i="6"/>
  <c r="BZ124" i="6" s="1"/>
  <c r="AD57" i="13"/>
  <c r="AD59" i="13" s="1"/>
  <c r="AE56" i="13"/>
  <c r="BX209" i="6"/>
  <c r="U13" i="7"/>
  <c r="U34" i="7" s="1"/>
  <c r="U38" i="7" s="1"/>
  <c r="S98" i="28" s="1"/>
  <c r="AB84" i="11"/>
  <c r="CE10" i="8"/>
  <c r="BY208" i="6"/>
  <c r="AA30" i="7"/>
  <c r="CA102" i="6" l="1"/>
  <c r="CA124" i="6" s="1"/>
  <c r="AD46" i="11"/>
  <c r="AD24" i="7" s="1"/>
  <c r="AD27" i="7" s="1"/>
  <c r="CB206" i="6"/>
  <c r="CE21" i="8"/>
  <c r="AE61" i="13"/>
  <c r="CE28" i="8" s="1"/>
  <c r="AE48" i="13"/>
  <c r="AE50" i="13" s="1"/>
  <c r="AE52" i="13"/>
  <c r="AE54" i="13" s="1"/>
  <c r="AE57" i="13" s="1"/>
  <c r="BY209" i="6"/>
  <c r="V13" i="7"/>
  <c r="V34" i="7" s="1"/>
  <c r="V38" i="7" s="1"/>
  <c r="T98" i="28" s="1"/>
  <c r="BZ208" i="6"/>
  <c r="AB30" i="7"/>
  <c r="AC84" i="11"/>
  <c r="C51" i="12"/>
  <c r="AE59" i="13" l="1"/>
  <c r="BZ209" i="6"/>
  <c r="W13" i="7"/>
  <c r="W34" i="7" s="1"/>
  <c r="W38" i="7" s="1"/>
  <c r="CA208" i="6"/>
  <c r="AC30" i="7"/>
  <c r="AD84" i="11"/>
  <c r="C52" i="12"/>
  <c r="C54" i="12"/>
  <c r="P37" i="11"/>
  <c r="P38" i="11" s="1"/>
  <c r="P30" i="7"/>
  <c r="P44" i="7" s="1"/>
  <c r="N51" i="28"/>
  <c r="N56" i="28" s="1"/>
  <c r="N57" i="28" s="1"/>
  <c r="R37" i="11"/>
  <c r="T30" i="7"/>
  <c r="AZ27" i="8"/>
  <c r="R38" i="11" l="1"/>
  <c r="B17" i="39"/>
  <c r="CB208" i="6"/>
  <c r="CA209" i="6"/>
  <c r="X13" i="7"/>
  <c r="X34" i="7" s="1"/>
  <c r="X38" i="7" s="1"/>
  <c r="AD30" i="7"/>
  <c r="N102" i="28"/>
  <c r="AY201" i="6"/>
  <c r="AY206" i="6"/>
  <c r="P9" i="7"/>
  <c r="AZ60" i="8"/>
  <c r="N17" i="28"/>
  <c r="N115" i="28" s="1"/>
  <c r="CB209" i="6" l="1"/>
  <c r="N18" i="28"/>
  <c r="P6" i="7"/>
  <c r="P18" i="7" s="1"/>
  <c r="Q48" i="13"/>
  <c r="AZ30" i="8" s="1"/>
  <c r="AZ62" i="8"/>
  <c r="AY203" i="6"/>
  <c r="AY204" i="6" s="1"/>
  <c r="AY214" i="6" s="1"/>
  <c r="AY216" i="6" s="1"/>
  <c r="AY217" i="6" s="1"/>
  <c r="AY218" i="6" s="1"/>
  <c r="AZ33" i="8" l="1"/>
  <c r="AZ47" i="8" s="1"/>
  <c r="Q50" i="13"/>
  <c r="Q59" i="13" s="1"/>
  <c r="AY210" i="6"/>
  <c r="P23" i="7" l="1"/>
  <c r="AY192" i="6" l="1"/>
  <c r="AM195" i="6"/>
  <c r="AZ35" i="8"/>
  <c r="AZ48" i="8"/>
  <c r="AZ63" i="8"/>
  <c r="N19" i="28"/>
  <c r="AZ31" i="8"/>
  <c r="AZ34" i="8" s="1"/>
  <c r="P39" i="7"/>
  <c r="N86" i="28"/>
  <c r="N99" i="28" s="1"/>
  <c r="AZ41" i="8" l="1"/>
  <c r="AZ42" i="8" s="1"/>
  <c r="AZ64" i="8"/>
  <c r="AZ70" i="8"/>
  <c r="AZ76" i="8" s="1"/>
  <c r="AZ77" i="8"/>
  <c r="N20" i="28"/>
  <c r="AM194" i="6"/>
  <c r="AM198" i="6"/>
  <c r="AG40" i="28" l="1"/>
  <c r="N110" i="28"/>
  <c r="E222" i="31"/>
  <c r="P16" i="11"/>
  <c r="P17" i="11" s="1"/>
  <c r="E178" i="40" s="1"/>
  <c r="E183" i="40" s="1"/>
  <c r="E184" i="40" s="1"/>
  <c r="BE69" i="8"/>
  <c r="AZ40" i="8"/>
  <c r="N21" i="28"/>
  <c r="AG37" i="28" s="1"/>
  <c r="P59" i="11"/>
  <c r="P60" i="11" s="1"/>
  <c r="N72" i="28"/>
  <c r="E235" i="31" l="1"/>
  <c r="E236" i="31" s="1"/>
  <c r="E180" i="40"/>
  <c r="E181" i="40" s="1"/>
  <c r="P63" i="11"/>
  <c r="P19" i="11"/>
  <c r="E233" i="31"/>
  <c r="E238" i="31" s="1"/>
  <c r="E239" i="31" s="1"/>
  <c r="P18" i="11"/>
  <c r="AF25" i="28" s="1"/>
  <c r="P62" i="11"/>
  <c r="N37" i="28"/>
  <c r="N38" i="28" s="1"/>
  <c r="N114" i="28" l="1"/>
  <c r="N58" i="28"/>
  <c r="P2" i="11"/>
  <c r="P39" i="11"/>
  <c r="P61" i="11" l="1"/>
  <c r="P3" i="7" s="1"/>
  <c r="AF26" i="28"/>
  <c r="P3" i="11" l="1"/>
  <c r="N73" i="28" s="1"/>
  <c r="N74" i="28" s="1"/>
  <c r="N111" i="28" s="1"/>
  <c r="BD206" i="6" l="1"/>
  <c r="Q9" i="7"/>
  <c r="F222" i="31" l="1"/>
  <c r="S9" i="7" l="1"/>
  <c r="BN206" i="6"/>
  <c r="G222" i="31" l="1"/>
  <c r="P17" i="28" s="1"/>
  <c r="D38" i="38" l="1"/>
  <c r="W18" i="28"/>
  <c r="BI60" i="8"/>
  <c r="BH60" i="8"/>
  <c r="R9" i="7"/>
  <c r="BJ60" i="8"/>
  <c r="BI206" i="6"/>
  <c r="AV129" i="6"/>
  <c r="AV134" i="6" s="1"/>
  <c r="H10" i="34" l="1"/>
  <c r="E10" i="34"/>
  <c r="BG60" i="8"/>
  <c r="AV142" i="6"/>
  <c r="AV140" i="6"/>
  <c r="AV144" i="6"/>
  <c r="AV146" i="6" l="1"/>
  <c r="AW13" i="8"/>
  <c r="AV147" i="6" l="1"/>
  <c r="AW14" i="8"/>
  <c r="AW17" i="8" l="1"/>
  <c r="AW20" i="8" l="1"/>
  <c r="AW25" i="8" s="1"/>
  <c r="AW32" i="8" s="1"/>
  <c r="AW30" i="8" l="1"/>
  <c r="AW33" i="8" s="1"/>
  <c r="AW129" i="6"/>
  <c r="AW134" i="6" s="1"/>
  <c r="AW140" i="6" l="1"/>
  <c r="AW144" i="6"/>
  <c r="AW142" i="6"/>
  <c r="AW146" i="6" l="1"/>
  <c r="AX13" i="8"/>
  <c r="AY13" i="8" s="1"/>
  <c r="AY14" i="8" s="1"/>
  <c r="AS166" i="6"/>
  <c r="AS167" i="6" s="1"/>
  <c r="AS173" i="6"/>
  <c r="AS188" i="6" s="1"/>
  <c r="AR128" i="6"/>
  <c r="AS128" i="6"/>
  <c r="AS158" i="6"/>
  <c r="AR158" i="6"/>
  <c r="AR166" i="6"/>
  <c r="AR167" i="6" s="1"/>
  <c r="AR173" i="6"/>
  <c r="AR188" i="6" s="1"/>
  <c r="AW147" i="6" l="1"/>
  <c r="AX147" i="6"/>
  <c r="AX14" i="8"/>
  <c r="AX17" i="8" s="1"/>
  <c r="AS208" i="6"/>
  <c r="AS201" i="6"/>
  <c r="AS203" i="6" s="1"/>
  <c r="AS204" i="6" s="1"/>
  <c r="AS214" i="6" s="1"/>
  <c r="AS216" i="6" s="1"/>
  <c r="AS217" i="6" s="1"/>
  <c r="AS218" i="6" s="1"/>
  <c r="AR201" i="6"/>
  <c r="AR203" i="6" s="1"/>
  <c r="AR204" i="6" s="1"/>
  <c r="AR214" i="6" s="1"/>
  <c r="AR216" i="6" s="1"/>
  <c r="AR217" i="6" s="1"/>
  <c r="AR218" i="6" s="1"/>
  <c r="AR208" i="6"/>
  <c r="AX20" i="8" l="1"/>
  <c r="AX25" i="8" s="1"/>
  <c r="AX32" i="8" s="1"/>
  <c r="AY17" i="8"/>
  <c r="AY20" i="8" s="1"/>
  <c r="AY25" i="8" s="1"/>
  <c r="AY29" i="8" s="1"/>
  <c r="AY30" i="8" s="1"/>
  <c r="AY33" i="8" s="1"/>
  <c r="AR210" i="6"/>
  <c r="AR209" i="6"/>
  <c r="AR248" i="6"/>
  <c r="AS248" i="6"/>
  <c r="AS210" i="6"/>
  <c r="AS209" i="6"/>
  <c r="AX30" i="8" l="1"/>
  <c r="AX33" i="8" s="1"/>
  <c r="AS192" i="6" l="1"/>
  <c r="AR192" i="6"/>
  <c r="R28" i="13" l="1"/>
  <c r="AJ99" i="6"/>
  <c r="AK99" i="6" s="1"/>
  <c r="AT54" i="6"/>
  <c r="AT62" i="6" s="1"/>
  <c r="R32" i="13" l="1"/>
  <c r="R30" i="13"/>
  <c r="R31" i="13"/>
  <c r="AT55" i="6"/>
  <c r="AT59" i="6" s="1"/>
  <c r="R33" i="13" l="1"/>
  <c r="BI129" i="6"/>
  <c r="BI134" i="6" s="1"/>
  <c r="BI140" i="6" s="1"/>
  <c r="AT64" i="6"/>
  <c r="AT60" i="6"/>
  <c r="BI142" i="6" l="1"/>
  <c r="BI144" i="6"/>
  <c r="S28" i="13"/>
  <c r="AV99" i="6"/>
  <c r="AW99" i="6"/>
  <c r="AX99" i="6"/>
  <c r="S31" i="13" l="1"/>
  <c r="T31" i="13" s="1"/>
  <c r="T26" i="13" s="1"/>
  <c r="S32" i="13"/>
  <c r="T32" i="13" s="1"/>
  <c r="S30" i="13"/>
  <c r="C18" i="34"/>
  <c r="BA7" i="8"/>
  <c r="U31" i="13" l="1"/>
  <c r="V31" i="13" s="1"/>
  <c r="S33" i="13"/>
  <c r="T30" i="13"/>
  <c r="T27" i="13"/>
  <c r="U32" i="13"/>
  <c r="BA5" i="8"/>
  <c r="J18" i="34"/>
  <c r="E18" i="34"/>
  <c r="U26" i="13" l="1"/>
  <c r="U27" i="13"/>
  <c r="V32" i="13"/>
  <c r="T25" i="13"/>
  <c r="U30" i="13"/>
  <c r="T33" i="13"/>
  <c r="W31" i="13"/>
  <c r="V26" i="13"/>
  <c r="AR11" i="8"/>
  <c r="AI97" i="6"/>
  <c r="AI99" i="6" s="1"/>
  <c r="AI129" i="6"/>
  <c r="AI134" i="6" s="1"/>
  <c r="BN126" i="6" l="1"/>
  <c r="T28" i="13"/>
  <c r="U25" i="13"/>
  <c r="U28" i="13" s="1"/>
  <c r="V30" i="13"/>
  <c r="U33" i="13"/>
  <c r="W32" i="13"/>
  <c r="V27" i="13"/>
  <c r="X31" i="13"/>
  <c r="W26" i="13"/>
  <c r="O7" i="28"/>
  <c r="BE53" i="8"/>
  <c r="BD166" i="6"/>
  <c r="BE50" i="8"/>
  <c r="AN193" i="6"/>
  <c r="BE56" i="8"/>
  <c r="BE60" i="8"/>
  <c r="AI144" i="6"/>
  <c r="AI142" i="6"/>
  <c r="BN128" i="6" l="1"/>
  <c r="BN129" i="6" s="1"/>
  <c r="W27" i="13"/>
  <c r="X32" i="13"/>
  <c r="W30" i="13"/>
  <c r="V25" i="13"/>
  <c r="V33" i="13"/>
  <c r="C36" i="38"/>
  <c r="AL10" i="28"/>
  <c r="C30" i="38"/>
  <c r="W120" i="28"/>
  <c r="Y31" i="13"/>
  <c r="X26" i="13"/>
  <c r="O69" i="28"/>
  <c r="O67" i="28"/>
  <c r="Q80" i="11"/>
  <c r="BD208" i="6"/>
  <c r="BD209" i="6" s="1"/>
  <c r="O52" i="28"/>
  <c r="R90" i="11"/>
  <c r="Q37" i="11"/>
  <c r="Q38" i="11" s="1"/>
  <c r="Q30" i="7"/>
  <c r="Q44" i="7" s="1"/>
  <c r="O51" i="28"/>
  <c r="BD129" i="6"/>
  <c r="BD134" i="6" s="1"/>
  <c r="BD167" i="6"/>
  <c r="BI167" i="6"/>
  <c r="O71" i="28"/>
  <c r="AI143" i="6"/>
  <c r="AI140" i="6"/>
  <c r="AI75" i="6"/>
  <c r="AJ75" i="6"/>
  <c r="AK70" i="6"/>
  <c r="AK71" i="6" s="1"/>
  <c r="AK107" i="6"/>
  <c r="AK146" i="6"/>
  <c r="AM147" i="6" s="1"/>
  <c r="AK129" i="6"/>
  <c r="AK134" i="6" s="1"/>
  <c r="AK102" i="6"/>
  <c r="AK103" i="6" s="1"/>
  <c r="AK108" i="6"/>
  <c r="AK74" i="6"/>
  <c r="AK75" i="6" s="1"/>
  <c r="AS75" i="6" s="1"/>
  <c r="AS74" i="6" s="1"/>
  <c r="AS121" i="6" s="1"/>
  <c r="BR126" i="6" l="1"/>
  <c r="V28" i="13"/>
  <c r="X27" i="13"/>
  <c r="Y32" i="13"/>
  <c r="W33" i="13"/>
  <c r="X30" i="13"/>
  <c r="W25" i="13"/>
  <c r="Z31" i="13"/>
  <c r="Y26" i="13"/>
  <c r="O56" i="28"/>
  <c r="O57" i="28" s="1"/>
  <c r="AJ76" i="6"/>
  <c r="BD144" i="6"/>
  <c r="BI145" i="6" s="1"/>
  <c r="BD142" i="6"/>
  <c r="BE129" i="6"/>
  <c r="BE134" i="6" s="1"/>
  <c r="R44" i="7"/>
  <c r="O102" i="28"/>
  <c r="AK147" i="6"/>
  <c r="AS146" i="6"/>
  <c r="AS147" i="6" s="1"/>
  <c r="AS129" i="6"/>
  <c r="AS134" i="6" s="1"/>
  <c r="AR75" i="6"/>
  <c r="AR74" i="6" s="1"/>
  <c r="AR121" i="6" s="1"/>
  <c r="AK144" i="6"/>
  <c r="AK142" i="6"/>
  <c r="BI117" i="6" l="1"/>
  <c r="BJ13" i="8"/>
  <c r="BS126" i="6"/>
  <c r="W28" i="13"/>
  <c r="Y30" i="13"/>
  <c r="X25" i="13"/>
  <c r="X33" i="13"/>
  <c r="Z32" i="13"/>
  <c r="Y27" i="13"/>
  <c r="AA31" i="13"/>
  <c r="Z26" i="13"/>
  <c r="S44" i="7"/>
  <c r="T44" i="7" s="1"/>
  <c r="P102" i="28"/>
  <c r="BF129" i="6"/>
  <c r="BF134" i="6" s="1"/>
  <c r="O17" i="28"/>
  <c r="BE140" i="6"/>
  <c r="BE142" i="6"/>
  <c r="BE144" i="6"/>
  <c r="AK138" i="6"/>
  <c r="AK140" i="6" s="1"/>
  <c r="AK143" i="6"/>
  <c r="AM143" i="6"/>
  <c r="AR129" i="6"/>
  <c r="AR134" i="6" s="1"/>
  <c r="AR146" i="6"/>
  <c r="AR147" i="6" s="1"/>
  <c r="AS142" i="6"/>
  <c r="AS138" i="6" s="1"/>
  <c r="AS140" i="6" s="1"/>
  <c r="AS144" i="6"/>
  <c r="AS145" i="6" s="1"/>
  <c r="Z30" i="13" l="1"/>
  <c r="Y25" i="13"/>
  <c r="Y33" i="13"/>
  <c r="AA32" i="13"/>
  <c r="Z27" i="13"/>
  <c r="BT126" i="6"/>
  <c r="X28" i="13"/>
  <c r="C38" i="38"/>
  <c r="V18" i="28"/>
  <c r="AB31" i="13"/>
  <c r="AA26" i="13"/>
  <c r="Q102" i="28"/>
  <c r="BE146" i="6"/>
  <c r="BE147" i="6" s="1"/>
  <c r="BF14" i="8"/>
  <c r="BG129" i="6"/>
  <c r="BG134" i="6" s="1"/>
  <c r="BH129" i="6"/>
  <c r="BH134" i="6" s="1"/>
  <c r="BF142" i="6"/>
  <c r="BF140" i="6"/>
  <c r="BF144" i="6"/>
  <c r="AR142" i="6"/>
  <c r="AR138" i="6" s="1"/>
  <c r="AR140" i="6" s="1"/>
  <c r="AR144" i="6"/>
  <c r="AR145" i="6" s="1"/>
  <c r="AA30" i="13" l="1"/>
  <c r="Z25" i="13"/>
  <c r="Z33" i="13"/>
  <c r="AA27" i="13"/>
  <c r="AB32" i="13"/>
  <c r="BU126" i="6"/>
  <c r="Y28" i="13"/>
  <c r="U44" i="7"/>
  <c r="R102" i="28"/>
  <c r="BF52" i="8"/>
  <c r="D21" i="34"/>
  <c r="BF21" i="8"/>
  <c r="AC31" i="13"/>
  <c r="AB26" i="13"/>
  <c r="BF146" i="6"/>
  <c r="BF147" i="6" s="1"/>
  <c r="BG13" i="8"/>
  <c r="BF17" i="8"/>
  <c r="BF55" i="8" s="1"/>
  <c r="BG144" i="6"/>
  <c r="BG140" i="6"/>
  <c r="BG142" i="6" s="1"/>
  <c r="BH142" i="6"/>
  <c r="BH140" i="6"/>
  <c r="BH144" i="6"/>
  <c r="AQ59" i="6"/>
  <c r="AQ62" i="6"/>
  <c r="BV126" i="6" l="1"/>
  <c r="Z28" i="13"/>
  <c r="AB27" i="13"/>
  <c r="AC32" i="13"/>
  <c r="AB30" i="13"/>
  <c r="AA25" i="13"/>
  <c r="AA33" i="13"/>
  <c r="V44" i="7"/>
  <c r="S102" i="28"/>
  <c r="AD31" i="13"/>
  <c r="AC26" i="13"/>
  <c r="BH146" i="6"/>
  <c r="BI13" i="8"/>
  <c r="BG146" i="6"/>
  <c r="BG147" i="6" s="1"/>
  <c r="BH13" i="8"/>
  <c r="G5" i="34" s="1"/>
  <c r="BG14" i="8"/>
  <c r="BG51" i="8"/>
  <c r="BJ61" i="8"/>
  <c r="AO168" i="6"/>
  <c r="AQ63" i="6"/>
  <c r="AQ64" i="6"/>
  <c r="AT63" i="6"/>
  <c r="AQ60" i="6"/>
  <c r="AY129" i="6"/>
  <c r="AY134" i="6" s="1"/>
  <c r="BW126" i="6" l="1"/>
  <c r="AA28" i="13"/>
  <c r="AD32" i="13"/>
  <c r="AC27" i="13"/>
  <c r="AB25" i="13"/>
  <c r="AC30" i="13"/>
  <c r="AB33" i="13"/>
  <c r="W44" i="7"/>
  <c r="X44" i="7" s="1"/>
  <c r="Y44" i="7" s="1"/>
  <c r="Z44" i="7" s="1"/>
  <c r="AA44" i="7" s="1"/>
  <c r="AB44" i="7" s="1"/>
  <c r="AC44" i="7" s="1"/>
  <c r="AD44" i="7" s="1"/>
  <c r="T102" i="28"/>
  <c r="AE31" i="13"/>
  <c r="AE26" i="13" s="1"/>
  <c r="AD26" i="13"/>
  <c r="BG21" i="8"/>
  <c r="H5" i="34"/>
  <c r="C19" i="34"/>
  <c r="E5" i="34"/>
  <c r="P8" i="28"/>
  <c r="P9" i="28" s="1"/>
  <c r="P107" i="28" s="1"/>
  <c r="G16" i="39" s="1"/>
  <c r="BH147" i="6"/>
  <c r="BJ51" i="8"/>
  <c r="BJ14" i="8"/>
  <c r="BH14" i="8"/>
  <c r="BH21" i="8" s="1"/>
  <c r="BH51" i="8"/>
  <c r="BI14" i="8"/>
  <c r="BI21" i="8" s="1"/>
  <c r="BI51" i="8"/>
  <c r="BG52" i="8"/>
  <c r="BG61" i="8"/>
  <c r="AY142" i="6"/>
  <c r="BD140" i="6" s="1"/>
  <c r="AY144" i="6"/>
  <c r="AH10" i="28" l="1"/>
  <c r="B8" i="39"/>
  <c r="G6" i="34"/>
  <c r="G21" i="34" s="1"/>
  <c r="BX126" i="6"/>
  <c r="AB28" i="13"/>
  <c r="AE32" i="13"/>
  <c r="AE27" i="13" s="1"/>
  <c r="AD27" i="13"/>
  <c r="AD30" i="13"/>
  <c r="AC25" i="13"/>
  <c r="AC33" i="13"/>
  <c r="BH46" i="8"/>
  <c r="C21" i="34"/>
  <c r="E6" i="34"/>
  <c r="P68" i="28"/>
  <c r="AI39" i="28"/>
  <c r="BJ52" i="8"/>
  <c r="BI61" i="8"/>
  <c r="BI52" i="8"/>
  <c r="BH52" i="8"/>
  <c r="BH61" i="8"/>
  <c r="AY145" i="6"/>
  <c r="BD145" i="6"/>
  <c r="AY140" i="6"/>
  <c r="BY126" i="6" l="1"/>
  <c r="AC28" i="13"/>
  <c r="AE30" i="13"/>
  <c r="AD25" i="13"/>
  <c r="AD33" i="13"/>
  <c r="F21" i="34"/>
  <c r="H6" i="34"/>
  <c r="BE54" i="8"/>
  <c r="BZ126" i="6" l="1"/>
  <c r="AD28" i="13"/>
  <c r="AE33" i="13"/>
  <c r="AE25" i="13"/>
  <c r="O13" i="28"/>
  <c r="AN168" i="6"/>
  <c r="BE61" i="8"/>
  <c r="CA126" i="6" l="1"/>
  <c r="AE28" i="13"/>
  <c r="Q28" i="13"/>
  <c r="Q31" i="13" s="1"/>
  <c r="Q32" i="13" l="1"/>
  <c r="Q30" i="13"/>
  <c r="Q33" i="13" l="1"/>
  <c r="BC129" i="6"/>
  <c r="BC134" i="6" s="1"/>
  <c r="BC140" i="6" s="1"/>
  <c r="BC146" i="6" l="1"/>
  <c r="BC147" i="6" s="1"/>
  <c r="BC144" i="6"/>
  <c r="BC142" i="6"/>
  <c r="BC143" i="6" s="1"/>
  <c r="BD51" i="8" l="1"/>
  <c r="BD14" i="8"/>
  <c r="BD21" i="8" s="1"/>
  <c r="BF20" i="8" l="1"/>
  <c r="BF61" i="8"/>
  <c r="BD17" i="8"/>
  <c r="BD52" i="8"/>
  <c r="BE51" i="8"/>
  <c r="BE14" i="8"/>
  <c r="AG10" i="28" s="1"/>
  <c r="BD201" i="6"/>
  <c r="BD203" i="6" s="1"/>
  <c r="BD204" i="6" s="1"/>
  <c r="O8" i="28"/>
  <c r="O9" i="28" s="1"/>
  <c r="O107" i="28" l="1"/>
  <c r="O11" i="28"/>
  <c r="AH39" i="28"/>
  <c r="BF25" i="8"/>
  <c r="BF57" i="8"/>
  <c r="BE52" i="8"/>
  <c r="BE17" i="8"/>
  <c r="O68" i="28"/>
  <c r="Q81" i="11"/>
  <c r="Q85" i="11" s="1"/>
  <c r="Q91" i="11" s="1"/>
  <c r="Q17" i="7" s="1"/>
  <c r="BD214" i="6"/>
  <c r="BD216" i="6" s="1"/>
  <c r="BD217" i="6" s="1"/>
  <c r="BD218" i="6" s="1"/>
  <c r="BD210" i="6"/>
  <c r="BD20" i="8"/>
  <c r="BD55" i="8"/>
  <c r="BF32" i="8" l="1"/>
  <c r="O14" i="28"/>
  <c r="O108" i="28"/>
  <c r="BF62" i="8"/>
  <c r="BF26" i="8" s="1"/>
  <c r="BF27" i="8" s="1"/>
  <c r="BE55" i="8"/>
  <c r="BE20" i="8"/>
  <c r="AN169" i="6"/>
  <c r="AN248" i="6"/>
  <c r="BD25" i="8"/>
  <c r="BD57" i="8"/>
  <c r="O16" i="28" l="1"/>
  <c r="O109" i="28" s="1"/>
  <c r="O115" i="28"/>
  <c r="O18" i="28"/>
  <c r="BF30" i="8"/>
  <c r="BF63" i="8"/>
  <c r="BD62" i="8"/>
  <c r="BD26" i="8" s="1"/>
  <c r="BD27" i="8" s="1"/>
  <c r="BE59" i="8"/>
  <c r="BE57" i="8"/>
  <c r="BE25" i="8"/>
  <c r="BE30" i="8" l="1"/>
  <c r="AG13" i="28" s="1"/>
  <c r="BF33" i="8"/>
  <c r="BF64" i="8"/>
  <c r="BF77" i="8"/>
  <c r="BF70" i="8"/>
  <c r="BF76" i="8" s="1"/>
  <c r="R48" i="13"/>
  <c r="R50" i="13" s="1"/>
  <c r="R59" i="13" s="1"/>
  <c r="BE62" i="8"/>
  <c r="BE26" i="8" s="1"/>
  <c r="BE27" i="8" s="1"/>
  <c r="Q6" i="7"/>
  <c r="BD63" i="8"/>
  <c r="BD32" i="8"/>
  <c r="BD30" i="8" l="1"/>
  <c r="BE33" i="8"/>
  <c r="Q18" i="7"/>
  <c r="Q23" i="7" s="1"/>
  <c r="BE63" i="8"/>
  <c r="BD192" i="6"/>
  <c r="O19" i="28"/>
  <c r="BE48" i="8"/>
  <c r="AN195" i="6"/>
  <c r="BD33" i="8" l="1"/>
  <c r="BD64" i="8"/>
  <c r="BE45" i="8"/>
  <c r="AG14" i="28"/>
  <c r="O86" i="28"/>
  <c r="O99" i="28" s="1"/>
  <c r="Q39" i="7"/>
  <c r="Q42" i="7" s="1"/>
  <c r="O20" i="28"/>
  <c r="BE64" i="8"/>
  <c r="BE41" i="8"/>
  <c r="BE42" i="8" s="1"/>
  <c r="BE77" i="8"/>
  <c r="BE70" i="8"/>
  <c r="BE76" i="8" s="1"/>
  <c r="AN194" i="6"/>
  <c r="AN198" i="6"/>
  <c r="W121" i="28" l="1"/>
  <c r="AL11" i="28"/>
  <c r="C25" i="38"/>
  <c r="AH40" i="28"/>
  <c r="O110" i="28"/>
  <c r="C26" i="38" s="1"/>
  <c r="AG16" i="28"/>
  <c r="BJ69" i="8"/>
  <c r="Q16" i="11"/>
  <c r="O72" i="28"/>
  <c r="Q59" i="11"/>
  <c r="Q60" i="11" s="1"/>
  <c r="O21" i="28"/>
  <c r="BE47" i="8"/>
  <c r="BE40" i="8"/>
  <c r="F235" i="31" l="1"/>
  <c r="F236" i="31" s="1"/>
  <c r="F180" i="40"/>
  <c r="F181" i="40" s="1"/>
  <c r="W122" i="28"/>
  <c r="W124" i="28" s="1"/>
  <c r="AL12" i="28"/>
  <c r="AL14" i="28" s="1"/>
  <c r="AH37" i="28"/>
  <c r="C27" i="38"/>
  <c r="O37" i="28"/>
  <c r="O38" i="28" s="1"/>
  <c r="Q17" i="11"/>
  <c r="F178" i="40" s="1"/>
  <c r="F183" i="40" s="1"/>
  <c r="F184" i="40" s="1"/>
  <c r="Q18" i="11" l="1"/>
  <c r="AG25" i="28" s="1"/>
  <c r="AG19" i="28" s="1"/>
  <c r="Q63" i="11"/>
  <c r="Q19" i="11"/>
  <c r="AL15" i="28"/>
  <c r="AL16" i="28"/>
  <c r="W125" i="28"/>
  <c r="W126" i="28"/>
  <c r="O58" i="28"/>
  <c r="O114" i="28"/>
  <c r="O112" i="28"/>
  <c r="F233" i="31"/>
  <c r="F238" i="31" s="1"/>
  <c r="F239" i="31" s="1"/>
  <c r="BE31" i="8"/>
  <c r="BE34" i="8" s="1"/>
  <c r="Q62" i="11"/>
  <c r="Q2" i="11"/>
  <c r="Q39" i="11"/>
  <c r="AG26" i="28" s="1"/>
  <c r="AG20" i="28" s="1"/>
  <c r="AG17" i="28" l="1"/>
  <c r="Q61" i="11"/>
  <c r="Q3" i="7" s="1"/>
  <c r="Q3" i="11" l="1"/>
  <c r="O73" i="28" s="1"/>
  <c r="O74" i="28" s="1"/>
  <c r="W127" i="28" s="1"/>
  <c r="BB75" i="6"/>
  <c r="BA75" i="6"/>
  <c r="O113" i="28" l="1"/>
  <c r="AL17" i="28"/>
  <c r="O111" i="28"/>
  <c r="AY45" i="6"/>
  <c r="AY46" i="6" s="1"/>
  <c r="BD47" i="6" s="1"/>
  <c r="AY59" i="6"/>
  <c r="AY60" i="6" l="1"/>
  <c r="AY63" i="6"/>
  <c r="AY64" i="6"/>
  <c r="BD63" i="6"/>
  <c r="AH163" i="6"/>
  <c r="AJ163" i="6"/>
  <c r="AR163" i="6"/>
  <c r="AS163" i="6"/>
  <c r="AY163" i="6"/>
  <c r="AZ163" i="6"/>
  <c r="BA163" i="6"/>
  <c r="BB163" i="6"/>
  <c r="BC163" i="6"/>
  <c r="BD163" i="6"/>
  <c r="BE163" i="6"/>
  <c r="S95" i="11" l="1"/>
  <c r="T95" i="11" l="1"/>
  <c r="P10" i="28" l="1"/>
  <c r="P11" i="28" s="1"/>
  <c r="BG54" i="8"/>
  <c r="BG17" i="8"/>
  <c r="BH54" i="8"/>
  <c r="BH17" i="8"/>
  <c r="BI54" i="8"/>
  <c r="BI17" i="8"/>
  <c r="U95" i="11"/>
  <c r="P14" i="28" l="1"/>
  <c r="P115" i="28" s="1"/>
  <c r="G19" i="39" s="1"/>
  <c r="P108" i="28"/>
  <c r="BI20" i="8"/>
  <c r="BI55" i="8"/>
  <c r="BH20" i="8"/>
  <c r="BH55" i="8"/>
  <c r="BG20" i="8"/>
  <c r="BG55" i="8"/>
  <c r="BJ54" i="8"/>
  <c r="BI201" i="6"/>
  <c r="BI203" i="6" s="1"/>
  <c r="BI204" i="6" s="1"/>
  <c r="BJ17" i="8"/>
  <c r="V95" i="11"/>
  <c r="P18" i="28" l="1"/>
  <c r="P16" i="28"/>
  <c r="P109" i="28" s="1"/>
  <c r="G17" i="39" s="1"/>
  <c r="B39" i="39" s="1"/>
  <c r="BJ55" i="8"/>
  <c r="AO248" i="6"/>
  <c r="BJ20" i="8"/>
  <c r="AO169" i="6"/>
  <c r="BG57" i="8"/>
  <c r="BG25" i="8"/>
  <c r="BH57" i="8"/>
  <c r="BH25" i="8"/>
  <c r="BH32" i="8" s="1"/>
  <c r="BI57" i="8"/>
  <c r="BI25" i="8"/>
  <c r="BI32" i="8" s="1"/>
  <c r="BI214" i="6"/>
  <c r="BI216" i="6" s="1"/>
  <c r="BI217" i="6" s="1"/>
  <c r="BI218" i="6" s="1"/>
  <c r="BI210" i="6"/>
  <c r="W95" i="11"/>
  <c r="G11" i="34" l="1"/>
  <c r="BG32" i="8"/>
  <c r="BG36" i="8"/>
  <c r="BK54" i="8"/>
  <c r="BK17" i="8"/>
  <c r="BG27" i="8"/>
  <c r="BJ57" i="8"/>
  <c r="BJ22" i="8"/>
  <c r="BJ59" i="8" s="1"/>
  <c r="BJ25" i="8"/>
  <c r="BI63" i="8"/>
  <c r="BI62" i="8"/>
  <c r="BI30" i="8"/>
  <c r="BH63" i="8"/>
  <c r="BH62" i="8"/>
  <c r="BG62" i="8"/>
  <c r="BG30" i="8"/>
  <c r="X95" i="11"/>
  <c r="BJ32" i="8" l="1"/>
  <c r="BJ30" i="8"/>
  <c r="BJ70" i="8" s="1"/>
  <c r="BL54" i="8"/>
  <c r="BL17" i="8"/>
  <c r="BK20" i="8"/>
  <c r="BK55" i="8"/>
  <c r="P19" i="28"/>
  <c r="BG63" i="8"/>
  <c r="BH30" i="8"/>
  <c r="BH33" i="8" s="1"/>
  <c r="BG33" i="8"/>
  <c r="BG64" i="8"/>
  <c r="BJ62" i="8"/>
  <c r="R6" i="7"/>
  <c r="S48" i="13"/>
  <c r="S50" i="13" s="1"/>
  <c r="S59" i="13" s="1"/>
  <c r="BI64" i="8"/>
  <c r="BI33" i="8"/>
  <c r="Y95" i="11"/>
  <c r="BJ33" i="8" l="1"/>
  <c r="P21" i="28" s="1"/>
  <c r="G8" i="39" s="1"/>
  <c r="B11" i="39"/>
  <c r="C8" i="34"/>
  <c r="E8" i="34" s="1"/>
  <c r="F8" i="34"/>
  <c r="H8" i="34" s="1"/>
  <c r="BK59" i="8"/>
  <c r="G12" i="34"/>
  <c r="G13" i="34" s="1"/>
  <c r="Q10" i="28"/>
  <c r="BK57" i="8"/>
  <c r="BK25" i="8"/>
  <c r="BM54" i="8"/>
  <c r="BM17" i="8"/>
  <c r="BL20" i="8"/>
  <c r="BL59" i="8" s="1"/>
  <c r="BL55" i="8"/>
  <c r="G24" i="37"/>
  <c r="BH64" i="8"/>
  <c r="BJ63" i="8"/>
  <c r="BJ48" i="8"/>
  <c r="G190" i="40" s="1"/>
  <c r="AO195" i="6"/>
  <c r="BI192" i="6"/>
  <c r="Z95" i="11"/>
  <c r="H190" i="40" l="1"/>
  <c r="G192" i="40"/>
  <c r="B32" i="39"/>
  <c r="G12" i="39"/>
  <c r="B34" i="39" s="1"/>
  <c r="BK32" i="8"/>
  <c r="BL45" i="8"/>
  <c r="BL46" i="8"/>
  <c r="BL48" i="8" s="1"/>
  <c r="BL49" i="8" s="1"/>
  <c r="BN162" i="6"/>
  <c r="BN163" i="6" s="1"/>
  <c r="BR163" i="6" s="1"/>
  <c r="BR162" i="6" s="1"/>
  <c r="BU16" i="8" s="1"/>
  <c r="G26" i="37"/>
  <c r="G27" i="37" s="1"/>
  <c r="P20" i="28"/>
  <c r="AM11" i="28" s="1"/>
  <c r="BJ76" i="8"/>
  <c r="R16" i="11" s="1"/>
  <c r="R17" i="11" s="1"/>
  <c r="BL57" i="8"/>
  <c r="BL25" i="8"/>
  <c r="D11" i="34" s="1"/>
  <c r="BM20" i="8"/>
  <c r="BM55" i="8"/>
  <c r="BK63" i="8"/>
  <c r="BK62" i="8"/>
  <c r="BK30" i="8"/>
  <c r="D43" i="34" s="1"/>
  <c r="E5" i="12"/>
  <c r="G24" i="12"/>
  <c r="M30" i="12" s="1"/>
  <c r="BJ77" i="8"/>
  <c r="BJ41" i="8"/>
  <c r="BJ42" i="8" s="1"/>
  <c r="AH13" i="28"/>
  <c r="BJ64" i="8"/>
  <c r="BJ40" i="8"/>
  <c r="G245" i="31"/>
  <c r="E4" i="12"/>
  <c r="AO198" i="6"/>
  <c r="AO194" i="6"/>
  <c r="AA95" i="11"/>
  <c r="BP69" i="8" l="1"/>
  <c r="I190" i="40"/>
  <c r="H192" i="40"/>
  <c r="BS163" i="6"/>
  <c r="BT163" i="6" s="1"/>
  <c r="AI40" i="28"/>
  <c r="D25" i="38"/>
  <c r="P110" i="28"/>
  <c r="G18" i="39" s="1"/>
  <c r="B40" i="39" s="1"/>
  <c r="X121" i="28"/>
  <c r="BL32" i="8"/>
  <c r="BK33" i="8"/>
  <c r="D44" i="34" s="1"/>
  <c r="BK64" i="8"/>
  <c r="BM57" i="8"/>
  <c r="BM25" i="8"/>
  <c r="BL63" i="8"/>
  <c r="BL62" i="8"/>
  <c r="BL30" i="8"/>
  <c r="D12" i="34" s="1"/>
  <c r="D13" i="34" s="1"/>
  <c r="P37" i="28"/>
  <c r="P38" i="28" s="1"/>
  <c r="BJ45" i="8"/>
  <c r="BJ34" i="8"/>
  <c r="BJ47" i="8"/>
  <c r="AH14" i="28"/>
  <c r="G5" i="12"/>
  <c r="H245" i="31"/>
  <c r="G247" i="31"/>
  <c r="H5" i="12"/>
  <c r="AB95" i="11"/>
  <c r="J190" i="40" l="1"/>
  <c r="I192" i="40"/>
  <c r="F11" i="34"/>
  <c r="H11" i="34" s="1"/>
  <c r="BM32" i="8"/>
  <c r="C11" i="34"/>
  <c r="E11" i="34" s="1"/>
  <c r="BS162" i="6"/>
  <c r="BV16" i="8" s="1"/>
  <c r="D26" i="38"/>
  <c r="BU163" i="6"/>
  <c r="BT162" i="6"/>
  <c r="BW16" i="8" s="1"/>
  <c r="BL33" i="8"/>
  <c r="BL64" i="8"/>
  <c r="BM62" i="8"/>
  <c r="R18" i="11"/>
  <c r="AH25" i="28" s="1"/>
  <c r="AH17" i="28" s="1"/>
  <c r="X122" i="28"/>
  <c r="X124" i="28" s="1"/>
  <c r="AM12" i="28"/>
  <c r="AM14" i="28" s="1"/>
  <c r="U21" i="28"/>
  <c r="X125" i="28"/>
  <c r="AM15" i="28"/>
  <c r="AM16" i="28"/>
  <c r="AH16" i="28"/>
  <c r="AH5" i="28"/>
  <c r="X126" i="28"/>
  <c r="AI37" i="28"/>
  <c r="D27" i="38"/>
  <c r="P58" i="28"/>
  <c r="P114" i="28"/>
  <c r="P112" i="28"/>
  <c r="G25" i="39" s="1"/>
  <c r="B37" i="39" s="1"/>
  <c r="R2" i="11"/>
  <c r="G233" i="31"/>
  <c r="G238" i="31" s="1"/>
  <c r="I245" i="31"/>
  <c r="H247" i="31"/>
  <c r="I5" i="12"/>
  <c r="AC95" i="11"/>
  <c r="K190" i="40" l="1"/>
  <c r="K192" i="40" s="1"/>
  <c r="J192" i="40"/>
  <c r="R19" i="11"/>
  <c r="G178" i="40"/>
  <c r="G183" i="40" s="1"/>
  <c r="BM63" i="8"/>
  <c r="BM30" i="8"/>
  <c r="C12" i="34" s="1"/>
  <c r="C13" i="34" s="1"/>
  <c r="J13" i="34" s="1"/>
  <c r="R39" i="11"/>
  <c r="G23" i="37" s="1"/>
  <c r="R63" i="11"/>
  <c r="G20" i="39"/>
  <c r="R62" i="11"/>
  <c r="G22" i="37"/>
  <c r="G25" i="37"/>
  <c r="B13" i="39"/>
  <c r="G10" i="39" s="1"/>
  <c r="G13" i="39" s="1"/>
  <c r="B35" i="39" s="1"/>
  <c r="BV163" i="6"/>
  <c r="BU162" i="6"/>
  <c r="BX16" i="8" s="1"/>
  <c r="AH19" i="28"/>
  <c r="E13" i="12"/>
  <c r="G239" i="31"/>
  <c r="E14" i="12" s="1"/>
  <c r="D231" i="31"/>
  <c r="J245" i="31"/>
  <c r="I247" i="31"/>
  <c r="AD95" i="11"/>
  <c r="G184" i="40" l="1"/>
  <c r="D176" i="40"/>
  <c r="BM33" i="8"/>
  <c r="D17" i="34"/>
  <c r="F12" i="34"/>
  <c r="F13" i="34" s="1"/>
  <c r="I13" i="34" s="1"/>
  <c r="BM64" i="8"/>
  <c r="C16" i="34"/>
  <c r="E12" i="34"/>
  <c r="AH26" i="28"/>
  <c r="AH20" i="28" s="1"/>
  <c r="J30" i="37"/>
  <c r="G28" i="37"/>
  <c r="B18" i="39"/>
  <c r="BV162" i="6"/>
  <c r="BY16" i="8" s="1"/>
  <c r="BW163" i="6"/>
  <c r="J5" i="12"/>
  <c r="E19" i="12"/>
  <c r="K245" i="31"/>
  <c r="K247" i="31" s="1"/>
  <c r="J247" i="31"/>
  <c r="H13" i="34" l="1"/>
  <c r="H12" i="34"/>
  <c r="BX163" i="6"/>
  <c r="BW162" i="6"/>
  <c r="BZ16" i="8" s="1"/>
  <c r="M31" i="12"/>
  <c r="P43" i="7"/>
  <c r="Q41" i="7" s="1"/>
  <c r="N100" i="28"/>
  <c r="N101" i="28" s="1"/>
  <c r="N103" i="28" s="1"/>
  <c r="BX162" i="6" l="1"/>
  <c r="CA16" i="8" s="1"/>
  <c r="BY163" i="6"/>
  <c r="P45" i="7"/>
  <c r="R85" i="11"/>
  <c r="R91" i="11" s="1"/>
  <c r="R17" i="7" s="1"/>
  <c r="E7" i="12" s="1"/>
  <c r="P69" i="28"/>
  <c r="Q43" i="7"/>
  <c r="O100" i="28"/>
  <c r="O101" i="28" s="1"/>
  <c r="O103" i="28" s="1"/>
  <c r="BY162" i="6" l="1"/>
  <c r="CB16" i="8" s="1"/>
  <c r="BZ163" i="6"/>
  <c r="R23" i="7"/>
  <c r="E10" i="12"/>
  <c r="E21" i="12" s="1"/>
  <c r="R41" i="7"/>
  <c r="Q45" i="7"/>
  <c r="P86" i="28" l="1"/>
  <c r="P99" i="28" s="1"/>
  <c r="B23" i="39"/>
  <c r="BZ162" i="6"/>
  <c r="CC16" i="8" s="1"/>
  <c r="CA163" i="6"/>
  <c r="R39" i="7"/>
  <c r="P100" i="28"/>
  <c r="R42" i="7" l="1"/>
  <c r="R43" i="7" s="1"/>
  <c r="R45" i="7" s="1"/>
  <c r="P101" i="28"/>
  <c r="P103" i="28" s="1"/>
  <c r="CA162" i="6"/>
  <c r="CD16" i="8" s="1"/>
  <c r="CB163" i="6"/>
  <c r="CB162" i="6" s="1"/>
  <c r="CE16" i="8" s="1"/>
  <c r="S41" i="7" l="1"/>
  <c r="Q100" i="28" s="1"/>
  <c r="R59" i="11"/>
  <c r="B20" i="39" s="1"/>
  <c r="B21" i="39" s="1"/>
  <c r="G21" i="39" s="1"/>
  <c r="B26" i="39"/>
  <c r="R72" i="11"/>
  <c r="P15" i="12"/>
  <c r="N119" i="28"/>
  <c r="O119" i="28" s="1"/>
  <c r="O120" i="28" s="1"/>
  <c r="P72" i="28"/>
  <c r="R60" i="11" l="1"/>
  <c r="O123" i="28"/>
  <c r="R61" i="11" l="1"/>
  <c r="R3" i="7" s="1"/>
  <c r="G180" i="40"/>
  <c r="G181" i="40" s="1"/>
  <c r="G235" i="31"/>
  <c r="G236" i="31" s="1"/>
  <c r="R3" i="11" l="1"/>
  <c r="P73" i="28" s="1"/>
  <c r="P74" i="28" s="1"/>
  <c r="AM17" i="28" s="1"/>
  <c r="S9" i="39"/>
  <c r="U9" i="39" s="1"/>
  <c r="P113" i="28" l="1"/>
  <c r="G24" i="39" s="1"/>
  <c r="B38" i="39" s="1"/>
  <c r="P111" i="28"/>
  <c r="X127" i="28"/>
  <c r="AU8" i="8"/>
  <c r="AU12" i="8"/>
  <c r="AO165" i="6" s="1"/>
  <c r="AU14" i="8" l="1"/>
  <c r="AU17" i="8" s="1"/>
  <c r="AT169" i="6" s="1"/>
  <c r="AO158" i="6"/>
  <c r="AO159" i="6" s="1"/>
  <c r="AU63" i="8"/>
  <c r="AU54" i="8"/>
  <c r="AU53" i="8"/>
  <c r="O76" i="11"/>
  <c r="O69" i="11"/>
  <c r="O68" i="11"/>
  <c r="AT165" i="6"/>
  <c r="AO130" i="6"/>
  <c r="AU61" i="8"/>
  <c r="AU50" i="8"/>
  <c r="AU51" i="8"/>
  <c r="O75" i="11"/>
  <c r="AT173" i="6"/>
  <c r="M7" i="28"/>
  <c r="O72" i="11"/>
  <c r="O67" i="11"/>
  <c r="AO250" i="6"/>
  <c r="AT160" i="6"/>
  <c r="AU60" i="8"/>
  <c r="AU56" i="8"/>
  <c r="AU5" i="8"/>
  <c r="O94" i="11"/>
  <c r="O71" i="11"/>
  <c r="O70" i="11"/>
  <c r="AT249" i="6"/>
  <c r="AU52" i="8" l="1"/>
  <c r="BE49" i="8" s="1"/>
  <c r="AU20" i="8"/>
  <c r="AU25" i="8" s="1"/>
  <c r="AU55" i="8"/>
  <c r="AU21" i="8"/>
  <c r="M9" i="28"/>
  <c r="M107" i="28" s="1"/>
  <c r="AT188" i="6"/>
  <c r="AN188" i="6" s="1"/>
  <c r="AP173" i="6"/>
  <c r="AP188" i="6" s="1"/>
  <c r="AP18" i="8" s="1"/>
  <c r="AU22" i="8" l="1"/>
  <c r="AU59" i="8" s="1"/>
  <c r="AU57" i="8"/>
  <c r="AU32" i="8"/>
  <c r="AT192" i="6"/>
  <c r="AU35" i="8"/>
  <c r="AU31" i="8"/>
  <c r="AU34" i="8" s="1"/>
  <c r="AU62" i="8"/>
  <c r="AU48" i="8"/>
  <c r="O6" i="7"/>
  <c r="O18" i="7" s="1"/>
  <c r="P48" i="13"/>
  <c r="P50" i="13" s="1"/>
  <c r="P59" i="13" s="1"/>
  <c r="AU30" i="8"/>
  <c r="AP56" i="8"/>
  <c r="AP20" i="8"/>
  <c r="M11" i="28"/>
  <c r="M14" i="28" l="1"/>
  <c r="M115" i="28" s="1"/>
  <c r="M108" i="28"/>
  <c r="AP22" i="8"/>
  <c r="AP59" i="8" s="1"/>
  <c r="AP25" i="8"/>
  <c r="AP57" i="8"/>
  <c r="AU64" i="8"/>
  <c r="AU41" i="8"/>
  <c r="AU42" i="8" s="1"/>
  <c r="M20" i="28"/>
  <c r="AU70" i="8"/>
  <c r="AU76" i="8" s="1"/>
  <c r="O16" i="11" s="1"/>
  <c r="AU77" i="8"/>
  <c r="AU33" i="8"/>
  <c r="O23" i="7"/>
  <c r="M18" i="28" l="1"/>
  <c r="M16" i="28"/>
  <c r="M109" i="28" s="1"/>
  <c r="M110" i="28"/>
  <c r="M37" i="28"/>
  <c r="M38" i="28" s="1"/>
  <c r="O17" i="11"/>
  <c r="M86" i="28"/>
  <c r="M99" i="28" s="1"/>
  <c r="M101" i="28" s="1"/>
  <c r="M103" i="28" s="1"/>
  <c r="O39" i="7"/>
  <c r="O42" i="7" s="1"/>
  <c r="O43" i="7" s="1"/>
  <c r="O45" i="7" s="1"/>
  <c r="M21" i="28"/>
  <c r="AU47" i="8"/>
  <c r="AU40" i="8"/>
  <c r="AP62" i="8"/>
  <c r="AP29" i="8"/>
  <c r="AP63" i="8" s="1"/>
  <c r="O18" i="11" l="1"/>
  <c r="AE25" i="28" s="1"/>
  <c r="O63" i="11"/>
  <c r="O19" i="11"/>
  <c r="M58" i="28"/>
  <c r="M114" i="28"/>
  <c r="N112" i="28"/>
  <c r="M112" i="28"/>
  <c r="O2" i="11"/>
  <c r="O62" i="11"/>
  <c r="O39" i="11"/>
  <c r="O61" i="11" s="1"/>
  <c r="AP30" i="8"/>
  <c r="AP31" i="8"/>
  <c r="O3" i="7" l="1"/>
  <c r="O3" i="11"/>
  <c r="M73" i="28" s="1"/>
  <c r="M74" i="28" s="1"/>
  <c r="O1" i="11"/>
  <c r="AP64" i="8"/>
  <c r="AP33" i="8"/>
  <c r="AP34" i="8"/>
  <c r="AA45" i="8"/>
  <c r="AJ45" i="8"/>
  <c r="AR45" i="8"/>
  <c r="AM45" i="8"/>
  <c r="AO45" i="8"/>
  <c r="AE45" i="8"/>
  <c r="AS45" i="8"/>
  <c r="AZ45" i="8"/>
  <c r="AF45" i="8"/>
  <c r="AD45" i="8"/>
  <c r="AK45" i="8"/>
  <c r="X45" i="8"/>
  <c r="M45" i="8"/>
  <c r="AQ45" i="8"/>
  <c r="AC45" i="8"/>
  <c r="AU45" i="8"/>
  <c r="AB45" i="8"/>
  <c r="R45" i="8"/>
  <c r="AL45" i="8"/>
  <c r="Z45" i="8"/>
  <c r="AH45" i="8"/>
  <c r="Y45" i="8"/>
  <c r="W45" i="8"/>
  <c r="N113" i="28" l="1"/>
  <c r="M111" i="28"/>
  <c r="M113" i="28"/>
  <c r="H3" i="39" l="1"/>
  <c r="BP8" i="8"/>
  <c r="BN54" i="6"/>
  <c r="BN53" i="6" s="1"/>
  <c r="BR53" i="6" s="1"/>
  <c r="BN6" i="8"/>
  <c r="BN12" i="8" s="1"/>
  <c r="BM248" i="6" s="1"/>
  <c r="F35" i="38" l="1"/>
  <c r="BS53" i="6"/>
  <c r="G35" i="38" s="1"/>
  <c r="BN5" i="8"/>
  <c r="BN8" i="8"/>
  <c r="E35" i="38"/>
  <c r="BN52" i="6"/>
  <c r="BN55" i="6"/>
  <c r="BN59" i="6" s="1"/>
  <c r="BR54" i="6"/>
  <c r="BT53" i="6" l="1"/>
  <c r="H35" i="38" s="1"/>
  <c r="BS54" i="6"/>
  <c r="BS55" i="6" s="1"/>
  <c r="BV7" i="8" s="1"/>
  <c r="BN60" i="6"/>
  <c r="BN64" i="6"/>
  <c r="BN63" i="6"/>
  <c r="BR55" i="6"/>
  <c r="BU7" i="8" s="1"/>
  <c r="BU6" i="8"/>
  <c r="BN51" i="8"/>
  <c r="BN59" i="8"/>
  <c r="BN60" i="8"/>
  <c r="BN19" i="8"/>
  <c r="BM158" i="6"/>
  <c r="BN56" i="8"/>
  <c r="BN50" i="8"/>
  <c r="BN53" i="8"/>
  <c r="BN14" i="8"/>
  <c r="BT51" i="6" l="1"/>
  <c r="BT54" i="6"/>
  <c r="BT55" i="6" s="1"/>
  <c r="BW7" i="8" s="1"/>
  <c r="BU53" i="6"/>
  <c r="BV53" i="6" s="1"/>
  <c r="BV6" i="8"/>
  <c r="BV8" i="8" s="1"/>
  <c r="BU8" i="8"/>
  <c r="BU12" i="8"/>
  <c r="AJ9" i="28" s="1"/>
  <c r="C7" i="39"/>
  <c r="AI9" i="28"/>
  <c r="BN248" i="6"/>
  <c r="BP50" i="8"/>
  <c r="BN160" i="6"/>
  <c r="BR160" i="6" s="1"/>
  <c r="BS160" i="6" s="1"/>
  <c r="BT160" i="6" s="1"/>
  <c r="BN134" i="6"/>
  <c r="BN140" i="6" s="1"/>
  <c r="BP53" i="8"/>
  <c r="BP56" i="8"/>
  <c r="BP60" i="8"/>
  <c r="BP54" i="8"/>
  <c r="BN166" i="6"/>
  <c r="BN167" i="6" s="1"/>
  <c r="Q7" i="28"/>
  <c r="BN61" i="8"/>
  <c r="BN52" i="8"/>
  <c r="BS59" i="6"/>
  <c r="BR59" i="6"/>
  <c r="BR158" i="6" l="1"/>
  <c r="BU15" i="8" s="1"/>
  <c r="BU53" i="8" s="1"/>
  <c r="BU60" i="8"/>
  <c r="BU54" i="8"/>
  <c r="BU50" i="8"/>
  <c r="BR128" i="6"/>
  <c r="BR248" i="6"/>
  <c r="BU19" i="8" s="1"/>
  <c r="BU61" i="8" s="1"/>
  <c r="BW6" i="8"/>
  <c r="BW8" i="8" s="1"/>
  <c r="R7" i="28"/>
  <c r="Z120" i="28" s="1"/>
  <c r="BR166" i="6"/>
  <c r="BR167" i="6" s="1"/>
  <c r="BU54" i="6"/>
  <c r="BX6" i="8" s="1"/>
  <c r="D7" i="39"/>
  <c r="BV12" i="8"/>
  <c r="BV56" i="8" s="1"/>
  <c r="T33" i="11"/>
  <c r="T37" i="11" s="1"/>
  <c r="BU56" i="8"/>
  <c r="T55" i="11"/>
  <c r="T82" i="11" s="1"/>
  <c r="T53" i="11"/>
  <c r="T80" i="11" s="1"/>
  <c r="BR63" i="6"/>
  <c r="BR64" i="6"/>
  <c r="BR60" i="6"/>
  <c r="Q13" i="28"/>
  <c r="BP61" i="8"/>
  <c r="Q67" i="28"/>
  <c r="Q69" i="28"/>
  <c r="BT59" i="6"/>
  <c r="BS63" i="6"/>
  <c r="BS60" i="6"/>
  <c r="BS64" i="6"/>
  <c r="BW53" i="6"/>
  <c r="BV54" i="6"/>
  <c r="E36" i="38"/>
  <c r="Y120" i="28"/>
  <c r="AN10" i="28"/>
  <c r="E30" i="38"/>
  <c r="C16" i="39"/>
  <c r="S75" i="11"/>
  <c r="Q52" i="28"/>
  <c r="Q56" i="28" s="1"/>
  <c r="Q57" i="28" s="1"/>
  <c r="S88" i="11"/>
  <c r="S90" i="11" s="1"/>
  <c r="BN144" i="6"/>
  <c r="BN145" i="6" s="1"/>
  <c r="BN142" i="6"/>
  <c r="BR136" i="6" s="1"/>
  <c r="R10" i="28" l="1"/>
  <c r="R52" i="28"/>
  <c r="R56" i="28" s="1"/>
  <c r="R57" i="28" s="1"/>
  <c r="F36" i="38"/>
  <c r="BV50" i="8"/>
  <c r="AO10" i="28"/>
  <c r="T75" i="11"/>
  <c r="BU55" i="6"/>
  <c r="BX7" i="8" s="1"/>
  <c r="BX8" i="8" s="1"/>
  <c r="R13" i="28"/>
  <c r="F30" i="38"/>
  <c r="BW12" i="8"/>
  <c r="T7" i="28" s="1"/>
  <c r="H30" i="38" s="1"/>
  <c r="U53" i="11"/>
  <c r="BV60" i="8"/>
  <c r="S7" i="28"/>
  <c r="AA120" i="28" s="1"/>
  <c r="AP193" i="6"/>
  <c r="BS158" i="6"/>
  <c r="BV15" i="8" s="1"/>
  <c r="BV53" i="8" s="1"/>
  <c r="U33" i="11"/>
  <c r="U37" i="11" s="1"/>
  <c r="U38" i="11" s="1"/>
  <c r="BV54" i="8"/>
  <c r="BS166" i="6"/>
  <c r="BS167" i="6" s="1"/>
  <c r="R69" i="28"/>
  <c r="BS128" i="6"/>
  <c r="BS129" i="6" s="1"/>
  <c r="BS134" i="6" s="1"/>
  <c r="BS142" i="6" s="1"/>
  <c r="BS138" i="6" s="1"/>
  <c r="BT136" i="6" s="1"/>
  <c r="BS248" i="6"/>
  <c r="BV19" i="8" s="1"/>
  <c r="BV61" i="8" s="1"/>
  <c r="U55" i="11"/>
  <c r="U82" i="11" s="1"/>
  <c r="T88" i="11"/>
  <c r="T90" i="11" s="1"/>
  <c r="D16" i="39"/>
  <c r="R67" i="28"/>
  <c r="BV55" i="6"/>
  <c r="BY7" i="8" s="1"/>
  <c r="BY6" i="8"/>
  <c r="BT64" i="6"/>
  <c r="BT63" i="6"/>
  <c r="BT60" i="6"/>
  <c r="D17" i="39"/>
  <c r="T38" i="11"/>
  <c r="BP13" i="8"/>
  <c r="BO13" i="8" s="1"/>
  <c r="C17" i="39"/>
  <c r="BW54" i="6"/>
  <c r="BX53" i="6"/>
  <c r="G30" i="38" l="1"/>
  <c r="S69" i="28"/>
  <c r="S10" i="28"/>
  <c r="S52" i="28"/>
  <c r="S56" i="28" s="1"/>
  <c r="S57" i="28" s="1"/>
  <c r="BX12" i="8"/>
  <c r="W55" i="11" s="1"/>
  <c r="H36" i="38"/>
  <c r="AP10" i="28"/>
  <c r="BU59" i="6"/>
  <c r="BU60" i="6" s="1"/>
  <c r="U75" i="11"/>
  <c r="BW50" i="8"/>
  <c r="BW56" i="8"/>
  <c r="BT128" i="6"/>
  <c r="BT129" i="6" s="1"/>
  <c r="BT134" i="6" s="1"/>
  <c r="BT248" i="6"/>
  <c r="BW19" i="8" s="1"/>
  <c r="BT166" i="6"/>
  <c r="BT167" i="6" s="1"/>
  <c r="AY173" i="6"/>
  <c r="AY188" i="6" s="1"/>
  <c r="V55" i="11"/>
  <c r="BW60" i="8"/>
  <c r="V53" i="11"/>
  <c r="T67" i="28" s="1"/>
  <c r="V33" i="11"/>
  <c r="O93" i="11"/>
  <c r="U88" i="11"/>
  <c r="U90" i="11" s="1"/>
  <c r="BS144" i="6"/>
  <c r="AP168" i="6"/>
  <c r="G36" i="38"/>
  <c r="BW54" i="8"/>
  <c r="BO51" i="8"/>
  <c r="BO14" i="8"/>
  <c r="S67" i="28"/>
  <c r="S13" i="28"/>
  <c r="AB120" i="28"/>
  <c r="U80" i="11"/>
  <c r="AQ10" i="28"/>
  <c r="BY12" i="8"/>
  <c r="BY60" i="8" s="1"/>
  <c r="BV59" i="6"/>
  <c r="BV64" i="6" s="1"/>
  <c r="Q8" i="28"/>
  <c r="BN201" i="6"/>
  <c r="BN203" i="6" s="1"/>
  <c r="BN204" i="6" s="1"/>
  <c r="BP14" i="8"/>
  <c r="BP51" i="8"/>
  <c r="BW55" i="6"/>
  <c r="BZ7" i="8" s="1"/>
  <c r="BZ6" i="8"/>
  <c r="BY8" i="8"/>
  <c r="BX54" i="6"/>
  <c r="BY53" i="6"/>
  <c r="W53" i="11" l="1"/>
  <c r="W80" i="11" s="1"/>
  <c r="BU166" i="6"/>
  <c r="BU167" i="6" s="1"/>
  <c r="BX50" i="8"/>
  <c r="BX54" i="8"/>
  <c r="BU63" i="6"/>
  <c r="BU64" i="6"/>
  <c r="BD173" i="6"/>
  <c r="BD188" i="6" s="1"/>
  <c r="BX56" i="8"/>
  <c r="BU248" i="6"/>
  <c r="BX19" i="8" s="1"/>
  <c r="BX61" i="8" s="1"/>
  <c r="BU128" i="6"/>
  <c r="BU129" i="6" s="1"/>
  <c r="BU134" i="6" s="1"/>
  <c r="BU144" i="6" s="1"/>
  <c r="W33" i="11"/>
  <c r="W88" i="11" s="1"/>
  <c r="W90" i="11" s="1"/>
  <c r="BX60" i="8"/>
  <c r="W82" i="11"/>
  <c r="BY54" i="8"/>
  <c r="BV128" i="6"/>
  <c r="BV129" i="6" s="1"/>
  <c r="BV134" i="6" s="1"/>
  <c r="BV144" i="6" s="1"/>
  <c r="T52" i="28"/>
  <c r="T56" i="28" s="1"/>
  <c r="T57" i="28" s="1"/>
  <c r="V37" i="11"/>
  <c r="V38" i="11" s="1"/>
  <c r="V75" i="11"/>
  <c r="V88" i="11"/>
  <c r="V90" i="11" s="1"/>
  <c r="V82" i="11"/>
  <c r="T69" i="28"/>
  <c r="BT144" i="6"/>
  <c r="BT145" i="6" s="1"/>
  <c r="BT142" i="6"/>
  <c r="BT138" i="6" s="1"/>
  <c r="V80" i="11"/>
  <c r="T13" i="28"/>
  <c r="BW61" i="8"/>
  <c r="F38" i="34"/>
  <c r="BO52" i="8"/>
  <c r="X53" i="11"/>
  <c r="BY50" i="8"/>
  <c r="X33" i="11"/>
  <c r="BV166" i="6"/>
  <c r="BV248" i="6"/>
  <c r="BY19" i="8" s="1"/>
  <c r="BY61" i="8" s="1"/>
  <c r="X55" i="11"/>
  <c r="X82" i="11" s="1"/>
  <c r="BI173" i="6"/>
  <c r="BI188" i="6" s="1"/>
  <c r="BY56" i="8"/>
  <c r="BZ8" i="8"/>
  <c r="BV60" i="6"/>
  <c r="BV63" i="6"/>
  <c r="BZ12" i="8"/>
  <c r="BZ56" i="8" s="1"/>
  <c r="BN214" i="6"/>
  <c r="BN216" i="6" s="1"/>
  <c r="BN217" i="6" s="1"/>
  <c r="BN218" i="6" s="1"/>
  <c r="BN210" i="6"/>
  <c r="Q2" i="28"/>
  <c r="Q9" i="28"/>
  <c r="BP52" i="8"/>
  <c r="BP17" i="8"/>
  <c r="BO17" i="8" s="1"/>
  <c r="C8" i="39"/>
  <c r="AI10" i="28"/>
  <c r="Q68" i="28"/>
  <c r="S85" i="11"/>
  <c r="S91" i="11" s="1"/>
  <c r="S17" i="7" s="1"/>
  <c r="F7" i="12" s="1"/>
  <c r="Q6" i="12" s="1"/>
  <c r="BW59" i="6"/>
  <c r="BY54" i="6"/>
  <c r="BZ53" i="6"/>
  <c r="BN63" i="8"/>
  <c r="BX55" i="6"/>
  <c r="CA7" i="8" s="1"/>
  <c r="CA6" i="8"/>
  <c r="BV167" i="6" l="1"/>
  <c r="BZ54" i="8"/>
  <c r="X80" i="11"/>
  <c r="BW166" i="6"/>
  <c r="BW167" i="6" s="1"/>
  <c r="Y53" i="11"/>
  <c r="Y80" i="11" s="1"/>
  <c r="BW128" i="6"/>
  <c r="BW129" i="6" s="1"/>
  <c r="BW134" i="6" s="1"/>
  <c r="BW144" i="6" s="1"/>
  <c r="BW145" i="6" s="1"/>
  <c r="X88" i="11"/>
  <c r="X90" i="11" s="1"/>
  <c r="BU142" i="6"/>
  <c r="BU138" i="6" s="1"/>
  <c r="BV136" i="6" s="1"/>
  <c r="BV145" i="6"/>
  <c r="X37" i="11"/>
  <c r="X38" i="11" s="1"/>
  <c r="W37" i="11"/>
  <c r="W38" i="11" s="1"/>
  <c r="W75" i="11"/>
  <c r="BZ50" i="8"/>
  <c r="BV142" i="6"/>
  <c r="BV138" i="6" s="1"/>
  <c r="BW136" i="6" s="1"/>
  <c r="G38" i="34"/>
  <c r="F39" i="34"/>
  <c r="BU145" i="6"/>
  <c r="X75" i="11"/>
  <c r="BU136" i="6"/>
  <c r="BT140" i="6"/>
  <c r="BW13" i="8" s="1"/>
  <c r="BO20" i="8"/>
  <c r="BO55" i="8"/>
  <c r="BN173" i="6"/>
  <c r="BN188" i="6" s="1"/>
  <c r="BZ60" i="8"/>
  <c r="Y33" i="11"/>
  <c r="Y37" i="11" s="1"/>
  <c r="Y38" i="11" s="1"/>
  <c r="BW248" i="6"/>
  <c r="BZ19" i="8" s="1"/>
  <c r="BZ61" i="8" s="1"/>
  <c r="Y55" i="11"/>
  <c r="Y82" i="11" s="1"/>
  <c r="CA8" i="8"/>
  <c r="BP20" i="8"/>
  <c r="BP55" i="8"/>
  <c r="AJ39" i="28"/>
  <c r="Q11" i="28"/>
  <c r="Q107" i="28"/>
  <c r="H16" i="39" s="1"/>
  <c r="BP63" i="8"/>
  <c r="Q19" i="28"/>
  <c r="BY55" i="6"/>
  <c r="CB7" i="8" s="1"/>
  <c r="CB6" i="8"/>
  <c r="BW60" i="6"/>
  <c r="BW64" i="6"/>
  <c r="BW63" i="6"/>
  <c r="BZ54" i="6"/>
  <c r="CA53" i="6"/>
  <c r="CA12" i="8"/>
  <c r="BX59" i="6"/>
  <c r="BW142" i="6" l="1"/>
  <c r="BW138" i="6" s="1"/>
  <c r="BX136" i="6" s="1"/>
  <c r="BU140" i="6"/>
  <c r="BX13" i="8" s="1"/>
  <c r="W54" i="11" s="1"/>
  <c r="BV140" i="6"/>
  <c r="BY13" i="8" s="1"/>
  <c r="BW14" i="8"/>
  <c r="V54" i="11"/>
  <c r="BW51" i="8"/>
  <c r="T8" i="28"/>
  <c r="T9" i="28" s="1"/>
  <c r="Y75" i="11"/>
  <c r="Y88" i="11"/>
  <c r="Y90" i="11" s="1"/>
  <c r="BO57" i="8"/>
  <c r="BO25" i="8"/>
  <c r="BO28" i="8" s="1"/>
  <c r="CB12" i="8"/>
  <c r="CB60" i="8" s="1"/>
  <c r="BY59" i="6"/>
  <c r="BY60" i="6" s="1"/>
  <c r="BP22" i="8"/>
  <c r="BP59" i="8" s="1"/>
  <c r="BP57" i="8"/>
  <c r="BP25" i="8"/>
  <c r="Q108" i="28"/>
  <c r="Q14" i="28"/>
  <c r="CA50" i="8"/>
  <c r="BX166" i="6"/>
  <c r="BX167" i="6" s="1"/>
  <c r="BR173" i="6"/>
  <c r="BR188" i="6" s="1"/>
  <c r="Z55" i="11"/>
  <c r="Z82" i="11" s="1"/>
  <c r="CA60" i="8"/>
  <c r="CA56" i="8"/>
  <c r="CA54" i="8"/>
  <c r="BX248" i="6"/>
  <c r="CA19" i="8" s="1"/>
  <c r="CA61" i="8" s="1"/>
  <c r="Z33" i="11"/>
  <c r="BX128" i="6"/>
  <c r="BX129" i="6" s="1"/>
  <c r="BX134" i="6" s="1"/>
  <c r="Z53" i="11"/>
  <c r="CA54" i="6"/>
  <c r="CB53" i="6"/>
  <c r="CB54" i="6" s="1"/>
  <c r="CB8" i="8"/>
  <c r="BX64" i="6"/>
  <c r="BX63" i="6"/>
  <c r="BX60" i="6"/>
  <c r="BZ55" i="6"/>
  <c r="CC7" i="8" s="1"/>
  <c r="CC6" i="8"/>
  <c r="BW140" i="6" l="1"/>
  <c r="BZ13" i="8" s="1"/>
  <c r="Y54" i="11" s="1"/>
  <c r="BX14" i="8"/>
  <c r="BX52" i="8" s="1"/>
  <c r="AA33" i="11"/>
  <c r="AA88" i="11" s="1"/>
  <c r="AA90" i="11" s="1"/>
  <c r="BY63" i="6"/>
  <c r="BX51" i="8"/>
  <c r="W81" i="11"/>
  <c r="W85" i="11" s="1"/>
  <c r="W91" i="11" s="1"/>
  <c r="W17" i="7" s="1"/>
  <c r="J7" i="12" s="1"/>
  <c r="U6" i="12" s="1"/>
  <c r="BY14" i="8"/>
  <c r="BY51" i="8"/>
  <c r="X54" i="11"/>
  <c r="X81" i="11" s="1"/>
  <c r="X85" i="11" s="1"/>
  <c r="X91" i="11" s="1"/>
  <c r="X17" i="7" s="1"/>
  <c r="K7" i="12" s="1"/>
  <c r="U9" i="28"/>
  <c r="T107" i="28"/>
  <c r="BW52" i="8"/>
  <c r="T68" i="28"/>
  <c r="BY64" i="6"/>
  <c r="BO62" i="8"/>
  <c r="BO30" i="8"/>
  <c r="BZ51" i="8"/>
  <c r="BP30" i="8"/>
  <c r="BP70" i="8" s="1"/>
  <c r="BP76" i="8" s="1"/>
  <c r="S16" i="11" s="1"/>
  <c r="S17" i="11" s="1"/>
  <c r="BN25" i="8"/>
  <c r="AA55" i="11"/>
  <c r="AA82" i="11" s="1"/>
  <c r="BY166" i="6"/>
  <c r="BY167" i="6" s="1"/>
  <c r="BS173" i="6"/>
  <c r="BS188" i="6" s="1"/>
  <c r="BY128" i="6"/>
  <c r="BY129" i="6" s="1"/>
  <c r="BY134" i="6" s="1"/>
  <c r="BY142" i="6" s="1"/>
  <c r="BY138" i="6" s="1"/>
  <c r="BZ136" i="6" s="1"/>
  <c r="CB54" i="8"/>
  <c r="CB56" i="8"/>
  <c r="BY248" i="6"/>
  <c r="CB19" i="8" s="1"/>
  <c r="CB61" i="8" s="1"/>
  <c r="AA53" i="11"/>
  <c r="AA80" i="11" s="1"/>
  <c r="CB50" i="8"/>
  <c r="CC12" i="8"/>
  <c r="BZ166" i="6" s="1"/>
  <c r="BZ59" i="6"/>
  <c r="BZ64" i="6" s="1"/>
  <c r="Q115" i="28"/>
  <c r="H19" i="39" s="1"/>
  <c r="Q16" i="28"/>
  <c r="Q18" i="28"/>
  <c r="S6" i="7"/>
  <c r="S18" i="7" s="1"/>
  <c r="S23" i="7" s="1"/>
  <c r="BP62" i="8"/>
  <c r="BN192" i="6"/>
  <c r="BP48" i="8"/>
  <c r="CB55" i="6"/>
  <c r="CE7" i="8" s="1"/>
  <c r="CE6" i="8"/>
  <c r="BX142" i="6"/>
  <c r="BX138" i="6" s="1"/>
  <c r="BY136" i="6" s="1"/>
  <c r="BX144" i="6"/>
  <c r="BX145" i="6" s="1"/>
  <c r="CA55" i="6"/>
  <c r="CD7" i="8" s="1"/>
  <c r="CD6" i="8"/>
  <c r="Z80" i="11"/>
  <c r="P93" i="11"/>
  <c r="Z75" i="11"/>
  <c r="Z37" i="11"/>
  <c r="Z38" i="11" s="1"/>
  <c r="Z88" i="11"/>
  <c r="Z90" i="11" s="1"/>
  <c r="CC8" i="8"/>
  <c r="BZ14" i="8" l="1"/>
  <c r="BZ52" i="8" s="1"/>
  <c r="AA37" i="11"/>
  <c r="AA38" i="11" s="1"/>
  <c r="AA75" i="11"/>
  <c r="Y81" i="11"/>
  <c r="Y85" i="11" s="1"/>
  <c r="Y91" i="11" s="1"/>
  <c r="Y17" i="7" s="1"/>
  <c r="BY52" i="8"/>
  <c r="BY144" i="6"/>
  <c r="BY145" i="6" s="1"/>
  <c r="F43" i="34"/>
  <c r="BO33" i="8"/>
  <c r="F44" i="34" s="1"/>
  <c r="BO64" i="8"/>
  <c r="AB55" i="11"/>
  <c r="AB82" i="11" s="1"/>
  <c r="BN28" i="8"/>
  <c r="BN62" i="8"/>
  <c r="BN30" i="8"/>
  <c r="BZ63" i="6"/>
  <c r="BZ60" i="6"/>
  <c r="CC50" i="8"/>
  <c r="AB53" i="11"/>
  <c r="AB80" i="11" s="1"/>
  <c r="BZ167" i="6"/>
  <c r="CE8" i="8"/>
  <c r="AB33" i="11"/>
  <c r="AB88" i="11" s="1"/>
  <c r="AB90" i="11" s="1"/>
  <c r="CC54" i="8"/>
  <c r="CC60" i="8"/>
  <c r="BY140" i="6"/>
  <c r="CB13" i="8" s="1"/>
  <c r="BZ128" i="6"/>
  <c r="BZ129" i="6" s="1"/>
  <c r="BZ134" i="6" s="1"/>
  <c r="BZ144" i="6" s="1"/>
  <c r="BT173" i="6"/>
  <c r="BT188" i="6" s="1"/>
  <c r="CC56" i="8"/>
  <c r="BZ248" i="6"/>
  <c r="CC19" i="8" s="1"/>
  <c r="CC61" i="8" s="1"/>
  <c r="BX140" i="6"/>
  <c r="CA13" i="8" s="1"/>
  <c r="CA14" i="8" s="1"/>
  <c r="S39" i="11"/>
  <c r="S18" i="11"/>
  <c r="H178" i="40"/>
  <c r="H183" i="40" s="1"/>
  <c r="H184" i="40" s="1"/>
  <c r="CD12" i="8"/>
  <c r="BU173" i="6" s="1"/>
  <c r="BU188" i="6" s="1"/>
  <c r="CA59" i="6"/>
  <c r="CA64" i="6" s="1"/>
  <c r="F5" i="12"/>
  <c r="F4" i="12"/>
  <c r="BP64" i="8"/>
  <c r="H24" i="37"/>
  <c r="H26" i="37" s="1"/>
  <c r="H27" i="37" s="1"/>
  <c r="BP77" i="8"/>
  <c r="BP33" i="8"/>
  <c r="BN34" i="8" s="1"/>
  <c r="BP41" i="8"/>
  <c r="BP42" i="8" s="1"/>
  <c r="C11" i="39"/>
  <c r="AI13" i="28"/>
  <c r="Q20" i="28"/>
  <c r="C23" i="39"/>
  <c r="Q86" i="28"/>
  <c r="Q99" i="28" s="1"/>
  <c r="Q101" i="28" s="1"/>
  <c r="Q103" i="28" s="1"/>
  <c r="S39" i="7"/>
  <c r="S42" i="7" s="1"/>
  <c r="S43" i="7" s="1"/>
  <c r="Q3" i="28"/>
  <c r="Q109" i="28"/>
  <c r="H17" i="39" s="1"/>
  <c r="C39" i="39" s="1"/>
  <c r="CE12" i="8"/>
  <c r="CB59" i="6"/>
  <c r="CD8" i="8"/>
  <c r="CA248" i="6" l="1"/>
  <c r="CD19" i="8" s="1"/>
  <c r="CD61" i="8" s="1"/>
  <c r="AB75" i="11"/>
  <c r="AB37" i="11"/>
  <c r="AB38" i="11" s="1"/>
  <c r="BZ142" i="6"/>
  <c r="BZ138" i="6" s="1"/>
  <c r="CA136" i="6" s="1"/>
  <c r="CA166" i="6"/>
  <c r="CA167" i="6" s="1"/>
  <c r="CA51" i="8"/>
  <c r="BZ145" i="6"/>
  <c r="CA63" i="6"/>
  <c r="BN64" i="8"/>
  <c r="BN33" i="8"/>
  <c r="AA54" i="11"/>
  <c r="CA60" i="6"/>
  <c r="Z54" i="11"/>
  <c r="Z81" i="11" s="1"/>
  <c r="Z85" i="11" s="1"/>
  <c r="Z91" i="11" s="1"/>
  <c r="Z17" i="7" s="1"/>
  <c r="AC33" i="11"/>
  <c r="AC37" i="11" s="1"/>
  <c r="AC38" i="11" s="1"/>
  <c r="CD56" i="8"/>
  <c r="CD54" i="8"/>
  <c r="CA128" i="6"/>
  <c r="CA129" i="6" s="1"/>
  <c r="CA134" i="6" s="1"/>
  <c r="CA144" i="6" s="1"/>
  <c r="CA145" i="6" s="1"/>
  <c r="CD60" i="8"/>
  <c r="CD50" i="8"/>
  <c r="AC53" i="11"/>
  <c r="AC80" i="11" s="1"/>
  <c r="AC55" i="11"/>
  <c r="AC82" i="11" s="1"/>
  <c r="CB14" i="8"/>
  <c r="CB52" i="8" s="1"/>
  <c r="CB51" i="8"/>
  <c r="E25" i="38"/>
  <c r="Y121" i="28"/>
  <c r="AJ40" i="28"/>
  <c r="AN11" i="28"/>
  <c r="Q110" i="28"/>
  <c r="BP35" i="8"/>
  <c r="AI14" i="28"/>
  <c r="AI16" i="28" s="1"/>
  <c r="BP40" i="8"/>
  <c r="BP45" i="8"/>
  <c r="Q21" i="28"/>
  <c r="T41" i="7"/>
  <c r="S45" i="7"/>
  <c r="BU69" i="8"/>
  <c r="Q4" i="12"/>
  <c r="Q8" i="12" s="1"/>
  <c r="F10" i="12"/>
  <c r="CA52" i="8"/>
  <c r="CB60" i="6"/>
  <c r="CB64" i="6"/>
  <c r="CB63" i="6"/>
  <c r="CE54" i="8"/>
  <c r="CE60" i="8"/>
  <c r="CE56" i="8"/>
  <c r="CB248" i="6"/>
  <c r="CE19" i="8" s="1"/>
  <c r="CE61" i="8" s="1"/>
  <c r="AD55" i="11"/>
  <c r="BV173" i="6"/>
  <c r="BV188" i="6" s="1"/>
  <c r="CB166" i="6"/>
  <c r="CE50" i="8"/>
  <c r="CB128" i="6"/>
  <c r="CB129" i="6" s="1"/>
  <c r="CB134" i="6" s="1"/>
  <c r="AD33" i="11"/>
  <c r="AD53" i="11"/>
  <c r="CB167" i="6" l="1"/>
  <c r="CA142" i="6"/>
  <c r="CA138" i="6" s="1"/>
  <c r="CB136" i="6" s="1"/>
  <c r="BZ140" i="6"/>
  <c r="CC13" i="8" s="1"/>
  <c r="AA81" i="11"/>
  <c r="AA85" i="11" s="1"/>
  <c r="AA91" i="11" s="1"/>
  <c r="AA17" i="7" s="1"/>
  <c r="AC75" i="11"/>
  <c r="AC88" i="11"/>
  <c r="AC90" i="11" s="1"/>
  <c r="AD82" i="11"/>
  <c r="R100" i="28"/>
  <c r="E26" i="38"/>
  <c r="H18" i="39"/>
  <c r="C40" i="39" s="1"/>
  <c r="Q37" i="28"/>
  <c r="Q38" i="28" s="1"/>
  <c r="C26" i="39"/>
  <c r="E27" i="38"/>
  <c r="H8" i="39"/>
  <c r="AJ37" i="28"/>
  <c r="AN12" i="28"/>
  <c r="AN14" i="28" s="1"/>
  <c r="Y122" i="28"/>
  <c r="Y124" i="28" s="1"/>
  <c r="AD80" i="11"/>
  <c r="CB142" i="6"/>
  <c r="CB138" i="6" s="1"/>
  <c r="CB144" i="6"/>
  <c r="CB145" i="6" s="1"/>
  <c r="AD75" i="11"/>
  <c r="AD88" i="11"/>
  <c r="AD90" i="11" s="1"/>
  <c r="AD37" i="11"/>
  <c r="AD38" i="11" s="1"/>
  <c r="CA140" i="6" l="1"/>
  <c r="CD13" i="8" s="1"/>
  <c r="CB140" i="6"/>
  <c r="CE13" i="8" s="1"/>
  <c r="CC14" i="8"/>
  <c r="CC52" i="8" s="1"/>
  <c r="CC51" i="8"/>
  <c r="AB54" i="11"/>
  <c r="AB81" i="11" s="1"/>
  <c r="AB85" i="11" s="1"/>
  <c r="AB91" i="11" s="1"/>
  <c r="AB17" i="7" s="1"/>
  <c r="S72" i="11"/>
  <c r="Q72" i="28"/>
  <c r="S59" i="11"/>
  <c r="H22" i="37"/>
  <c r="S62" i="11"/>
  <c r="H233" i="31"/>
  <c r="H238" i="31" s="1"/>
  <c r="S2" i="11"/>
  <c r="H20" i="39"/>
  <c r="AI25" i="28"/>
  <c r="C13" i="39"/>
  <c r="H25" i="37"/>
  <c r="C32" i="39"/>
  <c r="H12" i="39"/>
  <c r="C34" i="39" s="1"/>
  <c r="M9" i="39"/>
  <c r="O9" i="39" s="1"/>
  <c r="AN15" i="28"/>
  <c r="Q58" i="28"/>
  <c r="AN16" i="28"/>
  <c r="Y125" i="28"/>
  <c r="Q114" i="28"/>
  <c r="Q112" i="28"/>
  <c r="H25" i="39" s="1"/>
  <c r="Y126" i="28"/>
  <c r="CE14" i="8" l="1"/>
  <c r="CE51" i="8"/>
  <c r="CD14" i="8"/>
  <c r="AD54" i="11"/>
  <c r="CD51" i="8"/>
  <c r="AC54" i="11"/>
  <c r="AC81" i="11" s="1"/>
  <c r="AC85" i="11" s="1"/>
  <c r="AC91" i="11" s="1"/>
  <c r="AC17" i="7" s="1"/>
  <c r="AI17" i="28"/>
  <c r="AI19" i="28"/>
  <c r="AI26" i="28"/>
  <c r="H23" i="37"/>
  <c r="S60" i="11"/>
  <c r="H180" i="40" s="1"/>
  <c r="H181" i="40" s="1"/>
  <c r="C20" i="39"/>
  <c r="C21" i="39" s="1"/>
  <c r="H21" i="39" s="1"/>
  <c r="R9" i="39"/>
  <c r="C37" i="39"/>
  <c r="H10" i="39"/>
  <c r="H13" i="39" s="1"/>
  <c r="C35" i="39" s="1"/>
  <c r="C18" i="39"/>
  <c r="H239" i="31"/>
  <c r="F14" i="12" s="1"/>
  <c r="F13" i="12"/>
  <c r="J29" i="37"/>
  <c r="H28" i="37"/>
  <c r="CE52" i="8" l="1"/>
  <c r="AD81" i="11"/>
  <c r="AD85" i="11" s="1"/>
  <c r="AD91" i="11" s="1"/>
  <c r="AD17" i="7" s="1"/>
  <c r="CD52" i="8"/>
  <c r="F19" i="12"/>
  <c r="Q9" i="12" s="1"/>
  <c r="H235" i="31"/>
  <c r="H236" i="31" s="1"/>
  <c r="S61" i="11"/>
  <c r="AI20" i="28"/>
  <c r="F21" i="12" l="1"/>
  <c r="Q10" i="12" s="1"/>
  <c r="S3" i="7"/>
  <c r="S3" i="11"/>
  <c r="Q73" i="28" s="1"/>
  <c r="Q74" i="28" s="1"/>
  <c r="W16" i="12"/>
  <c r="Y35" i="12" s="1"/>
  <c r="W19" i="12"/>
  <c r="Y127" i="28" l="1"/>
  <c r="Q111" i="28"/>
  <c r="Q113" i="28"/>
  <c r="H24" i="39" s="1"/>
  <c r="C38" i="39" s="1"/>
  <c r="AN17" i="28"/>
  <c r="BP160" i="6" l="1"/>
  <c r="BQ160" i="6" l="1"/>
  <c r="BU160" i="6" l="1"/>
  <c r="BU158" i="6" s="1"/>
  <c r="BX15" i="8" s="1"/>
  <c r="BT158" i="6"/>
  <c r="BW15" i="8" s="1"/>
  <c r="T10" i="28" s="1"/>
  <c r="T11" i="28" s="1"/>
  <c r="BV160" i="6" l="1"/>
  <c r="BW160" i="6" s="1"/>
  <c r="BW158" i="6" s="1"/>
  <c r="BZ15" i="8" s="1"/>
  <c r="BW201" i="6" s="1"/>
  <c r="BW203" i="6" s="1"/>
  <c r="BW204" i="6" s="1"/>
  <c r="BW17" i="8"/>
  <c r="BW55" i="8" s="1"/>
  <c r="BW53" i="8"/>
  <c r="BT201" i="6"/>
  <c r="BT203" i="6" s="1"/>
  <c r="BT204" i="6" s="1"/>
  <c r="BT214" i="6" s="1"/>
  <c r="BT216" i="6" s="1"/>
  <c r="BT217" i="6" s="1"/>
  <c r="BT218" i="6" s="1"/>
  <c r="BX17" i="8"/>
  <c r="BU201" i="6"/>
  <c r="BU203" i="6" s="1"/>
  <c r="BU204" i="6" s="1"/>
  <c r="BX53" i="8"/>
  <c r="T108" i="28"/>
  <c r="T14" i="28"/>
  <c r="BZ17" i="8" l="1"/>
  <c r="BZ20" i="8" s="1"/>
  <c r="BX160" i="6"/>
  <c r="BX158" i="6" s="1"/>
  <c r="CA15" i="8" s="1"/>
  <c r="BX201" i="6" s="1"/>
  <c r="BX203" i="6" s="1"/>
  <c r="BX204" i="6" s="1"/>
  <c r="BZ53" i="8"/>
  <c r="BT210" i="6"/>
  <c r="BV158" i="6"/>
  <c r="BY15" i="8" s="1"/>
  <c r="BV201" i="6" s="1"/>
  <c r="BV203" i="6" s="1"/>
  <c r="BV204" i="6" s="1"/>
  <c r="BV214" i="6" s="1"/>
  <c r="BV216" i="6" s="1"/>
  <c r="BV217" i="6" s="1"/>
  <c r="BV218" i="6" s="1"/>
  <c r="BY160" i="6"/>
  <c r="BZ160" i="6" s="1"/>
  <c r="BZ158" i="6" s="1"/>
  <c r="CC15" i="8" s="1"/>
  <c r="BZ201" i="6" s="1"/>
  <c r="BZ203" i="6" s="1"/>
  <c r="BZ204" i="6" s="1"/>
  <c r="BW20" i="8"/>
  <c r="BW22" i="8" s="1"/>
  <c r="BW59" i="8" s="1"/>
  <c r="BX20" i="8"/>
  <c r="BX55" i="8"/>
  <c r="CA17" i="8"/>
  <c r="BU210" i="6"/>
  <c r="BU214" i="6"/>
  <c r="BU216" i="6" s="1"/>
  <c r="BU217" i="6" s="1"/>
  <c r="BU218" i="6" s="1"/>
  <c r="T16" i="28"/>
  <c r="T109" i="28" s="1"/>
  <c r="T18" i="28"/>
  <c r="T115" i="28"/>
  <c r="BW210" i="6"/>
  <c r="BW214" i="6"/>
  <c r="BW216" i="6" s="1"/>
  <c r="BW217" i="6" s="1"/>
  <c r="BW218" i="6" s="1"/>
  <c r="CA160" i="6" l="1"/>
  <c r="CA158" i="6" s="1"/>
  <c r="CD15" i="8" s="1"/>
  <c r="CD17" i="8" s="1"/>
  <c r="I4" i="12"/>
  <c r="T4" i="12" s="1"/>
  <c r="BW57" i="8"/>
  <c r="BW25" i="8"/>
  <c r="BW62" i="8" s="1"/>
  <c r="CA53" i="8"/>
  <c r="BZ55" i="8"/>
  <c r="BV210" i="6"/>
  <c r="BY53" i="8"/>
  <c r="BY17" i="8"/>
  <c r="BY55" i="8" s="1"/>
  <c r="BY158" i="6"/>
  <c r="CB15" i="8" s="1"/>
  <c r="CB53" i="8" s="1"/>
  <c r="CC17" i="8"/>
  <c r="CC55" i="8" s="1"/>
  <c r="CC53" i="8"/>
  <c r="CA20" i="8"/>
  <c r="CA55" i="8"/>
  <c r="BZ214" i="6"/>
  <c r="BZ216" i="6" s="1"/>
  <c r="BZ217" i="6" s="1"/>
  <c r="BZ218" i="6" s="1"/>
  <c r="BZ210" i="6"/>
  <c r="BX22" i="8"/>
  <c r="BX59" i="8" s="1"/>
  <c r="BX57" i="8"/>
  <c r="J4" i="12"/>
  <c r="BX25" i="8"/>
  <c r="BX214" i="6"/>
  <c r="BX216" i="6" s="1"/>
  <c r="BX217" i="6" s="1"/>
  <c r="BX218" i="6" s="1"/>
  <c r="BX210" i="6"/>
  <c r="BZ22" i="8"/>
  <c r="BZ59" i="8" s="1"/>
  <c r="BZ57" i="8"/>
  <c r="BZ25" i="8"/>
  <c r="CA201" i="6" l="1"/>
  <c r="CA203" i="6" s="1"/>
  <c r="CA204" i="6" s="1"/>
  <c r="CA214" i="6" s="1"/>
  <c r="CA216" i="6" s="1"/>
  <c r="CA217" i="6" s="1"/>
  <c r="CA218" i="6" s="1"/>
  <c r="CB160" i="6"/>
  <c r="CB158" i="6" s="1"/>
  <c r="CE15" i="8" s="1"/>
  <c r="CE17" i="8" s="1"/>
  <c r="CE20" i="8" s="1"/>
  <c r="CD53" i="8"/>
  <c r="BY20" i="8"/>
  <c r="BY22" i="8" s="1"/>
  <c r="BY59" i="8" s="1"/>
  <c r="V6" i="7"/>
  <c r="CC20" i="8"/>
  <c r="CC25" i="8" s="1"/>
  <c r="BW29" i="8"/>
  <c r="BW30" i="8" s="1"/>
  <c r="BW77" i="8" s="1"/>
  <c r="U48" i="13"/>
  <c r="U50" i="13" s="1"/>
  <c r="U59" i="13" s="1"/>
  <c r="CB17" i="8"/>
  <c r="CB20" i="8" s="1"/>
  <c r="BY201" i="6"/>
  <c r="BY203" i="6" s="1"/>
  <c r="BY204" i="6" s="1"/>
  <c r="BY214" i="6" s="1"/>
  <c r="BY216" i="6" s="1"/>
  <c r="BY217" i="6" s="1"/>
  <c r="BY218" i="6" s="1"/>
  <c r="BY25" i="8"/>
  <c r="BY62" i="8" s="1"/>
  <c r="CB201" i="6"/>
  <c r="CB203" i="6" s="1"/>
  <c r="CB204" i="6" s="1"/>
  <c r="CB210" i="6" s="1"/>
  <c r="U4" i="12"/>
  <c r="U8" i="12" s="1"/>
  <c r="J10" i="12"/>
  <c r="CA25" i="8"/>
  <c r="CA22" i="8"/>
  <c r="CA59" i="8" s="1"/>
  <c r="CA57" i="8"/>
  <c r="BZ62" i="8"/>
  <c r="X48" i="13"/>
  <c r="X50" i="13" s="1"/>
  <c r="X59" i="13" s="1"/>
  <c r="BZ29" i="8"/>
  <c r="Y6" i="7"/>
  <c r="Y18" i="7" s="1"/>
  <c r="BZ27" i="8"/>
  <c r="CD20" i="8"/>
  <c r="CD55" i="8"/>
  <c r="BX29" i="8"/>
  <c r="BX30" i="8" s="1"/>
  <c r="BX62" i="8"/>
  <c r="W6" i="7"/>
  <c r="W18" i="7" s="1"/>
  <c r="V48" i="13"/>
  <c r="V50" i="13" s="1"/>
  <c r="V59" i="13" s="1"/>
  <c r="K4" i="12" l="1"/>
  <c r="K10" i="12" s="1"/>
  <c r="CE55" i="8"/>
  <c r="BW41" i="8"/>
  <c r="BW42" i="8" s="1"/>
  <c r="BY57" i="8"/>
  <c r="CA210" i="6"/>
  <c r="CE53" i="8"/>
  <c r="BW33" i="8"/>
  <c r="T21" i="28" s="1"/>
  <c r="BT192" i="6"/>
  <c r="T20" i="28"/>
  <c r="U20" i="28" s="1"/>
  <c r="V21" i="7"/>
  <c r="CC22" i="8"/>
  <c r="CC59" i="8" s="1"/>
  <c r="CC57" i="8"/>
  <c r="BW64" i="8"/>
  <c r="T19" i="28"/>
  <c r="BW63" i="8"/>
  <c r="CB55" i="8"/>
  <c r="W48" i="13"/>
  <c r="W50" i="13" s="1"/>
  <c r="W59" i="13" s="1"/>
  <c r="BY210" i="6"/>
  <c r="BY29" i="8"/>
  <c r="BY30" i="8" s="1"/>
  <c r="BY41" i="8" s="1"/>
  <c r="BY42" i="8" s="1"/>
  <c r="X6" i="7"/>
  <c r="X18" i="7" s="1"/>
  <c r="CB214" i="6"/>
  <c r="CB216" i="6" s="1"/>
  <c r="CB217" i="6" s="1"/>
  <c r="CB218" i="6" s="1"/>
  <c r="Y48" i="13"/>
  <c r="Y50" i="13" s="1"/>
  <c r="Y59" i="13" s="1"/>
  <c r="CA29" i="8"/>
  <c r="CA30" i="8" s="1"/>
  <c r="Z6" i="7"/>
  <c r="Z18" i="7" s="1"/>
  <c r="CA27" i="8"/>
  <c r="CA62" i="8"/>
  <c r="AB6" i="7"/>
  <c r="AB18" i="7" s="1"/>
  <c r="CC27" i="8"/>
  <c r="AA48" i="13"/>
  <c r="AA50" i="13" s="1"/>
  <c r="AA59" i="13" s="1"/>
  <c r="CC62" i="8"/>
  <c r="CC29" i="8"/>
  <c r="Y21" i="7"/>
  <c r="Y23" i="7" s="1"/>
  <c r="Y39" i="7" s="1"/>
  <c r="Y42" i="7" s="1"/>
  <c r="BW192" i="6"/>
  <c r="BZ63" i="8"/>
  <c r="CD25" i="8"/>
  <c r="CD22" i="8"/>
  <c r="CD59" i="8" s="1"/>
  <c r="CD57" i="8"/>
  <c r="CE25" i="8"/>
  <c r="CE22" i="8"/>
  <c r="CE59" i="8" s="1"/>
  <c r="CE57" i="8"/>
  <c r="BX41" i="8"/>
  <c r="BX42" i="8" s="1"/>
  <c r="BX64" i="8"/>
  <c r="BX77" i="8"/>
  <c r="BX33" i="8"/>
  <c r="BX40" i="8" s="1"/>
  <c r="BU192" i="6"/>
  <c r="BX63" i="8"/>
  <c r="W21" i="7"/>
  <c r="W23" i="7" s="1"/>
  <c r="W39" i="7" s="1"/>
  <c r="W42" i="7" s="1"/>
  <c r="CB22" i="8"/>
  <c r="CB59" i="8" s="1"/>
  <c r="CB57" i="8"/>
  <c r="CB25" i="8"/>
  <c r="BZ30" i="8"/>
  <c r="T110" i="28" l="1"/>
  <c r="H26" i="38" s="1"/>
  <c r="BW40" i="8"/>
  <c r="AB121" i="28"/>
  <c r="H25" i="38"/>
  <c r="AQ11" i="28"/>
  <c r="BV192" i="6"/>
  <c r="BY33" i="8"/>
  <c r="BY40" i="8" s="1"/>
  <c r="X21" i="7"/>
  <c r="X23" i="7" s="1"/>
  <c r="X39" i="7" s="1"/>
  <c r="X42" i="7" s="1"/>
  <c r="BY77" i="8"/>
  <c r="BY64" i="8"/>
  <c r="BY63" i="8"/>
  <c r="CB29" i="8"/>
  <c r="CB30" i="8" s="1"/>
  <c r="AA6" i="7"/>
  <c r="AA18" i="7" s="1"/>
  <c r="CB27" i="8"/>
  <c r="CB62" i="8"/>
  <c r="Z48" i="13"/>
  <c r="Z50" i="13" s="1"/>
  <c r="Z59" i="13" s="1"/>
  <c r="CD62" i="8"/>
  <c r="CD29" i="8"/>
  <c r="CD30" i="8" s="1"/>
  <c r="AB48" i="13"/>
  <c r="AB50" i="13" s="1"/>
  <c r="AB59" i="13" s="1"/>
  <c r="CD27" i="8"/>
  <c r="AC6" i="7"/>
  <c r="AC18" i="7" s="1"/>
  <c r="CA77" i="8"/>
  <c r="CA41" i="8"/>
  <c r="CA42" i="8" s="1"/>
  <c r="CA64" i="8"/>
  <c r="CA33" i="8"/>
  <c r="CA40" i="8" s="1"/>
  <c r="CC63" i="8"/>
  <c r="AB21" i="7"/>
  <c r="AB23" i="7" s="1"/>
  <c r="AB39" i="7" s="1"/>
  <c r="AB42" i="7" s="1"/>
  <c r="BZ192" i="6"/>
  <c r="H27" i="38"/>
  <c r="AQ12" i="28"/>
  <c r="AQ14" i="28" s="1"/>
  <c r="AB122" i="28"/>
  <c r="AB124" i="28" s="1"/>
  <c r="Z21" i="7"/>
  <c r="Z23" i="7" s="1"/>
  <c r="Z39" i="7" s="1"/>
  <c r="Z42" i="7" s="1"/>
  <c r="BX192" i="6"/>
  <c r="CA63" i="8"/>
  <c r="BZ33" i="8"/>
  <c r="BZ40" i="8" s="1"/>
  <c r="BZ41" i="8"/>
  <c r="BZ42" i="8" s="1"/>
  <c r="BZ64" i="8"/>
  <c r="BZ77" i="8"/>
  <c r="AC48" i="13"/>
  <c r="AC50" i="13" s="1"/>
  <c r="AC59" i="13" s="1"/>
  <c r="AD6" i="7"/>
  <c r="AD18" i="7" s="1"/>
  <c r="CE27" i="8"/>
  <c r="CE29" i="8"/>
  <c r="CE30" i="8" s="1"/>
  <c r="CE62" i="8"/>
  <c r="CC30" i="8"/>
  <c r="CD33" i="8" l="1"/>
  <c r="CD40" i="8" s="1"/>
  <c r="CD41" i="8"/>
  <c r="CD42" i="8" s="1"/>
  <c r="CD64" i="8"/>
  <c r="CD77" i="8"/>
  <c r="CE41" i="8"/>
  <c r="CE42" i="8" s="1"/>
  <c r="CE64" i="8"/>
  <c r="CE77" i="8"/>
  <c r="CE33" i="8"/>
  <c r="CE40" i="8" s="1"/>
  <c r="CB41" i="8"/>
  <c r="CB42" i="8" s="1"/>
  <c r="CB64" i="8"/>
  <c r="CB33" i="8"/>
  <c r="CB40" i="8" s="1"/>
  <c r="CB77" i="8"/>
  <c r="BY192" i="6"/>
  <c r="CB63" i="8"/>
  <c r="AA21" i="7"/>
  <c r="AA23" i="7" s="1"/>
  <c r="AA39" i="7" s="1"/>
  <c r="AA42" i="7" s="1"/>
  <c r="CC77" i="8"/>
  <c r="CC33" i="8"/>
  <c r="CC40" i="8" s="1"/>
  <c r="CC41" i="8"/>
  <c r="CC42" i="8" s="1"/>
  <c r="CC64" i="8"/>
  <c r="AD21" i="7"/>
  <c r="AD23" i="7" s="1"/>
  <c r="AD39" i="7" s="1"/>
  <c r="AD42" i="7" s="1"/>
  <c r="CE63" i="8"/>
  <c r="CB192" i="6"/>
  <c r="CA192" i="6"/>
  <c r="AC21" i="7"/>
  <c r="AC23" i="7" s="1"/>
  <c r="AC39" i="7" s="1"/>
  <c r="AC42" i="7" s="1"/>
  <c r="CD63" i="8"/>
  <c r="BR124" i="6"/>
  <c r="BR129" i="6" s="1"/>
  <c r="BR134" i="6" s="1"/>
  <c r="BR144" i="6" l="1"/>
  <c r="BR142" i="6"/>
  <c r="BR138" i="6" s="1"/>
  <c r="BS136" i="6" s="1"/>
  <c r="BS140" i="6" s="1"/>
  <c r="BV13" i="8" s="1"/>
  <c r="BR140" i="6" l="1"/>
  <c r="BU13" i="8" s="1"/>
  <c r="BR145" i="6"/>
  <c r="BS145" i="6"/>
  <c r="BV14" i="8"/>
  <c r="BV51" i="8"/>
  <c r="BS201" i="6"/>
  <c r="BS203" i="6" s="1"/>
  <c r="BS204" i="6" s="1"/>
  <c r="U54" i="11"/>
  <c r="S8" i="28"/>
  <c r="T54" i="11" l="1"/>
  <c r="U81" i="11" s="1"/>
  <c r="U85" i="11" s="1"/>
  <c r="U91" i="11" s="1"/>
  <c r="U17" i="7" s="1"/>
  <c r="H7" i="12" s="1"/>
  <c r="S6" i="12" s="1"/>
  <c r="BU14" i="8"/>
  <c r="BU51" i="8"/>
  <c r="BR201" i="6"/>
  <c r="BR203" i="6" s="1"/>
  <c r="BR204" i="6" s="1"/>
  <c r="R8" i="28"/>
  <c r="S68" i="28"/>
  <c r="V81" i="11"/>
  <c r="V85" i="11" s="1"/>
  <c r="V91" i="11" s="1"/>
  <c r="V17" i="7" s="1"/>
  <c r="BS210" i="6"/>
  <c r="BS214" i="6"/>
  <c r="BS216" i="6" s="1"/>
  <c r="BS217" i="6" s="1"/>
  <c r="BS218" i="6" s="1"/>
  <c r="S9" i="28"/>
  <c r="S2" i="28"/>
  <c r="BV17" i="8"/>
  <c r="BV52" i="8"/>
  <c r="R68" i="28" l="1"/>
  <c r="T81" i="11"/>
  <c r="T85" i="11" s="1"/>
  <c r="T91" i="11" s="1"/>
  <c r="T17" i="7" s="1"/>
  <c r="G7" i="12" s="1"/>
  <c r="R6" i="12" s="1"/>
  <c r="AP169" i="6"/>
  <c r="BV20" i="8"/>
  <c r="AP248" i="6"/>
  <c r="BV55" i="8"/>
  <c r="BU52" i="8"/>
  <c r="BU17" i="8"/>
  <c r="D8" i="39"/>
  <c r="AJ10" i="28"/>
  <c r="R9" i="28"/>
  <c r="R2" i="28"/>
  <c r="S11" i="28"/>
  <c r="S107" i="28"/>
  <c r="V18" i="7"/>
  <c r="V23" i="7" s="1"/>
  <c r="I7" i="12"/>
  <c r="BR210" i="6"/>
  <c r="BR214" i="6"/>
  <c r="BR216" i="6" s="1"/>
  <c r="BR217" i="6" s="1"/>
  <c r="BR218" i="6" s="1"/>
  <c r="BU20" i="8" l="1"/>
  <c r="BU55" i="8"/>
  <c r="BV22" i="8"/>
  <c r="BV59" i="8" s="1"/>
  <c r="BV25" i="8"/>
  <c r="BV57" i="8"/>
  <c r="H4" i="12"/>
  <c r="T86" i="28"/>
  <c r="T99" i="28" s="1"/>
  <c r="V39" i="7"/>
  <c r="V42" i="7" s="1"/>
  <c r="T6" i="12"/>
  <c r="T8" i="12" s="1"/>
  <c r="I10" i="12"/>
  <c r="S108" i="28"/>
  <c r="S14" i="28"/>
  <c r="R107" i="28"/>
  <c r="I16" i="39" s="1"/>
  <c r="R11" i="28"/>
  <c r="AK39" i="28"/>
  <c r="S4" i="12" l="1"/>
  <c r="S8" i="12" s="1"/>
  <c r="H10" i="12"/>
  <c r="BU22" i="8"/>
  <c r="BU59" i="8" s="1"/>
  <c r="BU25" i="8"/>
  <c r="BU57" i="8"/>
  <c r="G4" i="12"/>
  <c r="R108" i="28"/>
  <c r="R14" i="28"/>
  <c r="S18" i="28"/>
  <c r="S16" i="28"/>
  <c r="S115" i="28"/>
  <c r="T48" i="13"/>
  <c r="T50" i="13" s="1"/>
  <c r="T59" i="13" s="1"/>
  <c r="U6" i="7"/>
  <c r="U18" i="7" s="1"/>
  <c r="BV29" i="8"/>
  <c r="BV30" i="8" s="1"/>
  <c r="BV62" i="8"/>
  <c r="BV33" i="8" l="1"/>
  <c r="BV77" i="8"/>
  <c r="BV64" i="8"/>
  <c r="BV41" i="8"/>
  <c r="BV42" i="8" s="1"/>
  <c r="S20" i="28"/>
  <c r="S3" i="28"/>
  <c r="S109" i="28"/>
  <c r="R4" i="12"/>
  <c r="R8" i="12" s="1"/>
  <c r="G10" i="12"/>
  <c r="AP195" i="6"/>
  <c r="BV63" i="8"/>
  <c r="U21" i="7"/>
  <c r="U23" i="7" s="1"/>
  <c r="BS192" i="6"/>
  <c r="S19" i="28"/>
  <c r="R115" i="28"/>
  <c r="I19" i="39" s="1"/>
  <c r="R18" i="28"/>
  <c r="R16" i="28"/>
  <c r="BU29" i="8"/>
  <c r="BU62" i="8"/>
  <c r="T6" i="7"/>
  <c r="T18" i="7" s="1"/>
  <c r="BU63" i="8" l="1"/>
  <c r="T21" i="7"/>
  <c r="BR192" i="6"/>
  <c r="R19" i="28"/>
  <c r="U39" i="7"/>
  <c r="U42" i="7" s="1"/>
  <c r="S86" i="28"/>
  <c r="S99" i="28" s="1"/>
  <c r="BU30" i="8"/>
  <c r="AP194" i="6"/>
  <c r="AP198" i="6"/>
  <c r="BV40" i="8"/>
  <c r="S21" i="28"/>
  <c r="R109" i="28"/>
  <c r="I17" i="39" s="1"/>
  <c r="D39" i="39" s="1"/>
  <c r="R3" i="28"/>
  <c r="G25" i="38"/>
  <c r="S110" i="28"/>
  <c r="G26" i="38" s="1"/>
  <c r="AA121" i="28"/>
  <c r="AP11" i="28"/>
  <c r="T23" i="7"/>
  <c r="T39" i="7" l="1"/>
  <c r="T42" i="7" s="1"/>
  <c r="T43" i="7" s="1"/>
  <c r="D23" i="39"/>
  <c r="R86" i="28"/>
  <c r="R99" i="28" s="1"/>
  <c r="R101" i="28" s="1"/>
  <c r="R103" i="28" s="1"/>
  <c r="G27" i="38"/>
  <c r="AP12" i="28"/>
  <c r="AP14" i="28" s="1"/>
  <c r="AA122" i="28"/>
  <c r="AA124" i="28" s="1"/>
  <c r="BU33" i="8"/>
  <c r="BU64" i="8"/>
  <c r="BU70" i="8"/>
  <c r="BU76" i="8" s="1"/>
  <c r="AJ13" i="28"/>
  <c r="R20" i="28"/>
  <c r="BU77" i="8"/>
  <c r="I24" i="37"/>
  <c r="BU41" i="8"/>
  <c r="BU42" i="8" s="1"/>
  <c r="D11" i="39"/>
  <c r="U41" i="7" l="1"/>
  <c r="T45" i="7"/>
  <c r="AO11" i="28"/>
  <c r="AK40" i="28"/>
  <c r="F25" i="38"/>
  <c r="R110" i="28"/>
  <c r="Z121" i="28"/>
  <c r="BU40" i="8"/>
  <c r="AJ14" i="28"/>
  <c r="R21" i="28"/>
  <c r="BU45" i="8"/>
  <c r="BV34" i="8"/>
  <c r="I26" i="37"/>
  <c r="I27" i="37" s="1"/>
  <c r="BV69" i="8"/>
  <c r="BV70" i="8" s="1"/>
  <c r="BV76" i="8" s="1"/>
  <c r="T16" i="11"/>
  <c r="AJ16" i="28" l="1"/>
  <c r="F26" i="38"/>
  <c r="I18" i="39"/>
  <c r="D40" i="39" s="1"/>
  <c r="U43" i="7"/>
  <c r="S100" i="28"/>
  <c r="S101" i="28" s="1"/>
  <c r="S103" i="28" s="1"/>
  <c r="Z122" i="28"/>
  <c r="Z124" i="28" s="1"/>
  <c r="I8" i="39"/>
  <c r="F27" i="38"/>
  <c r="AO12" i="28"/>
  <c r="AO14" i="28" s="1"/>
  <c r="AK37" i="28"/>
  <c r="T58" i="11"/>
  <c r="D26" i="39"/>
  <c r="BW69" i="8"/>
  <c r="BW70" i="8" s="1"/>
  <c r="BW76" i="8" s="1"/>
  <c r="U16" i="11"/>
  <c r="T17" i="11"/>
  <c r="R37" i="28"/>
  <c r="R38" i="28" s="1"/>
  <c r="Z126" i="28" s="1"/>
  <c r="V41" i="7" l="1"/>
  <c r="U45" i="7"/>
  <c r="U58" i="11" s="1"/>
  <c r="R58" i="28"/>
  <c r="Z125" i="28"/>
  <c r="AO15" i="28"/>
  <c r="R114" i="28"/>
  <c r="AO16" i="28"/>
  <c r="R112" i="28"/>
  <c r="I25" i="39" s="1"/>
  <c r="D37" i="39" s="1"/>
  <c r="S37" i="28"/>
  <c r="S38" i="28" s="1"/>
  <c r="AP16" i="28" s="1"/>
  <c r="U17" i="11"/>
  <c r="T2" i="11"/>
  <c r="I22" i="37"/>
  <c r="I178" i="40"/>
  <c r="I183" i="40" s="1"/>
  <c r="I184" i="40" s="1"/>
  <c r="T18" i="11"/>
  <c r="AJ25" i="28" s="1"/>
  <c r="T62" i="11"/>
  <c r="D13" i="39"/>
  <c r="I20" i="39"/>
  <c r="T39" i="11"/>
  <c r="I233" i="31"/>
  <c r="I238" i="31" s="1"/>
  <c r="I25" i="37"/>
  <c r="BX69" i="8"/>
  <c r="BX70" i="8" s="1"/>
  <c r="BX76" i="8" s="1"/>
  <c r="V16" i="11"/>
  <c r="T72" i="11"/>
  <c r="R72" i="28"/>
  <c r="T59" i="11"/>
  <c r="I12" i="39"/>
  <c r="D34" i="39" s="1"/>
  <c r="D32" i="39"/>
  <c r="AA126" i="28" l="1"/>
  <c r="V17" i="11"/>
  <c r="T37" i="28"/>
  <c r="T38" i="28" s="1"/>
  <c r="T112" i="28" s="1"/>
  <c r="AJ26" i="28"/>
  <c r="AJ20" i="28" s="1"/>
  <c r="I23" i="37"/>
  <c r="U18" i="11"/>
  <c r="U62" i="11"/>
  <c r="U39" i="11"/>
  <c r="J233" i="31"/>
  <c r="J238" i="31" s="1"/>
  <c r="U2" i="11"/>
  <c r="J178" i="40"/>
  <c r="J183" i="40" s="1"/>
  <c r="J184" i="40" s="1"/>
  <c r="V43" i="7"/>
  <c r="T100" i="28"/>
  <c r="T101" i="28" s="1"/>
  <c r="T103" i="28" s="1"/>
  <c r="G13" i="12"/>
  <c r="I239" i="31"/>
  <c r="G14" i="12" s="1"/>
  <c r="U72" i="11"/>
  <c r="S72" i="28"/>
  <c r="U59" i="11"/>
  <c r="U60" i="11" s="1"/>
  <c r="AJ17" i="28"/>
  <c r="AJ19" i="28"/>
  <c r="I10" i="39"/>
  <c r="I13" i="39" s="1"/>
  <c r="D35" i="39" s="1"/>
  <c r="D18" i="39"/>
  <c r="I28" i="37"/>
  <c r="J28" i="37"/>
  <c r="J27" i="37" s="1"/>
  <c r="J24" i="37"/>
  <c r="T60" i="11"/>
  <c r="D20" i="39"/>
  <c r="D21" i="39" s="1"/>
  <c r="I21" i="39" s="1"/>
  <c r="W16" i="11"/>
  <c r="W17" i="11" s="1"/>
  <c r="BY69" i="8"/>
  <c r="BY70" i="8" s="1"/>
  <c r="BY76" i="8" s="1"/>
  <c r="AP15" i="28"/>
  <c r="S114" i="28"/>
  <c r="S58" i="28"/>
  <c r="AA125" i="28"/>
  <c r="AB126" i="28"/>
  <c r="S112" i="28"/>
  <c r="AQ16" i="28" l="1"/>
  <c r="AQ15" i="28"/>
  <c r="T114" i="28"/>
  <c r="T58" i="28"/>
  <c r="AB125" i="28"/>
  <c r="G19" i="12"/>
  <c r="BZ69" i="8"/>
  <c r="BZ70" i="8" s="1"/>
  <c r="BZ76" i="8" s="1"/>
  <c r="X16" i="11"/>
  <c r="X17" i="11" s="1"/>
  <c r="V39" i="11"/>
  <c r="K233" i="31"/>
  <c r="K238" i="31" s="1"/>
  <c r="V62" i="11"/>
  <c r="V2" i="11"/>
  <c r="K178" i="40"/>
  <c r="K183" i="40" s="1"/>
  <c r="K184" i="40" s="1"/>
  <c r="V18" i="11"/>
  <c r="W41" i="7"/>
  <c r="W43" i="7" s="1"/>
  <c r="V45" i="7"/>
  <c r="V58" i="11" s="1"/>
  <c r="J235" i="31"/>
  <c r="J236" i="31" s="1"/>
  <c r="U61" i="11"/>
  <c r="J180" i="40"/>
  <c r="J181" i="40" s="1"/>
  <c r="T61" i="11"/>
  <c r="T3" i="11" s="1"/>
  <c r="I180" i="40"/>
  <c r="I181" i="40" s="1"/>
  <c r="I235" i="31"/>
  <c r="I236" i="31" s="1"/>
  <c r="W2" i="11"/>
  <c r="L178" i="40"/>
  <c r="L183" i="40" s="1"/>
  <c r="L184" i="40" s="1"/>
  <c r="W39" i="11"/>
  <c r="W18" i="11"/>
  <c r="W62" i="11"/>
  <c r="L233" i="31"/>
  <c r="L238" i="31" s="1"/>
  <c r="H13" i="12"/>
  <c r="J239" i="31"/>
  <c r="H14" i="12" s="1"/>
  <c r="H19" i="12" l="1"/>
  <c r="H21" i="12" s="1"/>
  <c r="S10" i="12" s="1"/>
  <c r="K239" i="31"/>
  <c r="I14" i="12" s="1"/>
  <c r="I13" i="12"/>
  <c r="X41" i="7"/>
  <c r="X43" i="7" s="1"/>
  <c r="W45" i="7"/>
  <c r="W58" i="11" s="1"/>
  <c r="CA69" i="8"/>
  <c r="CA70" i="8" s="1"/>
  <c r="CA76" i="8" s="1"/>
  <c r="Y16" i="11"/>
  <c r="Y17" i="11" s="1"/>
  <c r="T3" i="7"/>
  <c r="R73" i="28"/>
  <c r="R74" i="28" s="1"/>
  <c r="V59" i="11"/>
  <c r="V60" i="11" s="1"/>
  <c r="V72" i="11"/>
  <c r="T72" i="28"/>
  <c r="X18" i="11"/>
  <c r="X62" i="11"/>
  <c r="X39" i="11"/>
  <c r="M233" i="31"/>
  <c r="M238" i="31" s="1"/>
  <c r="S9" i="12"/>
  <c r="U3" i="7"/>
  <c r="U3" i="11"/>
  <c r="S73" i="28" s="1"/>
  <c r="S74" i="28" s="1"/>
  <c r="R9" i="12"/>
  <c r="G21" i="12"/>
  <c r="J13" i="12"/>
  <c r="L239" i="31"/>
  <c r="J14" i="12" s="1"/>
  <c r="I19" i="12" l="1"/>
  <c r="I21" i="12" s="1"/>
  <c r="T10" i="12" s="1"/>
  <c r="J19" i="12"/>
  <c r="J21" i="12" s="1"/>
  <c r="U10" i="12" s="1"/>
  <c r="R10" i="12"/>
  <c r="CB69" i="8"/>
  <c r="CB70" i="8" s="1"/>
  <c r="CB76" i="8" s="1"/>
  <c r="Z16" i="11"/>
  <c r="Z17" i="11" s="1"/>
  <c r="Y2" i="11"/>
  <c r="Y18" i="11"/>
  <c r="Y62" i="11"/>
  <c r="Y39" i="11"/>
  <c r="V61" i="11"/>
  <c r="K180" i="40"/>
  <c r="K181" i="40" s="1"/>
  <c r="K235" i="31"/>
  <c r="K236" i="31" s="1"/>
  <c r="S111" i="28"/>
  <c r="K13" i="12"/>
  <c r="M239" i="31"/>
  <c r="K14" i="12" s="1"/>
  <c r="Y41" i="7"/>
  <c r="Y43" i="7" s="1"/>
  <c r="X45" i="7"/>
  <c r="X58" i="11" s="1"/>
  <c r="R111" i="28"/>
  <c r="AP17" i="28"/>
  <c r="S113" i="28"/>
  <c r="AA127" i="28"/>
  <c r="AO17" i="28"/>
  <c r="R113" i="28"/>
  <c r="I24" i="39" s="1"/>
  <c r="D38" i="39" s="1"/>
  <c r="Z127" i="28"/>
  <c r="W72" i="11"/>
  <c r="W59" i="11"/>
  <c r="W60" i="11" s="1"/>
  <c r="W61" i="11" s="1"/>
  <c r="T9" i="12" l="1"/>
  <c r="U9" i="12"/>
  <c r="P12" i="12"/>
  <c r="K19" i="12"/>
  <c r="K21" i="12" s="1"/>
  <c r="E23" i="12" s="1"/>
  <c r="W3" i="7"/>
  <c r="W3" i="11"/>
  <c r="V3" i="11"/>
  <c r="T73" i="28" s="1"/>
  <c r="T74" i="28" s="1"/>
  <c r="V3" i="7"/>
  <c r="AA16" i="11"/>
  <c r="AA17" i="11" s="1"/>
  <c r="CC69" i="8"/>
  <c r="CC70" i="8" s="1"/>
  <c r="CC76" i="8" s="1"/>
  <c r="X59" i="11"/>
  <c r="X60" i="11" s="1"/>
  <c r="X61" i="11" s="1"/>
  <c r="X72" i="11"/>
  <c r="Z41" i="7"/>
  <c r="Z43" i="7" s="1"/>
  <c r="Y45" i="7"/>
  <c r="Y58" i="11" s="1"/>
  <c r="Z39" i="11"/>
  <c r="Z18" i="11"/>
  <c r="Z2" i="11"/>
  <c r="Z62" i="11"/>
  <c r="L10" i="12" l="1"/>
  <c r="L21" i="12" s="1"/>
  <c r="AA2" i="11"/>
  <c r="AA18" i="11"/>
  <c r="AA62" i="11"/>
  <c r="AA39" i="11"/>
  <c r="CD69" i="8"/>
  <c r="CD70" i="8" s="1"/>
  <c r="CD76" i="8" s="1"/>
  <c r="AB16" i="11"/>
  <c r="AB17" i="11" s="1"/>
  <c r="Y59" i="11"/>
  <c r="Y60" i="11" s="1"/>
  <c r="Y61" i="11" s="1"/>
  <c r="Y72" i="11"/>
  <c r="T111" i="28"/>
  <c r="AQ17" i="28"/>
  <c r="AB127" i="28"/>
  <c r="T113" i="28"/>
  <c r="AA41" i="7"/>
  <c r="AA43" i="7" s="1"/>
  <c r="Z45" i="7"/>
  <c r="Z58" i="11" s="1"/>
  <c r="X3" i="7"/>
  <c r="X3" i="11"/>
  <c r="V8" i="12" l="1"/>
  <c r="Y3" i="7"/>
  <c r="Y3" i="11"/>
  <c r="AB2" i="11"/>
  <c r="AB18" i="11"/>
  <c r="AB62" i="11"/>
  <c r="AB39" i="11"/>
  <c r="AB41" i="7"/>
  <c r="AB43" i="7" s="1"/>
  <c r="AA45" i="7"/>
  <c r="AA58" i="11" s="1"/>
  <c r="E24" i="12"/>
  <c r="E25" i="12" s="1"/>
  <c r="E27" i="12" s="1"/>
  <c r="E28" i="12" s="1"/>
  <c r="F28" i="12" s="1"/>
  <c r="P13" i="12"/>
  <c r="P14" i="12" s="1"/>
  <c r="CE69" i="8"/>
  <c r="CE70" i="8" s="1"/>
  <c r="CE76" i="8" s="1"/>
  <c r="AD16" i="11" s="1"/>
  <c r="AD17" i="11" s="1"/>
  <c r="AC16" i="11"/>
  <c r="AC17" i="11" s="1"/>
  <c r="Z59" i="11"/>
  <c r="Z60" i="11" s="1"/>
  <c r="Z61" i="11" s="1"/>
  <c r="Z72" i="11"/>
  <c r="Z3" i="11" l="1"/>
  <c r="Z3" i="7"/>
  <c r="P16" i="12"/>
  <c r="P20" i="12" s="1"/>
  <c r="P22" i="12" s="1"/>
  <c r="C44" i="12"/>
  <c r="C46" i="12" s="1"/>
  <c r="C48" i="12" s="1"/>
  <c r="AD39" i="11"/>
  <c r="AD2" i="11"/>
  <c r="AD62" i="11"/>
  <c r="AD18" i="11"/>
  <c r="AC41" i="7"/>
  <c r="AC43" i="7" s="1"/>
  <c r="AB45" i="7"/>
  <c r="AB58" i="11" s="1"/>
  <c r="E30" i="12"/>
  <c r="H36" i="12" s="1"/>
  <c r="F30" i="12"/>
  <c r="AC2" i="11"/>
  <c r="AC18" i="11"/>
  <c r="AC62" i="11"/>
  <c r="AC39" i="11"/>
  <c r="AA59" i="11"/>
  <c r="AA60" i="11" s="1"/>
  <c r="AA61" i="11" s="1"/>
  <c r="AA72" i="11"/>
  <c r="AB59" i="11" l="1"/>
  <c r="AB60" i="11" s="1"/>
  <c r="AB61" i="11" s="1"/>
  <c r="AB72" i="11"/>
  <c r="AA3" i="7"/>
  <c r="AA3" i="11"/>
  <c r="B1" i="13"/>
  <c r="A2" i="8"/>
  <c r="I4" i="37"/>
  <c r="H6" i="37" s="1"/>
  <c r="N4" i="37"/>
  <c r="M6" i="37" s="1"/>
  <c r="A1" i="11"/>
  <c r="H31" i="12"/>
  <c r="B1" i="6"/>
  <c r="F31" i="12"/>
  <c r="AD41" i="7"/>
  <c r="AD43" i="7" s="1"/>
  <c r="AD45" i="7" s="1"/>
  <c r="AD58" i="11" s="1"/>
  <c r="AC45" i="7"/>
  <c r="AC58" i="11" s="1"/>
  <c r="C50" i="12"/>
  <c r="A1" i="7"/>
  <c r="AB3" i="7" l="1"/>
  <c r="AB3" i="11"/>
  <c r="AD59" i="11"/>
  <c r="AD60" i="11" s="1"/>
  <c r="AD61" i="11" s="1"/>
  <c r="AD72" i="11"/>
  <c r="AC59" i="11"/>
  <c r="AC60" i="11" s="1"/>
  <c r="AC61" i="11" s="1"/>
  <c r="AC72" i="11"/>
  <c r="AC3" i="7" l="1"/>
  <c r="AC3" i="11"/>
  <c r="AD3" i="11"/>
  <c r="AD3" i="7"/>
  <c r="E40" i="34"/>
  <c r="G40" i="34"/>
  <c r="C40" i="34"/>
  <c r="BQ54" i="8"/>
  <c r="BN55" i="8"/>
  <c r="BS64" i="8"/>
  <c r="BS33" i="8"/>
  <c r="BQ63" i="8"/>
  <c r="BQ28" i="8"/>
  <c r="BQ57" i="8"/>
  <c r="BQ64" i="8"/>
  <c r="BN20" i="8"/>
  <c r="BN57" i="8"/>
  <c r="BQ29" i="8"/>
  <c r="BQ62" i="8"/>
  <c r="BS62" i="8"/>
  <c r="BS30" i="8"/>
  <c r="BS54" i="8"/>
  <c r="BN54" i="8"/>
  <c r="BN17" i="8"/>
  <c r="G43" i="34"/>
  <c r="C43" i="34"/>
  <c r="E43" i="34"/>
  <c r="BS55" i="8"/>
  <c r="BQ25" i="8"/>
  <c r="BQ30" i="8"/>
  <c r="BQ33" i="8"/>
  <c r="C44" i="34"/>
  <c r="BS57" i="8"/>
  <c r="BN16" i="8"/>
  <c r="BS28" i="8"/>
  <c r="BQ163" i="6"/>
  <c r="BQ162" i="6"/>
  <c r="BS16" i="8"/>
  <c r="BS17" i="8"/>
  <c r="BS20" i="8"/>
  <c r="BS25" i="8"/>
  <c r="BS29" i="8"/>
  <c r="BS63" i="8"/>
  <c r="BQ55" i="8"/>
  <c r="BO163" i="6"/>
  <c r="BO162" i="6"/>
  <c r="BQ16" i="8"/>
  <c r="BQ17" i="8"/>
  <c r="BQ20" i="8"/>
  <c r="BM163" i="6"/>
  <c r="BM162" i="6"/>
</calcChain>
</file>

<file path=xl/comments1.xml><?xml version="1.0" encoding="utf-8"?>
<comments xmlns="http://schemas.openxmlformats.org/spreadsheetml/2006/main">
  <authors>
    <author>abid.ali</author>
    <author>nabil</author>
  </authors>
  <commentList>
    <comment ref="C32" authorId="0">
      <text>
        <r>
          <rPr>
            <b/>
            <sz val="9"/>
            <color indexed="81"/>
            <rFont val="Tahoma"/>
            <family val="2"/>
          </rPr>
          <t>Abid Ali:
5 Yrs Adjusted Beta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0" authorId="1">
      <text>
        <r>
          <rPr>
            <b/>
            <sz val="8"/>
            <color indexed="81"/>
            <rFont val="Tahoma"/>
            <family val="2"/>
          </rPr>
          <t>nabil:</t>
        </r>
        <r>
          <rPr>
            <sz val="8"/>
            <color indexed="81"/>
            <rFont val="Tahoma"/>
            <family val="2"/>
          </rPr>
          <t xml:space="preserve">
debt and equity proportion based on FY10 results
</t>
        </r>
      </text>
    </comment>
  </commentList>
</comments>
</file>

<file path=xl/comments2.xml><?xml version="1.0" encoding="utf-8"?>
<comments xmlns="http://schemas.openxmlformats.org/spreadsheetml/2006/main">
  <authors>
    <author>WA</author>
    <author>Mansoor</author>
    <author>mansoor</author>
    <author>Saad Hashemy</author>
    <author>abdullah</author>
  </authors>
  <commentList>
    <comment ref="P15" authorId="0">
      <text>
        <r>
          <rPr>
            <b/>
            <sz val="8"/>
            <color indexed="81"/>
            <rFont val="Tahoma"/>
            <family val="2"/>
          </rPr>
          <t>WA:</t>
        </r>
        <r>
          <rPr>
            <sz val="8"/>
            <color indexed="81"/>
            <rFont val="Tahoma"/>
            <family val="2"/>
          </rPr>
          <t xml:space="preserve">
Capacity of unit 1 and 2 increased due to plant improvements/ modifications. Unit 1 to be further expanded by 450 tpd.</t>
        </r>
      </text>
    </comment>
    <comment ref="AB33" authorId="1">
      <text>
        <r>
          <rPr>
            <b/>
            <sz val="8"/>
            <color indexed="81"/>
            <rFont val="Tahoma"/>
            <family val="2"/>
          </rPr>
          <t>Mansoor:</t>
        </r>
        <r>
          <rPr>
            <sz val="8"/>
            <color indexed="81"/>
            <rFont val="Tahoma"/>
            <family val="2"/>
          </rPr>
          <t xml:space="preserve">
80000 clinker local sales not included</t>
        </r>
      </text>
    </comment>
    <comment ref="AC33" authorId="1">
      <text>
        <r>
          <rPr>
            <b/>
            <sz val="8"/>
            <color indexed="81"/>
            <rFont val="Tahoma"/>
            <family val="2"/>
          </rPr>
          <t>Mansoor:</t>
        </r>
        <r>
          <rPr>
            <sz val="8"/>
            <color indexed="81"/>
            <rFont val="Tahoma"/>
            <family val="2"/>
          </rPr>
          <t xml:space="preserve">
25000 clinker local sales not included</t>
        </r>
      </text>
    </comment>
    <comment ref="A54" authorId="0">
      <text>
        <r>
          <rPr>
            <b/>
            <sz val="8"/>
            <color indexed="81"/>
            <rFont val="Tahoma"/>
            <family val="2"/>
          </rPr>
          <t>WA:</t>
        </r>
        <r>
          <rPr>
            <sz val="8"/>
            <color indexed="81"/>
            <rFont val="Tahoma"/>
            <family val="2"/>
          </rPr>
          <t xml:space="preserve">
Formerly "Retail Price" before FY03.</t>
        </r>
      </text>
    </comment>
    <comment ref="A59" authorId="0">
      <text>
        <r>
          <rPr>
            <b/>
            <sz val="8"/>
            <color indexed="81"/>
            <rFont val="Tahoma"/>
            <family val="2"/>
          </rPr>
          <t>WA:</t>
        </r>
        <r>
          <rPr>
            <sz val="8"/>
            <color indexed="81"/>
            <rFont val="Tahoma"/>
            <family val="2"/>
          </rPr>
          <t xml:space="preserve">
Formerly "ex-factory price" before FY03.</t>
        </r>
      </text>
    </comment>
    <comment ref="M59" authorId="0">
      <text>
        <r>
          <rPr>
            <b/>
            <sz val="8"/>
            <color indexed="81"/>
            <rFont val="Tahoma"/>
            <family val="2"/>
          </rPr>
          <t>WA:</t>
        </r>
        <r>
          <rPr>
            <sz val="8"/>
            <color indexed="81"/>
            <rFont val="Tahoma"/>
            <family val="2"/>
          </rPr>
          <t xml:space="preserve">
Retention price should be Rs100-125 lower than Cherat's.</t>
        </r>
      </text>
    </comment>
    <comment ref="I167" authorId="0">
      <text>
        <r>
          <rPr>
            <b/>
            <sz val="8"/>
            <color indexed="81"/>
            <rFont val="Tahoma"/>
            <family val="2"/>
          </rPr>
          <t>WA:</t>
        </r>
        <r>
          <rPr>
            <sz val="8"/>
            <color indexed="81"/>
            <rFont val="Tahoma"/>
            <family val="2"/>
          </rPr>
          <t xml:space="preserve">
Estimated Finished Goods Inventory, in tonnes.</t>
        </r>
      </text>
    </comment>
    <comment ref="J167" authorId="0">
      <text>
        <r>
          <rPr>
            <b/>
            <sz val="8"/>
            <color indexed="81"/>
            <rFont val="Tahoma"/>
            <family val="2"/>
          </rPr>
          <t>WA:</t>
        </r>
        <r>
          <rPr>
            <sz val="8"/>
            <color indexed="81"/>
            <rFont val="Tahoma"/>
            <family val="2"/>
          </rPr>
          <t xml:space="preserve">
Estimated Finished Goods Inventory, in tonnes.</t>
        </r>
      </text>
    </comment>
    <comment ref="A193" authorId="2">
      <text>
        <r>
          <rPr>
            <b/>
            <sz val="8"/>
            <color indexed="81"/>
            <rFont val="Tahoma"/>
            <family val="2"/>
          </rPr>
          <t>mansoor:</t>
        </r>
        <r>
          <rPr>
            <sz val="8"/>
            <color indexed="81"/>
            <rFont val="Tahoma"/>
            <family val="2"/>
          </rPr>
          <t xml:space="preserve">
for current year only</t>
        </r>
      </text>
    </comment>
    <comment ref="A194" authorId="2">
      <text>
        <r>
          <rPr>
            <b/>
            <sz val="8"/>
            <color indexed="81"/>
            <rFont val="Tahoma"/>
            <family val="2"/>
          </rPr>
          <t>mansoor:</t>
        </r>
        <r>
          <rPr>
            <sz val="8"/>
            <color indexed="81"/>
            <rFont val="Tahoma"/>
            <family val="2"/>
          </rPr>
          <t xml:space="preserve">
includes prior years tax</t>
        </r>
      </text>
    </comment>
    <comment ref="G231" authorId="3">
      <text>
        <r>
          <rPr>
            <sz val="8"/>
            <color indexed="81"/>
            <rFont val="Tahoma"/>
            <family val="2"/>
          </rPr>
          <t xml:space="preserve">Freight (Karachi-DG Khan) Rs1312/MT
</t>
        </r>
      </text>
    </comment>
    <comment ref="M234" authorId="0">
      <text>
        <r>
          <rPr>
            <b/>
            <sz val="8"/>
            <color indexed="81"/>
            <rFont val="Tahoma"/>
            <family val="2"/>
          </rPr>
          <t>WA:</t>
        </r>
        <r>
          <rPr>
            <sz val="8"/>
            <color indexed="81"/>
            <rFont val="Tahoma"/>
            <family val="2"/>
          </rPr>
          <t xml:space="preserve">
Quantity of FO used in electricity production = Cement Production (tons) x 95kWh x 200-210 grams of FO per kWh</t>
        </r>
      </text>
    </comment>
    <comment ref="N234" authorId="0">
      <text>
        <r>
          <rPr>
            <b/>
            <sz val="8"/>
            <color indexed="81"/>
            <rFont val="Tahoma"/>
            <family val="2"/>
          </rPr>
          <t>WA:</t>
        </r>
        <r>
          <rPr>
            <sz val="8"/>
            <color indexed="81"/>
            <rFont val="Tahoma"/>
            <family val="2"/>
          </rPr>
          <t xml:space="preserve">
Quantity of FO used in electricity production = Cement Production (tons) x 95kWh x 200-210 grams of FO per kWh</t>
        </r>
      </text>
    </comment>
    <comment ref="S234" authorId="0">
      <text>
        <r>
          <rPr>
            <b/>
            <sz val="8"/>
            <color indexed="81"/>
            <rFont val="Tahoma"/>
            <family val="2"/>
          </rPr>
          <t>WA:</t>
        </r>
        <r>
          <rPr>
            <sz val="8"/>
            <color indexed="81"/>
            <rFont val="Tahoma"/>
            <family val="2"/>
          </rPr>
          <t xml:space="preserve">
Quantity of FO used in electricity production = Cement Production (tons) x 95kWh x 200-210 grams of FO per kWh</t>
        </r>
      </text>
    </comment>
    <comment ref="X234" authorId="0">
      <text>
        <r>
          <rPr>
            <b/>
            <sz val="8"/>
            <color indexed="81"/>
            <rFont val="Tahoma"/>
            <family val="2"/>
          </rPr>
          <t>WA:</t>
        </r>
        <r>
          <rPr>
            <sz val="8"/>
            <color indexed="81"/>
            <rFont val="Tahoma"/>
            <family val="2"/>
          </rPr>
          <t xml:space="preserve">
Quantity of FO used in electricity production = Cement Production (tons) x 95kWh x 200-210 grams of FO per kWh</t>
        </r>
      </text>
    </comment>
    <comment ref="I237" authorId="0">
      <text>
        <r>
          <rPr>
            <b/>
            <sz val="8"/>
            <color indexed="81"/>
            <rFont val="Tahoma"/>
            <family val="2"/>
          </rPr>
          <t>WA:</t>
        </r>
        <r>
          <rPr>
            <sz val="8"/>
            <color indexed="81"/>
            <rFont val="Tahoma"/>
            <family val="2"/>
          </rPr>
          <t xml:space="preserve">
Coal cost between US$35 and US$41 per ton C&amp;F.  Plus...
Duty - 10%; wastage - 0.5% after duty; 
Insurance and L/C charges - 1.5%; 
Clearing and stevedoring - Rs250 per ton
Freight - Rs650 per ton</t>
        </r>
      </text>
    </comment>
    <comment ref="F243" authorId="3">
      <text>
        <r>
          <rPr>
            <sz val="8"/>
            <color indexed="81"/>
            <rFont val="Tahoma"/>
            <family val="2"/>
          </rPr>
          <t xml:space="preserve">After merger with DG Electric, power purchased from DG Electric is included in FO costs
</t>
        </r>
      </text>
    </comment>
    <comment ref="I243" authorId="0">
      <text>
        <r>
          <rPr>
            <b/>
            <sz val="8"/>
            <color indexed="81"/>
            <rFont val="Tahoma"/>
            <family val="2"/>
          </rPr>
          <t>WA:</t>
        </r>
        <r>
          <rPr>
            <sz val="8"/>
            <color indexed="81"/>
            <rFont val="Tahoma"/>
            <family val="2"/>
          </rPr>
          <t xml:space="preserve">
Reverting to actual (estimated) KWH per ton of cement. Electricity cost is for purchased electricity;  self-generated electricity costs are included  in FO and other costs since amalgamation of DG Electric.</t>
        </r>
      </text>
    </comment>
    <comment ref="G244" authorId="4">
      <text>
        <r>
          <rPr>
            <b/>
            <sz val="8"/>
            <color indexed="81"/>
            <rFont val="Tahoma"/>
            <family val="2"/>
          </rPr>
          <t>abdullah:</t>
        </r>
        <r>
          <rPr>
            <sz val="8"/>
            <color indexed="81"/>
            <rFont val="Tahoma"/>
            <family val="2"/>
          </rPr>
          <t xml:space="preserve">
TAKEN FROM LUCKY CEMENT</t>
        </r>
      </text>
    </comment>
    <comment ref="A245" authorId="0">
      <text>
        <r>
          <rPr>
            <b/>
            <sz val="8"/>
            <color indexed="81"/>
            <rFont val="Tahoma"/>
            <family val="2"/>
          </rPr>
          <t>WA:</t>
        </r>
        <r>
          <rPr>
            <sz val="8"/>
            <color indexed="81"/>
            <rFont val="Tahoma"/>
            <family val="2"/>
          </rPr>
          <t xml:space="preserve">
Purchase of electricty from WAPDA in excess of that self generated.</t>
        </r>
      </text>
    </comment>
  </commentList>
</comments>
</file>

<file path=xl/comments3.xml><?xml version="1.0" encoding="utf-8"?>
<comments xmlns="http://schemas.openxmlformats.org/spreadsheetml/2006/main">
  <authors>
    <author>Mansoor</author>
    <author>WA</author>
    <author>mansoor</author>
    <author>Internee</author>
  </authors>
  <commentList>
    <comment ref="AG23" authorId="0">
      <text>
        <r>
          <rPr>
            <b/>
            <sz val="8"/>
            <color indexed="81"/>
            <rFont val="Tahoma"/>
            <family val="2"/>
          </rPr>
          <t>Mansoor:</t>
        </r>
        <r>
          <rPr>
            <sz val="8"/>
            <color indexed="81"/>
            <rFont val="Tahoma"/>
            <family val="2"/>
          </rPr>
          <t xml:space="preserve">
change I95 of finChg due to delay in commercial production</t>
        </r>
      </text>
    </comment>
    <comment ref="M29" authorId="1">
      <text>
        <r>
          <rPr>
            <b/>
            <sz val="8"/>
            <color indexed="81"/>
            <rFont val="Tahoma"/>
            <family val="2"/>
          </rPr>
          <t>WA:</t>
        </r>
        <r>
          <rPr>
            <sz val="8"/>
            <color indexed="81"/>
            <rFont val="Tahoma"/>
            <family val="2"/>
          </rPr>
          <t xml:space="preserve">
Credits for unused tax losses being utilized through recognition of a Rs149m deferred tax asset.</t>
        </r>
      </text>
    </comment>
    <comment ref="AB46" authorId="1">
      <text>
        <r>
          <rPr>
            <b/>
            <sz val="8"/>
            <color indexed="81"/>
            <rFont val="Tahoma"/>
            <family val="2"/>
          </rPr>
          <t>WA:</t>
        </r>
        <r>
          <rPr>
            <sz val="8"/>
            <color indexed="81"/>
            <rFont val="Tahoma"/>
            <family val="2"/>
          </rPr>
          <t xml:space="preserve">
Preference shares redeemable in 4 years.</t>
        </r>
      </text>
    </comment>
    <comment ref="AG46" authorId="1">
      <text>
        <r>
          <rPr>
            <b/>
            <sz val="8"/>
            <color indexed="81"/>
            <rFont val="Tahoma"/>
            <family val="2"/>
          </rPr>
          <t>WA:</t>
        </r>
        <r>
          <rPr>
            <sz val="8"/>
            <color indexed="81"/>
            <rFont val="Tahoma"/>
            <family val="2"/>
          </rPr>
          <t xml:space="preserve">
Preference shares redeemable in 4 years.</t>
        </r>
      </text>
    </comment>
    <comment ref="AB71" authorId="1">
      <text>
        <r>
          <rPr>
            <b/>
            <sz val="8"/>
            <color indexed="81"/>
            <rFont val="Tahoma"/>
            <family val="2"/>
          </rPr>
          <t>WA:</t>
        </r>
        <r>
          <rPr>
            <sz val="8"/>
            <color indexed="81"/>
            <rFont val="Tahoma"/>
            <family val="2"/>
          </rPr>
          <t xml:space="preserve">
Reserve for redemption of preference shares of Rs18m </t>
        </r>
      </text>
    </comment>
    <comment ref="AG72" authorId="0">
      <text>
        <r>
          <rPr>
            <b/>
            <sz val="8"/>
            <color indexed="81"/>
            <rFont val="Tahoma"/>
            <family val="2"/>
          </rPr>
          <t>Mansoor:</t>
        </r>
        <r>
          <rPr>
            <sz val="8"/>
            <color indexed="81"/>
            <rFont val="Tahoma"/>
            <family val="2"/>
          </rPr>
          <t xml:space="preserve">
AFTER INCLUDING </t>
        </r>
      </text>
    </comment>
    <comment ref="AG73" authorId="2">
      <text>
        <r>
          <rPr>
            <b/>
            <sz val="8"/>
            <color indexed="81"/>
            <rFont val="Tahoma"/>
            <family val="2"/>
          </rPr>
          <t>mansoor:</t>
        </r>
        <r>
          <rPr>
            <sz val="8"/>
            <color indexed="81"/>
            <rFont val="Tahoma"/>
            <family val="2"/>
          </rPr>
          <t xml:space="preserve">
announced in FY06</t>
        </r>
      </text>
    </comment>
    <comment ref="BP73" authorId="3">
      <text>
        <r>
          <rPr>
            <b/>
            <sz val="8"/>
            <color indexed="81"/>
            <rFont val="Tahoma"/>
            <family val="2"/>
          </rPr>
          <t>Internee:</t>
        </r>
        <r>
          <rPr>
            <sz val="8"/>
            <color indexed="81"/>
            <rFont val="Tahoma"/>
            <family val="2"/>
          </rPr>
          <t xml:space="preserve">
Remeasurement of retirement benefit</t>
        </r>
      </text>
    </comment>
  </commentList>
</comments>
</file>

<file path=xl/comments4.xml><?xml version="1.0" encoding="utf-8"?>
<comments xmlns="http://schemas.openxmlformats.org/spreadsheetml/2006/main">
  <authors>
    <author>Syed Abid Ali</author>
    <author>WA</author>
    <author>mansoor</author>
  </authors>
  <commentList>
    <comment ref="N7" authorId="0">
      <text>
        <r>
          <rPr>
            <b/>
            <sz val="8"/>
            <color indexed="81"/>
            <rFont val="Tahoma"/>
            <family val="2"/>
          </rPr>
          <t>Syed Abid Ali:</t>
        </r>
        <r>
          <rPr>
            <sz val="8"/>
            <color indexed="81"/>
            <rFont val="Tahoma"/>
            <family val="2"/>
          </rPr>
          <t xml:space="preserve">
20% Right Issue</t>
        </r>
      </text>
    </comment>
    <comment ref="O7" authorId="0">
      <text>
        <r>
          <rPr>
            <b/>
            <sz val="8"/>
            <color indexed="81"/>
            <rFont val="Tahoma"/>
            <family val="2"/>
          </rPr>
          <t>Syed Abid Ali:</t>
        </r>
        <r>
          <rPr>
            <sz val="8"/>
            <color indexed="81"/>
            <rFont val="Tahoma"/>
            <family val="2"/>
          </rPr>
          <t xml:space="preserve">
20% Right Issue</t>
        </r>
      </text>
    </comment>
    <comment ref="P7" authorId="0">
      <text>
        <r>
          <rPr>
            <b/>
            <sz val="8"/>
            <color indexed="81"/>
            <rFont val="Tahoma"/>
            <family val="2"/>
          </rPr>
          <t>Syed Abid Ali:</t>
        </r>
        <r>
          <rPr>
            <sz val="8"/>
            <color indexed="81"/>
            <rFont val="Tahoma"/>
            <family val="2"/>
          </rPr>
          <t xml:space="preserve">
20% Right Issue</t>
        </r>
      </text>
    </comment>
    <comment ref="Q7" authorId="0">
      <text>
        <r>
          <rPr>
            <b/>
            <sz val="8"/>
            <color indexed="81"/>
            <rFont val="Tahoma"/>
            <family val="2"/>
          </rPr>
          <t>Syed Abid Ali:</t>
        </r>
        <r>
          <rPr>
            <sz val="8"/>
            <color indexed="81"/>
            <rFont val="Tahoma"/>
            <family val="2"/>
          </rPr>
          <t xml:space="preserve">
20% Right Issue</t>
        </r>
      </text>
    </comment>
    <comment ref="R7" authorId="0">
      <text>
        <r>
          <rPr>
            <b/>
            <sz val="8"/>
            <color indexed="81"/>
            <rFont val="Tahoma"/>
            <family val="2"/>
          </rPr>
          <t>Syed Abid Ali:</t>
        </r>
        <r>
          <rPr>
            <sz val="8"/>
            <color indexed="81"/>
            <rFont val="Tahoma"/>
            <family val="2"/>
          </rPr>
          <t xml:space="preserve">
20% Right Issue</t>
        </r>
      </text>
    </comment>
    <comment ref="S7" authorId="0">
      <text>
        <r>
          <rPr>
            <b/>
            <sz val="8"/>
            <color indexed="81"/>
            <rFont val="Tahoma"/>
            <family val="2"/>
          </rPr>
          <t>Syed Abid Ali:</t>
        </r>
        <r>
          <rPr>
            <sz val="8"/>
            <color indexed="81"/>
            <rFont val="Tahoma"/>
            <family val="2"/>
          </rPr>
          <t xml:space="preserve">
20% Right Issue</t>
        </r>
      </text>
    </comment>
    <comment ref="T7" authorId="0">
      <text>
        <r>
          <rPr>
            <b/>
            <sz val="8"/>
            <color indexed="81"/>
            <rFont val="Tahoma"/>
            <family val="2"/>
          </rPr>
          <t>Syed Abid Ali:</t>
        </r>
        <r>
          <rPr>
            <sz val="8"/>
            <color indexed="81"/>
            <rFont val="Tahoma"/>
            <family val="2"/>
          </rPr>
          <t xml:space="preserve">
20% Right Issue</t>
        </r>
      </text>
    </comment>
    <comment ref="U7" authorId="0">
      <text>
        <r>
          <rPr>
            <b/>
            <sz val="8"/>
            <color indexed="81"/>
            <rFont val="Tahoma"/>
            <family val="2"/>
          </rPr>
          <t>Syed Abid Ali:</t>
        </r>
        <r>
          <rPr>
            <sz val="8"/>
            <color indexed="81"/>
            <rFont val="Tahoma"/>
            <family val="2"/>
          </rPr>
          <t xml:space="preserve">
20% Right Issue</t>
        </r>
      </text>
    </comment>
    <comment ref="V7" authorId="0">
      <text>
        <r>
          <rPr>
            <b/>
            <sz val="8"/>
            <color indexed="81"/>
            <rFont val="Tahoma"/>
            <family val="2"/>
          </rPr>
          <t>Syed Abid Ali:</t>
        </r>
        <r>
          <rPr>
            <sz val="8"/>
            <color indexed="81"/>
            <rFont val="Tahoma"/>
            <family val="2"/>
          </rPr>
          <t xml:space="preserve">
20% Right Issue</t>
        </r>
      </text>
    </comment>
    <comment ref="W7" authorId="0">
      <text>
        <r>
          <rPr>
            <b/>
            <sz val="8"/>
            <color indexed="81"/>
            <rFont val="Tahoma"/>
            <family val="2"/>
          </rPr>
          <t>Syed Abid Ali:</t>
        </r>
        <r>
          <rPr>
            <sz val="8"/>
            <color indexed="81"/>
            <rFont val="Tahoma"/>
            <family val="2"/>
          </rPr>
          <t xml:space="preserve">
20% Right Issue</t>
        </r>
      </text>
    </comment>
    <comment ref="X7" authorId="0">
      <text>
        <r>
          <rPr>
            <b/>
            <sz val="8"/>
            <color indexed="81"/>
            <rFont val="Tahoma"/>
            <family val="2"/>
          </rPr>
          <t>Syed Abid Ali:</t>
        </r>
        <r>
          <rPr>
            <sz val="8"/>
            <color indexed="81"/>
            <rFont val="Tahoma"/>
            <family val="2"/>
          </rPr>
          <t xml:space="preserve">
20% Right Issue</t>
        </r>
      </text>
    </comment>
    <comment ref="Y7" authorId="0">
      <text>
        <r>
          <rPr>
            <b/>
            <sz val="8"/>
            <color indexed="81"/>
            <rFont val="Tahoma"/>
            <family val="2"/>
          </rPr>
          <t>Syed Abid Ali:</t>
        </r>
        <r>
          <rPr>
            <sz val="8"/>
            <color indexed="81"/>
            <rFont val="Tahoma"/>
            <family val="2"/>
          </rPr>
          <t xml:space="preserve">
20% Right Issue</t>
        </r>
      </text>
    </comment>
    <comment ref="Z7" authorId="0">
      <text>
        <r>
          <rPr>
            <b/>
            <sz val="8"/>
            <color indexed="81"/>
            <rFont val="Tahoma"/>
            <family val="2"/>
          </rPr>
          <t>Syed Abid Ali:</t>
        </r>
        <r>
          <rPr>
            <sz val="8"/>
            <color indexed="81"/>
            <rFont val="Tahoma"/>
            <family val="2"/>
          </rPr>
          <t xml:space="preserve">
20% Right Issue</t>
        </r>
      </text>
    </comment>
    <comment ref="AA7" authorId="0">
      <text>
        <r>
          <rPr>
            <b/>
            <sz val="8"/>
            <color indexed="81"/>
            <rFont val="Tahoma"/>
            <family val="2"/>
          </rPr>
          <t>Syed Abid Ali:</t>
        </r>
        <r>
          <rPr>
            <sz val="8"/>
            <color indexed="81"/>
            <rFont val="Tahoma"/>
            <family val="2"/>
          </rPr>
          <t xml:space="preserve">
20% Right Issue</t>
        </r>
      </text>
    </comment>
    <comment ref="AB7" authorId="0">
      <text>
        <r>
          <rPr>
            <b/>
            <sz val="8"/>
            <color indexed="81"/>
            <rFont val="Tahoma"/>
            <family val="2"/>
          </rPr>
          <t>Syed Abid Ali:</t>
        </r>
        <r>
          <rPr>
            <sz val="8"/>
            <color indexed="81"/>
            <rFont val="Tahoma"/>
            <family val="2"/>
          </rPr>
          <t xml:space="preserve">
20% Right Issue</t>
        </r>
      </text>
    </comment>
    <comment ref="AC7" authorId="0">
      <text>
        <r>
          <rPr>
            <b/>
            <sz val="8"/>
            <color indexed="81"/>
            <rFont val="Tahoma"/>
            <family val="2"/>
          </rPr>
          <t>Syed Abid Ali:</t>
        </r>
        <r>
          <rPr>
            <sz val="8"/>
            <color indexed="81"/>
            <rFont val="Tahoma"/>
            <family val="2"/>
          </rPr>
          <t xml:space="preserve">
20% Right Issue</t>
        </r>
      </text>
    </comment>
    <comment ref="AD7" authorId="0">
      <text>
        <r>
          <rPr>
            <b/>
            <sz val="8"/>
            <color indexed="81"/>
            <rFont val="Tahoma"/>
            <family val="2"/>
          </rPr>
          <t>Syed Abid Ali:</t>
        </r>
        <r>
          <rPr>
            <sz val="8"/>
            <color indexed="81"/>
            <rFont val="Tahoma"/>
            <family val="2"/>
          </rPr>
          <t xml:space="preserve">
20% Right Issue</t>
        </r>
      </text>
    </comment>
    <comment ref="AE7" authorId="0">
      <text>
        <r>
          <rPr>
            <b/>
            <sz val="8"/>
            <color indexed="81"/>
            <rFont val="Tahoma"/>
            <family val="2"/>
          </rPr>
          <t>Syed Abid Ali:</t>
        </r>
        <r>
          <rPr>
            <sz val="8"/>
            <color indexed="81"/>
            <rFont val="Tahoma"/>
            <family val="2"/>
          </rPr>
          <t xml:space="preserve">
20% Right Issue</t>
        </r>
      </text>
    </comment>
    <comment ref="L8" authorId="1">
      <text>
        <r>
          <rPr>
            <b/>
            <sz val="8"/>
            <color indexed="81"/>
            <rFont val="Tahoma"/>
            <family val="2"/>
          </rPr>
          <t>WA:</t>
        </r>
        <r>
          <rPr>
            <sz val="8"/>
            <color indexed="81"/>
            <rFont val="Tahoma"/>
            <family val="2"/>
          </rPr>
          <t xml:space="preserve">
Preference shares are callable after 4 years.</t>
        </r>
      </text>
    </comment>
    <comment ref="L11" authorId="2">
      <text>
        <r>
          <rPr>
            <b/>
            <sz val="8"/>
            <color indexed="81"/>
            <rFont val="Tahoma"/>
            <family val="2"/>
          </rPr>
          <t>mansoor:</t>
        </r>
        <r>
          <rPr>
            <sz val="8"/>
            <color indexed="81"/>
            <rFont val="Tahoma"/>
            <family val="2"/>
          </rPr>
          <t xml:space="preserve">
right share issued at Rs25 premium</t>
        </r>
      </text>
    </comment>
    <comment ref="N11" authorId="0">
      <text>
        <r>
          <rPr>
            <b/>
            <sz val="8"/>
            <color indexed="81"/>
            <rFont val="Tahoma"/>
            <family val="2"/>
          </rPr>
          <t>Syed Abid Ali:</t>
        </r>
        <r>
          <rPr>
            <sz val="8"/>
            <color indexed="81"/>
            <rFont val="Tahoma"/>
            <family val="2"/>
          </rPr>
          <t xml:space="preserve">
Share Premium of Rs 10 per share</t>
        </r>
      </text>
    </comment>
    <comment ref="O11" authorId="0">
      <text>
        <r>
          <rPr>
            <b/>
            <sz val="8"/>
            <color indexed="81"/>
            <rFont val="Tahoma"/>
            <family val="2"/>
          </rPr>
          <t>Syed Abid Ali:</t>
        </r>
        <r>
          <rPr>
            <sz val="8"/>
            <color indexed="81"/>
            <rFont val="Tahoma"/>
            <family val="2"/>
          </rPr>
          <t xml:space="preserve">
Share Premium of Rs 10 per share</t>
        </r>
      </text>
    </comment>
  </commentList>
</comments>
</file>

<file path=xl/comments5.xml><?xml version="1.0" encoding="utf-8"?>
<comments xmlns="http://schemas.openxmlformats.org/spreadsheetml/2006/main">
  <authors>
    <author>Mansoor</author>
  </authors>
  <commentList>
    <comment ref="L16" authorId="0">
      <text>
        <r>
          <rPr>
            <b/>
            <sz val="8"/>
            <color indexed="81"/>
            <rFont val="Tahoma"/>
            <family val="2"/>
          </rPr>
          <t>Mansoor:</t>
        </r>
        <r>
          <rPr>
            <sz val="8"/>
            <color indexed="81"/>
            <rFont val="Tahoma"/>
            <family val="2"/>
          </rPr>
          <t xml:space="preserve">
for balancing
</t>
        </r>
      </text>
    </comment>
  </commentList>
</comments>
</file>

<file path=xl/comments6.xml><?xml version="1.0" encoding="utf-8"?>
<comments xmlns="http://schemas.openxmlformats.org/spreadsheetml/2006/main">
  <authors>
    <author>Mansoor</author>
    <author>mansoor</author>
  </authors>
  <commentList>
    <comment ref="B90" authorId="0">
      <text>
        <r>
          <rPr>
            <b/>
            <sz val="10"/>
            <color indexed="81"/>
            <rFont val="Tahoma"/>
            <family val="2"/>
          </rPr>
          <t>Mansoor:</t>
        </r>
        <r>
          <rPr>
            <sz val="10"/>
            <color indexed="81"/>
            <rFont val="Tahoma"/>
            <family val="2"/>
          </rPr>
          <t xml:space="preserve">
10% bonus</t>
        </r>
      </text>
    </comment>
    <comment ref="B91" authorId="0">
      <text>
        <r>
          <rPr>
            <b/>
            <sz val="10"/>
            <color indexed="81"/>
            <rFont val="Tahoma"/>
            <family val="2"/>
          </rPr>
          <t>Mansoor</t>
        </r>
        <r>
          <rPr>
            <sz val="10"/>
            <color indexed="81"/>
            <rFont val="Tahoma"/>
            <family val="2"/>
          </rPr>
          <t xml:space="preserve">
20% bonus</t>
        </r>
      </text>
    </comment>
    <comment ref="B94" authorId="0">
      <text>
        <r>
          <rPr>
            <b/>
            <sz val="10"/>
            <color indexed="81"/>
            <rFont val="Tahoma"/>
            <family val="2"/>
          </rPr>
          <t>Mansoor:</t>
        </r>
        <r>
          <rPr>
            <sz val="10"/>
            <color indexed="81"/>
            <rFont val="Tahoma"/>
            <family val="2"/>
          </rPr>
          <t xml:space="preserve">
10% bonus</t>
        </r>
      </text>
    </comment>
    <comment ref="B95" authorId="0">
      <text>
        <r>
          <rPr>
            <b/>
            <sz val="10"/>
            <color indexed="81"/>
            <rFont val="Tahoma"/>
            <family val="2"/>
          </rPr>
          <t>Mansoor</t>
        </r>
        <r>
          <rPr>
            <sz val="10"/>
            <color indexed="81"/>
            <rFont val="Tahoma"/>
            <family val="2"/>
          </rPr>
          <t xml:space="preserve">
20% bonus</t>
        </r>
      </text>
    </comment>
    <comment ref="J126" authorId="1">
      <text>
        <r>
          <rPr>
            <b/>
            <sz val="8"/>
            <color indexed="81"/>
            <rFont val="Tahoma"/>
            <family val="2"/>
          </rPr>
          <t>mansoor:</t>
        </r>
        <r>
          <rPr>
            <sz val="8"/>
            <color indexed="81"/>
            <rFont val="Tahoma"/>
            <family val="2"/>
          </rPr>
          <t xml:space="preserve">
dividend announced by MCB in 3qCY05 and Final</t>
        </r>
      </text>
    </comment>
  </commentList>
</comments>
</file>

<file path=xl/comments7.xml><?xml version="1.0" encoding="utf-8"?>
<comments xmlns="http://schemas.openxmlformats.org/spreadsheetml/2006/main">
  <authors>
    <author>abdullah</author>
  </authors>
  <commentList>
    <comment ref="H12" authorId="0">
      <text>
        <r>
          <rPr>
            <b/>
            <sz val="8"/>
            <color indexed="81"/>
            <rFont val="Tahoma"/>
            <family val="2"/>
          </rPr>
          <t>abdullah:</t>
        </r>
        <r>
          <rPr>
            <sz val="8"/>
            <color indexed="81"/>
            <rFont val="Tahoma"/>
            <family val="2"/>
          </rPr>
          <t xml:space="preserve">
changed in line wit company's change in dep rate
</t>
        </r>
      </text>
    </comment>
  </commentList>
</comments>
</file>

<file path=xl/comments8.xml><?xml version="1.0" encoding="utf-8"?>
<comments xmlns="http://schemas.openxmlformats.org/spreadsheetml/2006/main">
  <authors>
    <author>abid.ali</author>
  </authors>
  <commentList>
    <comment ref="G169" authorId="0">
      <text>
        <r>
          <rPr>
            <b/>
            <sz val="8"/>
            <color indexed="81"/>
            <rFont val="Tahoma"/>
            <family val="2"/>
          </rPr>
          <t>abid.ali:</t>
        </r>
        <r>
          <rPr>
            <sz val="8"/>
            <color indexed="81"/>
            <rFont val="Tahoma"/>
            <family val="2"/>
          </rPr>
          <t xml:space="preserve">
Expected was 4,212</t>
        </r>
      </text>
    </comment>
    <comment ref="G170" authorId="0">
      <text>
        <r>
          <rPr>
            <b/>
            <sz val="8"/>
            <color indexed="81"/>
            <rFont val="Tahoma"/>
            <family val="2"/>
          </rPr>
          <t>abid.ali:</t>
        </r>
        <r>
          <rPr>
            <sz val="8"/>
            <color indexed="81"/>
            <rFont val="Tahoma"/>
            <family val="2"/>
          </rPr>
          <t xml:space="preserve">
Expected was 1,403</t>
        </r>
      </text>
    </comment>
  </commentList>
</comments>
</file>

<file path=xl/comments9.xml><?xml version="1.0" encoding="utf-8"?>
<comments xmlns="http://schemas.openxmlformats.org/spreadsheetml/2006/main">
  <authors>
    <author>abid.ali</author>
  </authors>
  <commentList>
    <comment ref="G224" authorId="0">
      <text>
        <r>
          <rPr>
            <b/>
            <sz val="8"/>
            <color indexed="81"/>
            <rFont val="Tahoma"/>
            <family val="2"/>
          </rPr>
          <t>abid.ali:</t>
        </r>
        <r>
          <rPr>
            <sz val="8"/>
            <color indexed="81"/>
            <rFont val="Tahoma"/>
            <family val="2"/>
          </rPr>
          <t xml:space="preserve">
Expected was 4,212</t>
        </r>
      </text>
    </comment>
    <comment ref="G225" authorId="0">
      <text>
        <r>
          <rPr>
            <b/>
            <sz val="8"/>
            <color indexed="81"/>
            <rFont val="Tahoma"/>
            <family val="2"/>
          </rPr>
          <t>abid.ali:</t>
        </r>
        <r>
          <rPr>
            <sz val="8"/>
            <color indexed="81"/>
            <rFont val="Tahoma"/>
            <family val="2"/>
          </rPr>
          <t xml:space="preserve">
Expected was 1,403</t>
        </r>
      </text>
    </comment>
  </commentList>
</comments>
</file>

<file path=xl/sharedStrings.xml><?xml version="1.0" encoding="utf-8"?>
<sst xmlns="http://schemas.openxmlformats.org/spreadsheetml/2006/main" count="2134" uniqueCount="1053">
  <si>
    <t>DG Khan Cement</t>
  </si>
  <si>
    <t>EPS</t>
  </si>
  <si>
    <t>Rate</t>
  </si>
  <si>
    <t>FY99A</t>
  </si>
  <si>
    <t>FY00A</t>
  </si>
  <si>
    <t>Beta</t>
  </si>
  <si>
    <t>Income Statement</t>
  </si>
  <si>
    <t>FY01A</t>
  </si>
  <si>
    <t>FY02A</t>
  </si>
  <si>
    <t>FY03A</t>
  </si>
  <si>
    <t>Cost of sales</t>
  </si>
  <si>
    <t>Gross profit</t>
  </si>
  <si>
    <t>Growth</t>
  </si>
  <si>
    <t>Operating expenses</t>
  </si>
  <si>
    <t>Operating profit</t>
  </si>
  <si>
    <t>EBITDA</t>
  </si>
  <si>
    <t>Other income</t>
  </si>
  <si>
    <t>Depreciation</t>
  </si>
  <si>
    <t>Financial charges</t>
  </si>
  <si>
    <t>Other charges</t>
  </si>
  <si>
    <t>Profit before tax</t>
  </si>
  <si>
    <t>Profit after tax</t>
  </si>
  <si>
    <t>Net change in cash</t>
  </si>
  <si>
    <t>Balance Sheet</t>
  </si>
  <si>
    <t>Total assets</t>
  </si>
  <si>
    <t>Long term liabilities</t>
  </si>
  <si>
    <t>6-month</t>
  </si>
  <si>
    <t>3-month</t>
  </si>
  <si>
    <t>Year end June 30</t>
  </si>
  <si>
    <t>HY03</t>
  </si>
  <si>
    <t>3Q03</t>
  </si>
  <si>
    <t>4Q03</t>
  </si>
  <si>
    <t>1Q04</t>
  </si>
  <si>
    <t>2Q04</t>
  </si>
  <si>
    <t>3Q04</t>
  </si>
  <si>
    <t>4Q04</t>
  </si>
  <si>
    <t>Units</t>
  </si>
  <si>
    <t>Inflation</t>
  </si>
  <si>
    <t>Exchange rate</t>
  </si>
  <si>
    <t>Rs/US$</t>
  </si>
  <si>
    <t>Capacity-clinker</t>
  </si>
  <si>
    <t>Old plant (Unit I)</t>
  </si>
  <si>
    <t>tpa</t>
  </si>
  <si>
    <t>New plant (Unit II)</t>
  </si>
  <si>
    <t>Chakwal Plant (Unit III)</t>
  </si>
  <si>
    <t>Total capacity</t>
  </si>
  <si>
    <t>tpd</t>
  </si>
  <si>
    <t>local</t>
  </si>
  <si>
    <t>Production</t>
  </si>
  <si>
    <t>Utilisation</t>
  </si>
  <si>
    <t>%</t>
  </si>
  <si>
    <t>Production clinker</t>
  </si>
  <si>
    <t>Production cement</t>
  </si>
  <si>
    <t>Days worked</t>
  </si>
  <si>
    <t>days</t>
  </si>
  <si>
    <t>Production (clinker)</t>
  </si>
  <si>
    <t>Production (Cement)</t>
  </si>
  <si>
    <t xml:space="preserve">Exports </t>
  </si>
  <si>
    <t>Despatches</t>
  </si>
  <si>
    <t>Local Sales as % of Capacity</t>
  </si>
  <si>
    <t>Price</t>
  </si>
  <si>
    <t>Rs/ bag</t>
  </si>
  <si>
    <t>Ex-Factory Price</t>
  </si>
  <si>
    <t>Rs/MT</t>
  </si>
  <si>
    <t>GST</t>
  </si>
  <si>
    <t>Excise duty per tonne</t>
  </si>
  <si>
    <t>Rebate to stockists</t>
  </si>
  <si>
    <t>Retention Price (local)</t>
  </si>
  <si>
    <t>Retention Price</t>
  </si>
  <si>
    <t>Per bag</t>
  </si>
  <si>
    <t>Ex-Factory Price increase</t>
  </si>
  <si>
    <t>Retention Price Increase</t>
  </si>
  <si>
    <t>Margin - Ex-factory vs. retention %</t>
  </si>
  <si>
    <t>Raw &amp; packaging material per tonne</t>
  </si>
  <si>
    <t>MT</t>
  </si>
  <si>
    <t>Raw &amp; packaging material cost per tonne of cement</t>
  </si>
  <si>
    <t>Rs m/MT</t>
  </si>
  <si>
    <t>Raw &amp; packaging material cost</t>
  </si>
  <si>
    <t>Rs m</t>
  </si>
  <si>
    <t>Furnace oil per tonne of clinker</t>
  </si>
  <si>
    <t>Furnace oil price</t>
  </si>
  <si>
    <t>Price increase</t>
  </si>
  <si>
    <t>Furnace oil cost</t>
  </si>
  <si>
    <t>Note</t>
  </si>
  <si>
    <t>Coal per tonne</t>
  </si>
  <si>
    <t>Coal cost per tonne</t>
  </si>
  <si>
    <t>Price Increase</t>
  </si>
  <si>
    <t>Coal cost</t>
  </si>
  <si>
    <t>FO + Coal cost</t>
  </si>
  <si>
    <t>Electricity per tonne</t>
  </si>
  <si>
    <t>KWh</t>
  </si>
  <si>
    <t>Electricty Tariff</t>
  </si>
  <si>
    <t>Rs/KWh</t>
  </si>
  <si>
    <t>% of production requiring purchased electricty</t>
  </si>
  <si>
    <t>Electricty cost</t>
  </si>
  <si>
    <t>Stores &amp; spares per tonne</t>
  </si>
  <si>
    <t>Stores &amp; spares consumed</t>
  </si>
  <si>
    <t>Other expenses (% of Net sales)</t>
  </si>
  <si>
    <t>Opening stock of FG</t>
  </si>
  <si>
    <t>Tonnes</t>
  </si>
  <si>
    <t>Production -cement</t>
  </si>
  <si>
    <t>Available for sale</t>
  </si>
  <si>
    <t>Closing stock FG</t>
  </si>
  <si>
    <t>Days' inventory</t>
  </si>
  <si>
    <t>Admin expenses (% of Net sales)</t>
  </si>
  <si>
    <t>Selling expenses (% of Net sales)</t>
  </si>
  <si>
    <t>Dividend Income from:</t>
  </si>
  <si>
    <t>Nishat Mills</t>
  </si>
  <si>
    <t>Nishat Chunian</t>
  </si>
  <si>
    <t>MCB</t>
  </si>
  <si>
    <t>Maple Leaf Cement</t>
  </si>
  <si>
    <t>Cash flow statement</t>
  </si>
  <si>
    <t>Add non cash outflow</t>
  </si>
  <si>
    <t xml:space="preserve">  Depreciation</t>
  </si>
  <si>
    <t xml:space="preserve">  Financial charges payable</t>
  </si>
  <si>
    <t>Amortisation of leased assets</t>
  </si>
  <si>
    <t>Amortisation of deferred costs</t>
  </si>
  <si>
    <t>Gain on disposal of fixed assets</t>
  </si>
  <si>
    <t>Dividend income</t>
  </si>
  <si>
    <t>Provision for leave encashment</t>
  </si>
  <si>
    <t>Reversal of provision for diminution in value of investments</t>
  </si>
  <si>
    <t>Loss on disposal of investments</t>
  </si>
  <si>
    <t>Working capital changes</t>
  </si>
  <si>
    <t>Cash available from operations</t>
  </si>
  <si>
    <t xml:space="preserve">           Financial charges paid</t>
  </si>
  <si>
    <t>Gratuity and leave encashment paid</t>
  </si>
  <si>
    <t>Tax refunds/(tax paid)</t>
  </si>
  <si>
    <t>Cash from operations</t>
  </si>
  <si>
    <t>Fixed capital expenditure</t>
  </si>
  <si>
    <t xml:space="preserve">Net investments </t>
  </si>
  <si>
    <t>Others</t>
  </si>
  <si>
    <t>Cash from investing activities</t>
  </si>
  <si>
    <t>LT loans less repayments</t>
  </si>
  <si>
    <t>Long term deposits</t>
  </si>
  <si>
    <t>Dividends paid</t>
  </si>
  <si>
    <t>Liabilities against leased assets</t>
  </si>
  <si>
    <t>Issue/ redemption of preference shares</t>
  </si>
  <si>
    <t>Cash from financing activities</t>
  </si>
  <si>
    <t>Total increase in cash</t>
  </si>
  <si>
    <t>Cash (beg)</t>
  </si>
  <si>
    <t>Increase in cash</t>
  </si>
  <si>
    <t>Cash (end)</t>
  </si>
  <si>
    <t>ST Financing</t>
  </si>
  <si>
    <t>Cash and bank balance</t>
  </si>
  <si>
    <t>Income statement</t>
  </si>
  <si>
    <t>12- month</t>
  </si>
  <si>
    <t>FY97</t>
  </si>
  <si>
    <t>FY98</t>
  </si>
  <si>
    <t>FY99</t>
  </si>
  <si>
    <t>FY00</t>
  </si>
  <si>
    <t>FY01</t>
  </si>
  <si>
    <t>FY02</t>
  </si>
  <si>
    <t>FY03</t>
  </si>
  <si>
    <t>FY04A</t>
  </si>
  <si>
    <t>FY05</t>
  </si>
  <si>
    <t>FY06</t>
  </si>
  <si>
    <t>FY07</t>
  </si>
  <si>
    <t>FY08</t>
  </si>
  <si>
    <t>FY09</t>
  </si>
  <si>
    <t>FY10</t>
  </si>
  <si>
    <t>Gross Sales</t>
  </si>
  <si>
    <t>Sales Tax</t>
  </si>
  <si>
    <t>Effective Sales Tax Rate %</t>
  </si>
  <si>
    <t>Excise Duty</t>
  </si>
  <si>
    <t>Net Sales</t>
  </si>
  <si>
    <t>Cost of Sales</t>
  </si>
  <si>
    <t>Admin expenses</t>
  </si>
  <si>
    <t>Selling expenses</t>
  </si>
  <si>
    <t>EBIT</t>
  </si>
  <si>
    <t>Subtotal</t>
  </si>
  <si>
    <t>Other Charges</t>
  </si>
  <si>
    <t>EBT</t>
  </si>
  <si>
    <t>Taxes</t>
  </si>
  <si>
    <t>PAT</t>
  </si>
  <si>
    <t>Effective Tax Rate %</t>
  </si>
  <si>
    <t>EPS - Adjusted (excludes pref div)</t>
  </si>
  <si>
    <t>DPS - Common</t>
  </si>
  <si>
    <t>DPS - Preferred</t>
  </si>
  <si>
    <t>Payout</t>
  </si>
  <si>
    <t>Payout Ratio</t>
  </si>
  <si>
    <t>Cash PAT</t>
  </si>
  <si>
    <t>Cash EPS</t>
  </si>
  <si>
    <t>Shares  o/s</t>
  </si>
  <si>
    <t>Preference shares o/s</t>
  </si>
  <si>
    <t>Unappropriated profit b/f</t>
  </si>
  <si>
    <t>Profit available for appropriation</t>
  </si>
  <si>
    <t>Transferred to general reserve</t>
  </si>
  <si>
    <t>Dividends</t>
  </si>
  <si>
    <t>bonus issue</t>
  </si>
  <si>
    <t>Transferred to Capital Redemption reserve fund</t>
  </si>
  <si>
    <t>Unappropriated profit c/f</t>
  </si>
  <si>
    <t>FY04</t>
  </si>
  <si>
    <t>Raw &amp; packaging material</t>
  </si>
  <si>
    <t>Opening stock</t>
  </si>
  <si>
    <t>Purchases</t>
  </si>
  <si>
    <t>Closing stock</t>
  </si>
  <si>
    <t>Raw &amp; packaging material consumed</t>
  </si>
  <si>
    <t>Salaries, wages and other benefits</t>
  </si>
  <si>
    <t>Electricty</t>
  </si>
  <si>
    <t>Fuel (Furnace oil / Coal)</t>
  </si>
  <si>
    <t>Repair &amp; maintenance</t>
  </si>
  <si>
    <t>Insurance</t>
  </si>
  <si>
    <t>Amortisation</t>
  </si>
  <si>
    <t>Other expenses</t>
  </si>
  <si>
    <t>Total manufacturing cost</t>
  </si>
  <si>
    <t>Opening WIP</t>
  </si>
  <si>
    <t>Transferred from expansion</t>
  </si>
  <si>
    <t>Closing WIP</t>
  </si>
  <si>
    <t>Cost of goods manufactured</t>
  </si>
  <si>
    <t>CGM (Rs/MT)</t>
  </si>
  <si>
    <t>CGM xcluding depreciation (Rs/MT)</t>
  </si>
  <si>
    <t>Fuel cost (Rs/MT)</t>
  </si>
  <si>
    <t>Financial Charges</t>
  </si>
  <si>
    <t>Interest Rate</t>
  </si>
  <si>
    <t>Rsm</t>
  </si>
  <si>
    <t>Total</t>
  </si>
  <si>
    <t>Interest</t>
  </si>
  <si>
    <t>Date</t>
  </si>
  <si>
    <t>Current</t>
  </si>
  <si>
    <t xml:space="preserve"> </t>
  </si>
  <si>
    <t>Balance sheet</t>
  </si>
  <si>
    <t>Liabilities &amp; Equity</t>
  </si>
  <si>
    <t>EQUITY</t>
  </si>
  <si>
    <t>Paid up capital - Common shares</t>
  </si>
  <si>
    <t>Paid up capital - Preference shares</t>
  </si>
  <si>
    <t>Reserves</t>
  </si>
  <si>
    <t>Unappropriated profit</t>
  </si>
  <si>
    <t>Total equity</t>
  </si>
  <si>
    <t>bvs</t>
  </si>
  <si>
    <t>Debt</t>
  </si>
  <si>
    <t>LONG TERM LIABILITIES</t>
  </si>
  <si>
    <t>debt:equity</t>
  </si>
  <si>
    <t>LT loans</t>
  </si>
  <si>
    <t>Finance lease</t>
  </si>
  <si>
    <t>Deferred liabilities/ Retirement Benefits/ Others</t>
  </si>
  <si>
    <t>LT deposits</t>
  </si>
  <si>
    <t>CURRENT LIABILITIES</t>
  </si>
  <si>
    <t>Current portion of LT liabilities</t>
  </si>
  <si>
    <t>Current portion of finance lease</t>
  </si>
  <si>
    <t>Long-term deposits and advances</t>
  </si>
  <si>
    <t>ST running finance</t>
  </si>
  <si>
    <t>Creditors, accrued and other liabilities</t>
  </si>
  <si>
    <t>Provision for taxation</t>
  </si>
  <si>
    <t>Dividends payable</t>
  </si>
  <si>
    <t>Total current liabilities</t>
  </si>
  <si>
    <t>Total liabilities</t>
  </si>
  <si>
    <t>TOTAL LIABILITIES &amp; EQUITY</t>
  </si>
  <si>
    <t>ASSETS</t>
  </si>
  <si>
    <t>FIXED ASSETS</t>
  </si>
  <si>
    <t>Leased assets</t>
  </si>
  <si>
    <t>Capital WIP</t>
  </si>
  <si>
    <t>Total fixed assets</t>
  </si>
  <si>
    <t>LT INVESTMENTS</t>
  </si>
  <si>
    <t>LT LOANS TO EMPLOYEES</t>
  </si>
  <si>
    <t>LT DEPOSITS &amp; DEFERRED COSTS</t>
  </si>
  <si>
    <t>CURRENT ASSETS</t>
  </si>
  <si>
    <t>Stores, spares</t>
  </si>
  <si>
    <t>Stock in trade</t>
  </si>
  <si>
    <t>Trade debts</t>
  </si>
  <si>
    <t>Short term investments</t>
  </si>
  <si>
    <t>Advances, deposits &amp; other receivables</t>
  </si>
  <si>
    <t>Cash</t>
  </si>
  <si>
    <t>Total current assets</t>
  </si>
  <si>
    <t>Surplus / deficit</t>
  </si>
  <si>
    <t>Assets</t>
  </si>
  <si>
    <t>% of Net sales</t>
  </si>
  <si>
    <t>Liabilities</t>
  </si>
  <si>
    <t>Changes in working capital</t>
  </si>
  <si>
    <t>Change in current assets</t>
  </si>
  <si>
    <t>(Increase) in Stores, spares</t>
  </si>
  <si>
    <t>(Increase) in stock in trade</t>
  </si>
  <si>
    <t>(Increase) in receivables</t>
  </si>
  <si>
    <t>(Increase) in short term investments</t>
  </si>
  <si>
    <t>(Increase) in Advances, deposits &amp; other receivables</t>
  </si>
  <si>
    <t>Total (increase) in current assets</t>
  </si>
  <si>
    <t>Change in current liabilities</t>
  </si>
  <si>
    <t>Increase in Creditors, accrued and other liabilities</t>
  </si>
  <si>
    <t>Increase in Provision for taxation</t>
  </si>
  <si>
    <t>Total increase in current liabilities</t>
  </si>
  <si>
    <t>Net (increase) in working capital</t>
  </si>
  <si>
    <t>FCF to firm</t>
  </si>
  <si>
    <t>Risk free rate</t>
  </si>
  <si>
    <t>Market Return</t>
  </si>
  <si>
    <t>E(R)</t>
  </si>
  <si>
    <t>Cost of equity</t>
  </si>
  <si>
    <t>Cost of debt</t>
  </si>
  <si>
    <t>Equity</t>
  </si>
  <si>
    <t>WACC</t>
  </si>
  <si>
    <t xml:space="preserve">NPV </t>
  </si>
  <si>
    <t>Net Debt</t>
  </si>
  <si>
    <t>Shares</t>
  </si>
  <si>
    <t>Fair Value</t>
  </si>
  <si>
    <t>Target market cap (Rsm)</t>
  </si>
  <si>
    <t>Free cash flows</t>
  </si>
  <si>
    <t>PV of free cashflows</t>
  </si>
  <si>
    <t>Terminal value</t>
  </si>
  <si>
    <t>PV of terminal value</t>
  </si>
  <si>
    <t>PV of total cashflows</t>
  </si>
  <si>
    <t>NPV of total cashflows</t>
  </si>
  <si>
    <t>Equity value/share</t>
  </si>
  <si>
    <t>As at June 30</t>
  </si>
  <si>
    <t>Beginning</t>
  </si>
  <si>
    <t>Addition</t>
  </si>
  <si>
    <t>Ending</t>
  </si>
  <si>
    <t xml:space="preserve">Depreciation rate </t>
  </si>
  <si>
    <t>Depreciation for the year</t>
  </si>
  <si>
    <t>Depreciation (beginning)</t>
  </si>
  <si>
    <t>Depreciation (ending)</t>
  </si>
  <si>
    <t>Book value at year end</t>
  </si>
  <si>
    <t>Allocation (Rs m)</t>
  </si>
  <si>
    <t>CGS</t>
  </si>
  <si>
    <t>Admin. &amp; General Exp.</t>
  </si>
  <si>
    <t>Selling &amp; Dist. Exp.</t>
  </si>
  <si>
    <t>Allocation %</t>
  </si>
  <si>
    <t xml:space="preserve">Amortization rate </t>
  </si>
  <si>
    <t>Amortization for the year</t>
  </si>
  <si>
    <t>Amortization (beginning)</t>
  </si>
  <si>
    <t>Amortization (ending)</t>
  </si>
  <si>
    <t>Balance</t>
  </si>
  <si>
    <t>EPS Diluted</t>
  </si>
  <si>
    <t>3Q06F</t>
  </si>
  <si>
    <t>2Q06</t>
  </si>
  <si>
    <t>1Q06</t>
  </si>
  <si>
    <t>Export Sales</t>
  </si>
  <si>
    <t>4q06</t>
  </si>
  <si>
    <t>NML</t>
  </si>
  <si>
    <t>NCL</t>
  </si>
  <si>
    <t>1Q05</t>
  </si>
  <si>
    <t>2Q05</t>
  </si>
  <si>
    <t>3Q05</t>
  </si>
  <si>
    <t>4Q05</t>
  </si>
  <si>
    <t>3Q06</t>
  </si>
  <si>
    <t>4Q06</t>
  </si>
  <si>
    <t>Share deposit money</t>
  </si>
  <si>
    <t>Depreciation on deleted items</t>
  </si>
  <si>
    <t xml:space="preserve">own consumption capitalized </t>
  </si>
  <si>
    <t>Current portion of staff gratuity</t>
  </si>
  <si>
    <t>Derivative forward currency options</t>
  </si>
  <si>
    <t>Fair value reserve</t>
  </si>
  <si>
    <t>hedging reserve</t>
  </si>
  <si>
    <t>capital redemption reserve</t>
  </si>
  <si>
    <t>General researve</t>
  </si>
  <si>
    <t>Share premium</t>
  </si>
  <si>
    <t>mcb closing</t>
  </si>
  <si>
    <t>mcb adjusted</t>
  </si>
  <si>
    <t>nml adjusted</t>
  </si>
  <si>
    <t>nml closing</t>
  </si>
  <si>
    <t>ncl adjusted</t>
  </si>
  <si>
    <t>ncl closing</t>
  </si>
  <si>
    <t>aicl adjusted</t>
  </si>
  <si>
    <t>aicl closing</t>
  </si>
  <si>
    <t>ST</t>
  </si>
  <si>
    <t>LT</t>
  </si>
  <si>
    <t>Cost</t>
  </si>
  <si>
    <t>Cost per Share</t>
  </si>
  <si>
    <t>Revalue</t>
  </si>
  <si>
    <t>Adamjee</t>
  </si>
  <si>
    <t>FY11F</t>
  </si>
  <si>
    <t>1Q07</t>
  </si>
  <si>
    <t>Dispatches</t>
  </si>
  <si>
    <t>per ton price-export</t>
  </si>
  <si>
    <t>Rs</t>
  </si>
  <si>
    <t>$/ton</t>
  </si>
  <si>
    <t xml:space="preserve">Inventory </t>
  </si>
  <si>
    <t>Fuel Cost (COGS)</t>
  </si>
  <si>
    <t>per ton cement</t>
  </si>
  <si>
    <t>Rs /MT</t>
  </si>
  <si>
    <t>Other Income</t>
  </si>
  <si>
    <t>Income on Bank deposits</t>
  </si>
  <si>
    <t>others</t>
  </si>
  <si>
    <t>total other income</t>
  </si>
  <si>
    <t>Adamjee Insurance</t>
  </si>
  <si>
    <t>Extraordinary Gain</t>
  </si>
  <si>
    <t xml:space="preserve">Selling expenses </t>
  </si>
  <si>
    <t xml:space="preserve">Admin expenses </t>
  </si>
  <si>
    <t>per ton cement sold</t>
  </si>
  <si>
    <t>No. of days of creditors</t>
  </si>
  <si>
    <t>average collection period</t>
  </si>
  <si>
    <t>PE</t>
  </si>
  <si>
    <t>Inventory tunover</t>
  </si>
  <si>
    <t>Total capacity-clinker</t>
  </si>
  <si>
    <t>Total capacity cement</t>
  </si>
  <si>
    <t>Capacity Utilisation of local sales</t>
  </si>
  <si>
    <t>2Q07</t>
  </si>
  <si>
    <t>3Q07</t>
  </si>
  <si>
    <t>4Q07</t>
  </si>
  <si>
    <t>FOR TAXABLE DEPRECIATION</t>
  </si>
  <si>
    <t>Initial alowance</t>
  </si>
  <si>
    <t>Book Value for deffered tax</t>
  </si>
  <si>
    <t>Difference</t>
  </si>
  <si>
    <t>Taxable Income</t>
  </si>
  <si>
    <t xml:space="preserve">Amortization </t>
  </si>
  <si>
    <t>No. of employees</t>
  </si>
  <si>
    <t>Per employess cost</t>
  </si>
  <si>
    <t>per tonne of cement</t>
  </si>
  <si>
    <t>Current tax</t>
  </si>
  <si>
    <t>Deffered tax</t>
  </si>
  <si>
    <t>TAXATION</t>
  </si>
  <si>
    <t>Effective Rate</t>
  </si>
  <si>
    <t>Deffered</t>
  </si>
  <si>
    <t>tax</t>
  </si>
  <si>
    <t>tax on taxable income</t>
  </si>
  <si>
    <t>total temporary difference</t>
  </si>
  <si>
    <t>balance of deferred tax</t>
  </si>
  <si>
    <t>c/d balance</t>
  </si>
  <si>
    <t>change in net deferred taxes</t>
  </si>
  <si>
    <t>First Place, Inc.</t>
  </si>
  <si>
    <t>Pre-tax accounting income</t>
  </si>
  <si>
    <t>Permanent differences</t>
  </si>
  <si>
    <t>-</t>
  </si>
  <si>
    <t>Book TI</t>
  </si>
  <si>
    <t>Temporary differences:</t>
  </si>
  <si>
    <t>Rent revenue</t>
  </si>
  <si>
    <t>Warranty</t>
  </si>
  <si>
    <t>Contingent liability</t>
  </si>
  <si>
    <t>Taxable income</t>
  </si>
  <si>
    <t>Applicable tax rate</t>
  </si>
  <si>
    <t>Income tax payable (recbl)</t>
  </si>
  <si>
    <t>Inventory of TDs</t>
  </si>
  <si>
    <t>Contingent Liability</t>
  </si>
  <si>
    <t>Total temp differences</t>
  </si>
  <si>
    <t>Correct net balance deferred taxes</t>
  </si>
  <si>
    <t>Net balance fwd</t>
  </si>
  <si>
    <t>The journal entry - dr/(cr):</t>
  </si>
  <si>
    <t>Change in net deferred taxes</t>
  </si>
  <si>
    <t>Taxes (payable)/receivable</t>
  </si>
  <si>
    <t>Income tax expense</t>
  </si>
  <si>
    <t>Displayed on Balance Sheet:</t>
  </si>
  <si>
    <t>Deferred tax asset - current</t>
  </si>
  <si>
    <t>Deferred tax asset - noncurrent</t>
  </si>
  <si>
    <t>Deferred tax liability - current</t>
  </si>
  <si>
    <t>Deferred tax liability - noncurrent</t>
  </si>
  <si>
    <t>ok</t>
  </si>
  <si>
    <t>Explanation:</t>
  </si>
  <si>
    <t>Change in current year TDs</t>
  </si>
  <si>
    <t>Adj prior TDs for rate change</t>
  </si>
  <si>
    <t>Old deferral method expense:</t>
  </si>
  <si>
    <t>Difference related to rate change</t>
  </si>
  <si>
    <t>Taxable income (check figure)</t>
  </si>
  <si>
    <t>Depreciation schedule</t>
  </si>
  <si>
    <t>Machinery with 5 year life, no salvage</t>
  </si>
  <si>
    <t xml:space="preserve">Acquired 1-1-2000 for </t>
  </si>
  <si>
    <t>Straight-line method (book)</t>
  </si>
  <si>
    <t>MACRS method (tax)</t>
  </si>
  <si>
    <t>Accounting income includes:</t>
  </si>
  <si>
    <t>Life insurance premiums on officers</t>
  </si>
  <si>
    <t>Rent revenue (accrual basis)</t>
  </si>
  <si>
    <t>Book depreciation</t>
  </si>
  <si>
    <t>Warranty expense (accrual)</t>
  </si>
  <si>
    <t>Taxable income includes:</t>
  </si>
  <si>
    <t>Accelerate depreciation</t>
  </si>
  <si>
    <t>Rent revenue (cash basis)</t>
  </si>
  <si>
    <t>Warranty costs paid</t>
  </si>
  <si>
    <t>Income tax rates:</t>
  </si>
  <si>
    <t>No changes anticipated</t>
  </si>
  <si>
    <t>New law enacted</t>
  </si>
  <si>
    <t>Another new law passed with phased</t>
  </si>
  <si>
    <t>in increases</t>
  </si>
  <si>
    <t>Right issue</t>
  </si>
  <si>
    <t>Add: Depreciation and Amortisation</t>
  </si>
  <si>
    <t>Portfolio Investments</t>
  </si>
  <si>
    <t>Nishat (Chunian)</t>
  </si>
  <si>
    <t>MCB Bank</t>
  </si>
  <si>
    <t>Stock</t>
  </si>
  <si>
    <t>DGKC per share value of investments (PKR)</t>
  </si>
  <si>
    <t>Others (at cost)</t>
  </si>
  <si>
    <t>(PKR)</t>
  </si>
  <si>
    <t xml:space="preserve">Value </t>
  </si>
  <si>
    <t>(PKR m)</t>
  </si>
  <si>
    <t>Jun.30'06</t>
  </si>
  <si>
    <t xml:space="preserve">Shares Held on </t>
  </si>
  <si>
    <t>PAT with share of P/(L) of associate</t>
  </si>
  <si>
    <t>Total cost</t>
  </si>
  <si>
    <t>total Variable cost</t>
  </si>
  <si>
    <t>VC per unit</t>
  </si>
  <si>
    <t>total Fixed cost</t>
  </si>
  <si>
    <t>Retention price</t>
  </si>
  <si>
    <t>Number of Units</t>
  </si>
  <si>
    <t>forecasted units</t>
  </si>
  <si>
    <t>total cost (FC+VC)</t>
  </si>
  <si>
    <t>PKR m</t>
  </si>
  <si>
    <t xml:space="preserve">Retention Price </t>
  </si>
  <si>
    <t>PKR / ton</t>
  </si>
  <si>
    <t>Gross Profit</t>
  </si>
  <si>
    <t>Operating Profit</t>
  </si>
  <si>
    <t>Depreciation and amortization</t>
  </si>
  <si>
    <t>Tax</t>
  </si>
  <si>
    <t>Profit/(Loss) after tax</t>
  </si>
  <si>
    <t>DPS-Cash (Rs)</t>
  </si>
  <si>
    <t>SHARE CAPITAL AND RESERVES</t>
  </si>
  <si>
    <t>Total Shareholders' equity</t>
  </si>
  <si>
    <t>NON CURRENT LIABILITIES</t>
  </si>
  <si>
    <t>Total Non Current Liabilities</t>
  </si>
  <si>
    <t>TOTAL LIABILITIES</t>
  </si>
  <si>
    <t>Total Liabilities and Equity</t>
  </si>
  <si>
    <t>Operating Fixed Assets</t>
  </si>
  <si>
    <t>Cash and bank balances</t>
  </si>
  <si>
    <t>Current Assets</t>
  </si>
  <si>
    <t>Total Assets</t>
  </si>
  <si>
    <t>Cash flow from operations:</t>
  </si>
  <si>
    <t>Adjustments for non-cash charges:</t>
  </si>
  <si>
    <t>Other non-cash items</t>
  </si>
  <si>
    <t>Other operating cash items</t>
  </si>
  <si>
    <t>Fixed capital expenditures</t>
  </si>
  <si>
    <t>Other investment items</t>
  </si>
  <si>
    <t>Lease liability - net</t>
  </si>
  <si>
    <t xml:space="preserve">Lease Deposit </t>
  </si>
  <si>
    <t>Arrangement</t>
  </si>
  <si>
    <t>Decrease in Fee Payable</t>
  </si>
  <si>
    <t>Long term loan - net</t>
  </si>
  <si>
    <t>Decrease in Loan from Holding Company</t>
  </si>
  <si>
    <t>Increase in Long term Deposits</t>
  </si>
  <si>
    <t>Cash at beginning of the year</t>
  </si>
  <si>
    <t>Cash at end of the year</t>
  </si>
  <si>
    <t>W</t>
  </si>
  <si>
    <t>AB</t>
  </si>
  <si>
    <t>Captal WIP</t>
  </si>
  <si>
    <t>Current Liabilities</t>
  </si>
  <si>
    <t>Short Term running finance</t>
  </si>
  <si>
    <t xml:space="preserve">Price on June 29'07 </t>
  </si>
  <si>
    <t xml:space="preserve">Price on July 10'07 </t>
  </si>
  <si>
    <t>Jun.30'07</t>
  </si>
  <si>
    <t>1Q08</t>
  </si>
  <si>
    <t>2Q08</t>
  </si>
  <si>
    <t>Proceeds from issuance of shares</t>
  </si>
  <si>
    <t>Dividend received</t>
  </si>
  <si>
    <t>3Q08</t>
  </si>
  <si>
    <t>4Q08</t>
  </si>
  <si>
    <t>BVPS</t>
  </si>
  <si>
    <t>International Coal Prices in USD</t>
  </si>
  <si>
    <t>Coal Prices per ton in PKR</t>
  </si>
  <si>
    <t>Coal Required for 1 ton of Clinker</t>
  </si>
  <si>
    <t>ton</t>
  </si>
  <si>
    <t>Total Coal used for Clinker Manufacturing</t>
  </si>
  <si>
    <t>Total Coal Cost</t>
  </si>
  <si>
    <t>Coal Cost Per Ton of Cement</t>
  </si>
  <si>
    <t>Coal Cost Per Bag</t>
  </si>
  <si>
    <t>FY12F</t>
  </si>
  <si>
    <t>FY11</t>
  </si>
  <si>
    <t>FY12</t>
  </si>
  <si>
    <t>1Q FY09</t>
  </si>
  <si>
    <t>1Q09</t>
  </si>
  <si>
    <t>FY13F</t>
  </si>
  <si>
    <t>FY13</t>
  </si>
  <si>
    <t>Amount Outstanding</t>
  </si>
  <si>
    <t>No of Remaining Installments</t>
  </si>
  <si>
    <t>No of Installments per year</t>
  </si>
  <si>
    <t>Installment</t>
  </si>
  <si>
    <t>Principle</t>
  </si>
  <si>
    <t>No of Installment Remaining</t>
  </si>
  <si>
    <t>No of Installment Per Year</t>
  </si>
  <si>
    <t xml:space="preserve">European Investment Bank </t>
  </si>
  <si>
    <t>Finance Cost</t>
  </si>
  <si>
    <t>Interest(PKR)</t>
  </si>
  <si>
    <t>Balance(PKR)</t>
  </si>
  <si>
    <t>Finance cost</t>
  </si>
  <si>
    <t>Mark-up on long term finances</t>
  </si>
  <si>
    <t>Mark-up on short term borrowings</t>
  </si>
  <si>
    <t>Interest on workers' profit participation fund</t>
  </si>
  <si>
    <t>Bank charges and commission</t>
  </si>
  <si>
    <t>FY14</t>
  </si>
  <si>
    <t>Long Term Finances</t>
  </si>
  <si>
    <t>Current Portion of Long Term Finances</t>
  </si>
  <si>
    <t>Principle(PKR)</t>
  </si>
  <si>
    <t>Share of Loss in Associated Com.</t>
  </si>
  <si>
    <t>2Q FY09</t>
  </si>
  <si>
    <t>EPS (PKR)</t>
  </si>
  <si>
    <t>2Q09</t>
  </si>
  <si>
    <t>Fair Value (Core)</t>
  </si>
  <si>
    <t>Fair Value (Portfolio)</t>
  </si>
  <si>
    <t>Discounting By 30%</t>
  </si>
  <si>
    <t>Per Share Effect</t>
  </si>
  <si>
    <t>FY08A</t>
  </si>
  <si>
    <t>EPS-Adjusted (PKR)</t>
  </si>
  <si>
    <t>3Q09</t>
  </si>
  <si>
    <t>3QFY09</t>
  </si>
  <si>
    <t>4Q09</t>
  </si>
  <si>
    <t>4QFY09</t>
  </si>
  <si>
    <t>1QFY10</t>
  </si>
  <si>
    <t>1QFY10F</t>
  </si>
  <si>
    <t>FY14F</t>
  </si>
  <si>
    <t>FY09A</t>
  </si>
  <si>
    <t>2QFY10F</t>
  </si>
  <si>
    <t>2QFY10</t>
  </si>
  <si>
    <t>3QFY10</t>
  </si>
  <si>
    <t>FY15F</t>
  </si>
  <si>
    <t>FY10A</t>
  </si>
  <si>
    <t>FY15</t>
  </si>
  <si>
    <t>FY07A</t>
  </si>
  <si>
    <t>rights issue</t>
  </si>
  <si>
    <t>FY16</t>
  </si>
  <si>
    <t>D/E</t>
  </si>
  <si>
    <t>P/E</t>
  </si>
  <si>
    <t>Per Share Effect (without discounting)</t>
  </si>
  <si>
    <t>1QFY11</t>
  </si>
  <si>
    <t>2QFY11</t>
  </si>
  <si>
    <t>QoQ</t>
  </si>
  <si>
    <t>YoY</t>
  </si>
  <si>
    <t>Admin Expenses</t>
  </si>
  <si>
    <t>Selling Expenses</t>
  </si>
  <si>
    <t>Source: Company financials and AHL estimates</t>
  </si>
  <si>
    <t>Fuel</t>
  </si>
  <si>
    <t>Coal</t>
  </si>
  <si>
    <t>Financial Highlights (PKR mn)</t>
  </si>
  <si>
    <t>3QFY11</t>
  </si>
  <si>
    <t>9MFY11</t>
  </si>
  <si>
    <t>9MFY10</t>
  </si>
  <si>
    <t>Earnings per share (PKR)</t>
  </si>
  <si>
    <t>4QFY11</t>
  </si>
  <si>
    <t>MCB Shares</t>
  </si>
  <si>
    <t>1QFY12</t>
  </si>
  <si>
    <t>Financial Highlights</t>
  </si>
  <si>
    <t>PKR mn</t>
  </si>
  <si>
    <t>2QFY12</t>
  </si>
  <si>
    <t>Per ton Selling</t>
  </si>
  <si>
    <t>Per ton selling</t>
  </si>
  <si>
    <t>Source: Company financials and AHL Research</t>
  </si>
  <si>
    <t>3QFY12</t>
  </si>
  <si>
    <t>4QFY12</t>
  </si>
  <si>
    <t>FY17</t>
  </si>
  <si>
    <t>FY18</t>
  </si>
  <si>
    <t>FY19</t>
  </si>
  <si>
    <t>FY20</t>
  </si>
  <si>
    <t>FY21</t>
  </si>
  <si>
    <t>FY22</t>
  </si>
  <si>
    <t>FY23</t>
  </si>
  <si>
    <t>FY24</t>
  </si>
  <si>
    <t>FY25</t>
  </si>
  <si>
    <t>1QFY13</t>
  </si>
  <si>
    <t>2QFY13</t>
  </si>
  <si>
    <t>3QFY13</t>
  </si>
  <si>
    <t>4QFY13</t>
  </si>
  <si>
    <t>Electricity required to produce 1 ton of cement</t>
  </si>
  <si>
    <t>kwh</t>
  </si>
  <si>
    <t>Electricity cost per kwh</t>
  </si>
  <si>
    <t>PKR</t>
  </si>
  <si>
    <t>Total electricity required</t>
  </si>
  <si>
    <t>Total electricity cost</t>
  </si>
  <si>
    <t>Long Term Investments</t>
  </si>
  <si>
    <t>AICL</t>
  </si>
  <si>
    <t>MLCF</t>
  </si>
  <si>
    <t>First Capital Mutual Fund</t>
  </si>
  <si>
    <t>HBL</t>
  </si>
  <si>
    <t>OGDC</t>
  </si>
  <si>
    <t>Shares mn</t>
  </si>
  <si>
    <t>Value (PKR mn)</t>
  </si>
  <si>
    <t>Short Term Investment</t>
  </si>
  <si>
    <t>Coal (fob) RB</t>
  </si>
  <si>
    <t>WTI</t>
  </si>
  <si>
    <t>CL1 COMB Comdty</t>
  </si>
  <si>
    <t>WTI Coal</t>
  </si>
  <si>
    <t>Slope</t>
  </si>
  <si>
    <t>Intercept</t>
  </si>
  <si>
    <t>Coal - Function</t>
  </si>
  <si>
    <t>Coal - Actual</t>
  </si>
  <si>
    <t>International Coal Price</t>
  </si>
  <si>
    <t>Coal (fob) USD per ton</t>
  </si>
  <si>
    <t>Sea Freight to Karachi Port</t>
  </si>
  <si>
    <t>Landed Cost USD/ton</t>
  </si>
  <si>
    <t>Landed Cost PKR/ton</t>
  </si>
  <si>
    <t>Transportation to up country</t>
  </si>
  <si>
    <t>Coal Cost for Pezu</t>
  </si>
  <si>
    <t>Coal Cost at Pezu</t>
  </si>
  <si>
    <t>Average</t>
  </si>
  <si>
    <t>Coal Requirement per ton of Clinker</t>
  </si>
  <si>
    <t>Kiln E</t>
  </si>
  <si>
    <t>Kiln F</t>
  </si>
  <si>
    <t>Kiln G</t>
  </si>
  <si>
    <t>Clinker Production (tons/year)</t>
  </si>
  <si>
    <t>Total Energy for Clinker Production (TJ/year)</t>
  </si>
  <si>
    <t xml:space="preserve">1 Tj = </t>
  </si>
  <si>
    <t>kcal</t>
  </si>
  <si>
    <t>Total Energy for Clinker per ton (TJ/ton)</t>
  </si>
  <si>
    <t>Total Energy required per ton of Clinker (kcal)</t>
  </si>
  <si>
    <t>Coal Specificaton</t>
  </si>
  <si>
    <t>kcal/kg</t>
  </si>
  <si>
    <t>Coal Requirement</t>
  </si>
  <si>
    <t>At 112</t>
  </si>
  <si>
    <t>5. Bank Alfalah</t>
  </si>
  <si>
    <t>6. Allied Bank Limited</t>
  </si>
  <si>
    <t>7. Allied Bank Limited</t>
  </si>
  <si>
    <t>8. Standard Chartered Bank</t>
  </si>
  <si>
    <t>9. Bank of Punjab</t>
  </si>
  <si>
    <t>10. Askari Bank</t>
  </si>
  <si>
    <t>11. Faysal Bank Limited</t>
  </si>
  <si>
    <t xml:space="preserve">13. Eco Trade and Development Bank </t>
  </si>
  <si>
    <t>14. Meezan Bank</t>
  </si>
  <si>
    <t>Short Term Borrowing</t>
  </si>
  <si>
    <t>For  BS</t>
  </si>
  <si>
    <t>EBIT (1-t)</t>
  </si>
  <si>
    <t>Less: Divident Income (1-t)</t>
  </si>
  <si>
    <t>Add: Depriciation</t>
  </si>
  <si>
    <t>Add: Working Capital Changes</t>
  </si>
  <si>
    <t>Add: Capital Expenditure</t>
  </si>
  <si>
    <t>FCFF</t>
  </si>
  <si>
    <t>W. Avg. Cost of Debt</t>
  </si>
  <si>
    <t>Cost of Equity</t>
  </si>
  <si>
    <t>Weight of Debt (D/D+E)</t>
  </si>
  <si>
    <t>Total Equity</t>
  </si>
  <si>
    <t>Weight of Equity</t>
  </si>
  <si>
    <t>Market price of Equity</t>
  </si>
  <si>
    <t>Weights at Market price of Equity</t>
  </si>
  <si>
    <t>Capital Weights at Market Price</t>
  </si>
  <si>
    <t xml:space="preserve">Debt </t>
  </si>
  <si>
    <t>Cost of Debt</t>
  </si>
  <si>
    <t>Discounted FCFF</t>
  </si>
  <si>
    <t>Target Price Date</t>
  </si>
  <si>
    <t>Present Value of FCFF</t>
  </si>
  <si>
    <t>Present Value of TV</t>
  </si>
  <si>
    <t>Total PV</t>
  </si>
  <si>
    <t>Less: Net Debt</t>
  </si>
  <si>
    <t>Equity Value</t>
  </si>
  <si>
    <t>Core Value</t>
  </si>
  <si>
    <t>Closing Price</t>
  </si>
  <si>
    <t>Total Value</t>
  </si>
  <si>
    <t>Discount</t>
  </si>
  <si>
    <t>WACC at Book Value</t>
  </si>
  <si>
    <t>Capacity of WHRP</t>
  </si>
  <si>
    <t>Target Price</t>
  </si>
  <si>
    <t>Total Capacity</t>
  </si>
  <si>
    <t>Total Production of Cement</t>
  </si>
  <si>
    <t>tons</t>
  </si>
  <si>
    <t>Power Required for 1 ton of Cement</t>
  </si>
  <si>
    <t>Kwh</t>
  </si>
  <si>
    <t>Power Requirement for Cement</t>
  </si>
  <si>
    <t>MW</t>
  </si>
  <si>
    <t>Total Power Requirement</t>
  </si>
  <si>
    <t>Power Generated Through WHR</t>
  </si>
  <si>
    <t>Cost of Power through WHRP</t>
  </si>
  <si>
    <t>PKR/unit</t>
  </si>
  <si>
    <t>Power cost through WHRP</t>
  </si>
  <si>
    <t>Power Generated through Gas</t>
  </si>
  <si>
    <t>Gas Price per mmbtu</t>
  </si>
  <si>
    <t>Increase in Gas prices</t>
  </si>
  <si>
    <t>Gas required to produce 1MWh</t>
  </si>
  <si>
    <t>Nm3</t>
  </si>
  <si>
    <t>Gas required to produce 1KWh</t>
  </si>
  <si>
    <t>Conversion to mmbtu (Nm3*35.49391*933.07/1000000)</t>
  </si>
  <si>
    <t>mmbtu</t>
  </si>
  <si>
    <t xml:space="preserve">Total Gas required </t>
  </si>
  <si>
    <t>Power produced through gas - for Cement</t>
  </si>
  <si>
    <t>Total Power Produced through Gas</t>
  </si>
  <si>
    <t>Gas cost per kwh</t>
  </si>
  <si>
    <t>Other Cost per Kwh</t>
  </si>
  <si>
    <t>Power generation cost per unit</t>
  </si>
  <si>
    <t>Power cost through Gas</t>
  </si>
  <si>
    <t>Total Power Cost</t>
  </si>
  <si>
    <t>Power Generation through Furnace Oil</t>
  </si>
  <si>
    <t xml:space="preserve">FO Price </t>
  </si>
  <si>
    <t>PKR/ton</t>
  </si>
  <si>
    <t>FO required to produce 1kwh</t>
  </si>
  <si>
    <t>Power generation on FO</t>
  </si>
  <si>
    <t>Total FO Requirement</t>
  </si>
  <si>
    <t>Total FO Cost</t>
  </si>
  <si>
    <t>Power Cost per ton of Cement with WHRP</t>
  </si>
  <si>
    <t>Power Cost per ton of Cement without WHRP</t>
  </si>
  <si>
    <t>Savings through WHRP</t>
  </si>
  <si>
    <t xml:space="preserve">Selling Electricity </t>
  </si>
  <si>
    <t>Power Dispatched Agreement</t>
  </si>
  <si>
    <t>When Gas was at</t>
  </si>
  <si>
    <t>When gas wast at</t>
  </si>
  <si>
    <t>Units Dispatched</t>
  </si>
  <si>
    <t xml:space="preserve">Now Gas rate is </t>
  </si>
  <si>
    <t>Now gas is at</t>
  </si>
  <si>
    <t>Selling Price per Kwh</t>
  </si>
  <si>
    <t>So selling price should be</t>
  </si>
  <si>
    <t>Total Revenue from Power</t>
  </si>
  <si>
    <t xml:space="preserve">Cost of Power dispatched </t>
  </si>
  <si>
    <t>Cost per unit</t>
  </si>
  <si>
    <t>PKR/kwh</t>
  </si>
  <si>
    <t>Total Cost</t>
  </si>
  <si>
    <t>Gain on Power Sales</t>
  </si>
  <si>
    <t>Selling price of Electricity</t>
  </si>
  <si>
    <t>Fixed Cost recognised by NEPRA</t>
  </si>
  <si>
    <t>Reference Fuel Cost Component @ 238.83/mmbtu</t>
  </si>
  <si>
    <t>PKR/mmbtu</t>
  </si>
  <si>
    <t>Finance Cost Tariff</t>
  </si>
  <si>
    <t>Total Tariff</t>
  </si>
  <si>
    <t>Carbon Credits</t>
  </si>
  <si>
    <t>CER from Karachi Plant</t>
  </si>
  <si>
    <t>CER from Pezu Plant</t>
  </si>
  <si>
    <t>CER</t>
  </si>
  <si>
    <t>EUR/CER</t>
  </si>
  <si>
    <t>UNFCC admin costs</t>
  </si>
  <si>
    <t>" "</t>
  </si>
  <si>
    <t>Net CER</t>
  </si>
  <si>
    <t>Exchange Rate</t>
  </si>
  <si>
    <t>Net revenue</t>
  </si>
  <si>
    <t>Cash Balance</t>
  </si>
  <si>
    <t>Average Cash</t>
  </si>
  <si>
    <t xml:space="preserve">Intrest </t>
  </si>
  <si>
    <t>What if they had to rely on HESCO Grid</t>
  </si>
  <si>
    <t>No of Months</t>
  </si>
  <si>
    <t>Capacity Utilisation for those months</t>
  </si>
  <si>
    <t>Daily Production Capacity of Karachi Plant</t>
  </si>
  <si>
    <t>Daily Production</t>
  </si>
  <si>
    <t>Total Production</t>
  </si>
  <si>
    <t>Powre requirement per ton of Cement</t>
  </si>
  <si>
    <t>Power generated through WHRP</t>
  </si>
  <si>
    <t>Power Cost from Grid</t>
  </si>
  <si>
    <t>Peak Hours</t>
  </si>
  <si>
    <t>Off Peak Hours</t>
  </si>
  <si>
    <t>Same Power Generation through Gas</t>
  </si>
  <si>
    <t>Increase in Cost</t>
  </si>
  <si>
    <t xml:space="preserve">Powre foregone </t>
  </si>
  <si>
    <t>(20*24*No of Days Power Suppplied*1000)</t>
  </si>
  <si>
    <t>Revenue foregeone</t>
  </si>
  <si>
    <t>DG Plant</t>
  </si>
  <si>
    <t>Khairpur Plant</t>
  </si>
  <si>
    <t>Conversion = (19*24*300*1000) kwh</t>
  </si>
  <si>
    <t>Cost of Power from National Grid</t>
  </si>
  <si>
    <t>No of Units purchased</t>
  </si>
  <si>
    <t>Peak hour</t>
  </si>
  <si>
    <t>Off Peak hour</t>
  </si>
  <si>
    <t>Power Required net of WHR</t>
  </si>
  <si>
    <t>Self Generation from Gas</t>
  </si>
  <si>
    <t>Power from National Grid</t>
  </si>
  <si>
    <t>Power cost through gas generation</t>
  </si>
  <si>
    <t>PKRmn</t>
  </si>
  <si>
    <t>Cost of Power Purchased</t>
  </si>
  <si>
    <t>YoY Change</t>
  </si>
  <si>
    <t>Total Powre Cost</t>
  </si>
  <si>
    <t>Coal price change assumption</t>
  </si>
  <si>
    <t>For Yrs RA</t>
  </si>
  <si>
    <t>Buy</t>
  </si>
  <si>
    <t>Last Closing</t>
  </si>
  <si>
    <t>Inflation Trend</t>
  </si>
  <si>
    <t>Upside</t>
  </si>
  <si>
    <t>KSE Code</t>
  </si>
  <si>
    <t>Bloomberg Code</t>
  </si>
  <si>
    <t>Key Data</t>
  </si>
  <si>
    <t>Market Cap (US$ m)</t>
  </si>
  <si>
    <t>Shares in Issue (m)</t>
  </si>
  <si>
    <t>Outstanding Shares (m)</t>
  </si>
  <si>
    <t>Free Float (%)</t>
  </si>
  <si>
    <t>Free Float</t>
  </si>
  <si>
    <t>3M Avg. Daily Turnover</t>
  </si>
  <si>
    <t>12M Avg. Daily Turnover (m)</t>
  </si>
  <si>
    <t>12M High/Low (PKR)</t>
  </si>
  <si>
    <t>342.95/227.99</t>
  </si>
  <si>
    <t>Major Shareholders</t>
  </si>
  <si>
    <t>Source: FBS</t>
  </si>
  <si>
    <t>CPI Composition</t>
  </si>
  <si>
    <t>Shareholding</t>
  </si>
  <si>
    <t>Valuation Ratios</t>
  </si>
  <si>
    <t>Financials</t>
  </si>
  <si>
    <t>As of 30 June</t>
  </si>
  <si>
    <t>FY10E</t>
  </si>
  <si>
    <t>FY12A</t>
  </si>
  <si>
    <t>FY13E</t>
  </si>
  <si>
    <t>Total Equity (PKRbn)</t>
  </si>
  <si>
    <t>Total Assets (PKRbn)</t>
  </si>
  <si>
    <t>Net Profit (PKRm)</t>
  </si>
  <si>
    <t>Net Profit (PKRbn)</t>
  </si>
  <si>
    <t>ROE (%)</t>
  </si>
  <si>
    <t>EPS Growth</t>
  </si>
  <si>
    <t>PEx</t>
  </si>
  <si>
    <t>P/E (x)</t>
  </si>
  <si>
    <t>DPS (PKR)</t>
  </si>
  <si>
    <t>P/B (x)</t>
  </si>
  <si>
    <t>Div Yield (%)</t>
  </si>
  <si>
    <t>Source: Company Financials</t>
  </si>
  <si>
    <t xml:space="preserve">Discount Rate </t>
  </si>
  <si>
    <t>Stock Performance</t>
  </si>
  <si>
    <t>July,2010</t>
  </si>
  <si>
    <t>Relative Performance</t>
  </si>
  <si>
    <t>November,2009</t>
  </si>
  <si>
    <t>September,2009</t>
  </si>
  <si>
    <t>April,2009</t>
  </si>
  <si>
    <t>November,2008</t>
  </si>
  <si>
    <t>July,2008</t>
  </si>
  <si>
    <t>May,2008</t>
  </si>
  <si>
    <t>Feb,2007</t>
  </si>
  <si>
    <t>July,2007</t>
  </si>
  <si>
    <t>Source: SBP</t>
  </si>
  <si>
    <t>Source: Bloomberg</t>
  </si>
  <si>
    <t>Analyst</t>
  </si>
  <si>
    <t>Administration Expenses</t>
  </si>
  <si>
    <t>16x</t>
  </si>
  <si>
    <t>26x</t>
  </si>
  <si>
    <t>Earnings per share</t>
  </si>
  <si>
    <t>Sources; Company Accounts and AHL Estimates</t>
  </si>
  <si>
    <t>DGKC</t>
  </si>
  <si>
    <t>DGKC PA</t>
  </si>
  <si>
    <t>Nishat Group</t>
  </si>
  <si>
    <t>Financial Highlights (PKRmn)</t>
  </si>
  <si>
    <t>P/B</t>
  </si>
  <si>
    <t>Div. Yield</t>
  </si>
  <si>
    <t>ROE</t>
  </si>
  <si>
    <t>ROA</t>
  </si>
  <si>
    <t>Sources; Company accounts and AHL Research</t>
  </si>
  <si>
    <t>DPS</t>
  </si>
  <si>
    <t>Gross Margins</t>
  </si>
  <si>
    <t>Net Margins</t>
  </si>
  <si>
    <t>FY16F</t>
  </si>
  <si>
    <t>FY17F</t>
  </si>
  <si>
    <t>Gross Profit Margin</t>
  </si>
  <si>
    <t>Operating Profit Margin</t>
  </si>
  <si>
    <t>EBITDA Margin</t>
  </si>
  <si>
    <t>Net Profit Margin</t>
  </si>
  <si>
    <t>Asset Turnover</t>
  </si>
  <si>
    <t xml:space="preserve">Debt-to-Equity </t>
  </si>
  <si>
    <t>Interest Cover</t>
  </si>
  <si>
    <t>ev</t>
  </si>
  <si>
    <t>price</t>
  </si>
  <si>
    <t>shares</t>
  </si>
  <si>
    <t>m cap</t>
  </si>
  <si>
    <t>loan</t>
  </si>
  <si>
    <t>cash</t>
  </si>
  <si>
    <t>ev/ebitda</t>
  </si>
  <si>
    <t>ev/ton</t>
  </si>
  <si>
    <t>Terminal</t>
  </si>
  <si>
    <t>Add: Depreciation</t>
  </si>
  <si>
    <t>Add: Changes in Working Capital</t>
  </si>
  <si>
    <t>Less: Capital Expenditure</t>
  </si>
  <si>
    <t>Free Cash Flow</t>
  </si>
  <si>
    <t>Present Value</t>
  </si>
  <si>
    <t>Terminal Growth Rate</t>
  </si>
  <si>
    <t>PV of FCFF</t>
  </si>
  <si>
    <t>PV of Terminal Value</t>
  </si>
  <si>
    <t>No. of Shares (mn)</t>
  </si>
  <si>
    <t>Target Price (PKR) - Dec-13</t>
  </si>
  <si>
    <t>Market Value of Portfolio</t>
  </si>
  <si>
    <t xml:space="preserve">Discount </t>
  </si>
  <si>
    <t>Discounted Portfolio value</t>
  </si>
  <si>
    <t>Sum of the part value</t>
  </si>
  <si>
    <t>Sum of the Part Valuation</t>
  </si>
  <si>
    <t>WACC Parameters</t>
  </si>
  <si>
    <t>Risk Free Rate</t>
  </si>
  <si>
    <t>After tax Cost of Debt</t>
  </si>
  <si>
    <t>WACC (FY13)</t>
  </si>
  <si>
    <t>Total Volumes</t>
  </si>
  <si>
    <t>Net Revenues</t>
  </si>
  <si>
    <t>Local</t>
  </si>
  <si>
    <t>Exports</t>
  </si>
  <si>
    <t>Capacity Utillization</t>
  </si>
  <si>
    <t>Cash Flow Statement</t>
  </si>
  <si>
    <t>Revenues</t>
  </si>
  <si>
    <t>Net Profit</t>
  </si>
  <si>
    <t xml:space="preserve">P/E </t>
  </si>
  <si>
    <t xml:space="preserve">P/B </t>
  </si>
  <si>
    <t xml:space="preserve"> FY13E </t>
  </si>
  <si>
    <t xml:space="preserve"> FY14F </t>
  </si>
  <si>
    <t xml:space="preserve"> FY15F </t>
  </si>
  <si>
    <t xml:space="preserve"> FY16F </t>
  </si>
  <si>
    <t xml:space="preserve"> FY17F </t>
  </si>
  <si>
    <t>`</t>
  </si>
  <si>
    <t>Valuation Matrix</t>
  </si>
  <si>
    <t>Key Ratios</t>
  </si>
  <si>
    <t>Ex-Factory Price (LHS)</t>
  </si>
  <si>
    <t>Net Revenues (RHS)</t>
  </si>
  <si>
    <t>Short Term Loan</t>
  </si>
  <si>
    <t>Long Term Loan</t>
  </si>
  <si>
    <t>Finance Cost (RHS)</t>
  </si>
  <si>
    <t>EBIT (1-t) Excluding Dividend Income</t>
  </si>
  <si>
    <t xml:space="preserve">Core Value </t>
  </si>
  <si>
    <t>Source: AHL Research</t>
  </si>
  <si>
    <t>Sources: Company Financials and AHL Research</t>
  </si>
  <si>
    <t>1QFY14</t>
  </si>
  <si>
    <t>2QFY14</t>
  </si>
  <si>
    <t>3QFY14</t>
  </si>
  <si>
    <t>4QFY14</t>
  </si>
  <si>
    <t>For manufacturing</t>
  </si>
  <si>
    <t>Cp</t>
  </si>
  <si>
    <t>Recommendation</t>
  </si>
  <si>
    <t>Jun-13A</t>
  </si>
  <si>
    <t>Jun-14E</t>
  </si>
  <si>
    <t>Jun-15F</t>
  </si>
  <si>
    <t>Companies under coverage</t>
  </si>
  <si>
    <t>Key Financial Ratios</t>
  </si>
  <si>
    <t>Total shareholder's equity</t>
  </si>
  <si>
    <t>Per share</t>
  </si>
  <si>
    <t>Bank</t>
  </si>
  <si>
    <t>SYM</t>
  </si>
  <si>
    <t>RoE</t>
  </si>
  <si>
    <t>Current Price</t>
  </si>
  <si>
    <t>Earning / Share</t>
  </si>
  <si>
    <t>Lucky Cement Limited</t>
  </si>
  <si>
    <t>LUCK</t>
  </si>
  <si>
    <t>Long term loans</t>
  </si>
  <si>
    <t>Dividend /Share</t>
  </si>
  <si>
    <t>D.G. Khan Cement Company Limited</t>
  </si>
  <si>
    <t>Total non current liabilities</t>
  </si>
  <si>
    <t>Kohat Cement Company Limited</t>
  </si>
  <si>
    <t>KOHC</t>
  </si>
  <si>
    <t>Price ratio</t>
  </si>
  <si>
    <t>Fauji Cement Company Limited</t>
  </si>
  <si>
    <t>FCCL</t>
  </si>
  <si>
    <t>Trade payables</t>
  </si>
  <si>
    <t>Attock Cement Pakistan Limited</t>
  </si>
  <si>
    <t>ACPL</t>
  </si>
  <si>
    <t>Total equity and liabilities</t>
  </si>
  <si>
    <t>Div yield</t>
  </si>
  <si>
    <t>Profitability</t>
  </si>
  <si>
    <t>Non current assets</t>
  </si>
  <si>
    <t>Gross margins</t>
  </si>
  <si>
    <t>Current assets</t>
  </si>
  <si>
    <t>EBITDA margins</t>
  </si>
  <si>
    <t>Net margins</t>
  </si>
  <si>
    <t>Sector's Key Statistics</t>
  </si>
  <si>
    <t>CY13</t>
  </si>
  <si>
    <t>Coverage ratio</t>
  </si>
  <si>
    <t>No of listed companies</t>
  </si>
  <si>
    <t>Cash flow from operations</t>
  </si>
  <si>
    <t>Debt to equity</t>
  </si>
  <si>
    <t>Average daily turnover (mn)</t>
  </si>
  <si>
    <t>Cash flow from investing activities</t>
  </si>
  <si>
    <t>Debt to assets</t>
  </si>
  <si>
    <t>Mkt cap (PKR mn)</t>
  </si>
  <si>
    <t>Cash flow from financing activities</t>
  </si>
  <si>
    <t>Mkt cap (USD mn)</t>
  </si>
  <si>
    <t>Return on Capital</t>
  </si>
  <si>
    <t>Return</t>
  </si>
  <si>
    <t>Ending Cash</t>
  </si>
  <si>
    <t>PE (x)</t>
  </si>
  <si>
    <t>PB (x)</t>
  </si>
  <si>
    <t>A year Back</t>
  </si>
  <si>
    <t>FY13A</t>
  </si>
  <si>
    <t>FY14E</t>
  </si>
  <si>
    <t>96.43/55.49</t>
  </si>
  <si>
    <t>Profit before Tax</t>
  </si>
  <si>
    <t>9MFY13</t>
  </si>
  <si>
    <t>9MFY14</t>
  </si>
  <si>
    <t>coal</t>
  </si>
  <si>
    <t>Sales</t>
  </si>
  <si>
    <t>Net profit</t>
  </si>
  <si>
    <t xml:space="preserve"> Valuation Parameters </t>
  </si>
  <si>
    <t xml:space="preserve"> EPS (PKR)  </t>
  </si>
  <si>
    <t xml:space="preserve"> DPS (PKR)  </t>
  </si>
  <si>
    <t xml:space="preserve"> P/E (x)  </t>
  </si>
  <si>
    <t xml:space="preserve"> P/B (x)  </t>
  </si>
  <si>
    <t>2013A</t>
  </si>
  <si>
    <t>2014E</t>
  </si>
  <si>
    <t>2015F</t>
  </si>
  <si>
    <t xml:space="preserve"> Div. Yield   </t>
  </si>
  <si>
    <t xml:space="preserve"> ROE    </t>
  </si>
  <si>
    <t xml:space="preserve"> ROA    </t>
  </si>
  <si>
    <t xml:space="preserve"> EBITDA margins </t>
  </si>
  <si>
    <t xml:space="preserve"> Net margins </t>
  </si>
  <si>
    <t>FY14A</t>
  </si>
  <si>
    <t>1QFY15</t>
  </si>
  <si>
    <t>Source: Company Financials and AHL estimates</t>
  </si>
  <si>
    <t>1QFY15E</t>
  </si>
  <si>
    <t>1QFY14A</t>
  </si>
  <si>
    <t>4QFY14A</t>
  </si>
  <si>
    <t xml:space="preserve"> Financial Highlights</t>
  </si>
  <si>
    <t>(BS!R7/10)</t>
  </si>
  <si>
    <t>1QFY15A</t>
  </si>
  <si>
    <t>2QFY15F</t>
  </si>
  <si>
    <t>2QFY15</t>
  </si>
  <si>
    <t>Malik Awais Khan</t>
  </si>
  <si>
    <t>0321-9596694</t>
  </si>
  <si>
    <t>malikawaiskhan@gmail.com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</si>
</sst>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0\F"/>
    <numFmt numFmtId="166" formatCode="_(* #,##0.0_);_(* \(#,##0.0\);_(* &quot;-&quot;??_);_(@_)"/>
    <numFmt numFmtId="167" formatCode="_(* #,##0_);_(* \(#,##0\);_(* &quot;-&quot;??_);_(@_)"/>
    <numFmt numFmtId="168" formatCode="0.000"/>
    <numFmt numFmtId="169" formatCode="0.0%"/>
    <numFmt numFmtId="170" formatCode="0.0"/>
    <numFmt numFmtId="171" formatCode="_(* #,##0.000_);_(* \(#,##0.000\);_(* &quot;-&quot;??_);_(@_)"/>
    <numFmt numFmtId="172" formatCode="_(* #,##0.0000_);_(* \(#,##0.0000\);_(* &quot;-&quot;??_);_(@_)"/>
    <numFmt numFmtId="173" formatCode="_(* #,##0.000000_);_(* \(#,##0.000000\);_(* &quot;-&quot;??_);_(@_)"/>
    <numFmt numFmtId="174" formatCode="0.000%"/>
    <numFmt numFmtId="175" formatCode="0.0000%"/>
    <numFmt numFmtId="176" formatCode="[$-409]d\-mmm\-yy;@"/>
    <numFmt numFmtId="177" formatCode="_(* #,##0.0000000000000000000000000_);_(* \(#,##0.0000000000000000000000000\);_(* &quot;-&quot;??_);_(@_)"/>
    <numFmt numFmtId="178" formatCode="#,##0;[Red]\(#,##0\)"/>
    <numFmt numFmtId="179" formatCode="_([$€-2]* #,##0.00_);_([$€-2]* \(#,##0.00\);_([$€-2]* &quot;-&quot;??_)"/>
    <numFmt numFmtId="180" formatCode="0.00000"/>
    <numFmt numFmtId="181" formatCode="0_);\(0\)"/>
    <numFmt numFmtId="182" formatCode="_ * #,##0_ ;_ * \-#,##0_ ;_ * &quot;-&quot;_ ;_ @_ "/>
    <numFmt numFmtId="183" formatCode="_ * #,##0.00_ ;_ * \-#,##0.00_ ;_ * &quot;-&quot;??_ ;_ @_ "/>
    <numFmt numFmtId="184" formatCode="d/m/yy"/>
    <numFmt numFmtId="185" formatCode="#,##0&quot;£&quot;_);[Red]\(#,##0&quot;£&quot;\)"/>
    <numFmt numFmtId="186" formatCode="&quot;£&quot;#,##0.00;[Red]\-&quot;£&quot;#,##0.00"/>
    <numFmt numFmtId="187" formatCode="0\ &quot;bps&quot;"/>
    <numFmt numFmtId="188" formatCode="m/yy"/>
    <numFmt numFmtId="189" formatCode="General_)"/>
    <numFmt numFmtId="190" formatCode="&quot;$&quot;#,##0"/>
    <numFmt numFmtId="191" formatCode="0.00\x"/>
    <numFmt numFmtId="192" formatCode="_(&quot;$&quot;* #,##0_);_(&quot;$&quot;* \(#,##0\);_(&quot;$&quot;* &quot;-&quot;??_);_(@_)"/>
    <numFmt numFmtId="193" formatCode="0&quot; bps&quot;"/>
    <numFmt numFmtId="194" formatCode="&quot;$&quot;#,##0.00"/>
    <numFmt numFmtId="195" formatCode="#,##0.0"/>
    <numFmt numFmtId="196" formatCode="#,##0.0_);\(#,##0.0\)"/>
    <numFmt numFmtId="197" formatCode="#,##0.0%;\(#,##0.0\)%"/>
    <numFmt numFmtId="198" formatCode="0.0\x"/>
    <numFmt numFmtId="199" formatCode="#,##0.0_);[Red]\(#,##0.0\)"/>
    <numFmt numFmtId="200" formatCode="&quot;$&quot;#,##0.0_);&quot;$&quot;\(#,##0.0\)"/>
    <numFmt numFmtId="201" formatCode="&quot;$&quot;#,##0.00_);&quot;$&quot;\(#,##0.00\)"/>
    <numFmt numFmtId="202" formatCode="0.0_)"/>
    <numFmt numFmtId="203" formatCode="&quot;$&quot;#,##0.0_);\(&quot;$&quot;#,##0.0\)"/>
    <numFmt numFmtId="204" formatCode="&quot;$&quot;#,##0.0_);[Red]\(&quot;$&quot;#,##0.0\)"/>
    <numFmt numFmtId="205" formatCode="00000"/>
    <numFmt numFmtId="206" formatCode="0.0&quot;x&quot;"/>
    <numFmt numFmtId="207" formatCode="&quot;£&quot;#,##0.00;\-&quot;£&quot;#,##0.00"/>
    <numFmt numFmtId="208" formatCode="_(#,##0.00_);[Red]\(#,##0.00\);_-* &quot;-&quot;??_-;_-@_-"/>
    <numFmt numFmtId="209" formatCode="ddmmmyy"/>
    <numFmt numFmtId="210" formatCode="_(&quot;$&quot;* #,##0.0_);_(&quot;$&quot;* \(#,##0.0\);_(&quot;$&quot;* &quot;-&quot;??_);_(@_)"/>
    <numFmt numFmtId="211" formatCode="[$-409]mmm\-yy;@"/>
    <numFmt numFmtId="212" formatCode="_ * #,##0.00_)&quot;£&quot;_ ;_ * \(#,##0.00\)&quot;£&quot;_ ;_ * &quot;-&quot;??_)&quot;£&quot;_ ;_ @_ "/>
    <numFmt numFmtId="213" formatCode="_(* #,##0.00000_);_(* \(#,##0.00000\);_(* &quot;-&quot;??_);_(@_)"/>
  </numFmts>
  <fonts count="14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u/>
      <sz val="8"/>
      <color indexed="12"/>
      <name val="Times New Roman"/>
      <family val="1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name val="Arial MT"/>
    </font>
    <font>
      <sz val="7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23"/>
      <name val="Calibri"/>
      <family val="2"/>
      <scheme val="minor"/>
    </font>
    <font>
      <b/>
      <sz val="10"/>
      <color indexed="23"/>
      <name val="Calibri"/>
      <family val="2"/>
      <scheme val="minor"/>
    </font>
    <font>
      <b/>
      <sz val="10"/>
      <color indexed="22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color indexed="62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16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indexed="12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indexed="61"/>
      <name val="Calibri"/>
      <family val="2"/>
      <scheme val="minor"/>
    </font>
    <font>
      <u val="singleAccounting"/>
      <sz val="10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57"/>
      <name val="Calibri"/>
      <family val="2"/>
      <scheme val="minor"/>
    </font>
    <font>
      <i/>
      <sz val="10"/>
      <color indexed="10"/>
      <name val="Calibri"/>
      <family val="2"/>
      <scheme val="minor"/>
    </font>
    <font>
      <b/>
      <u val="doubleAccounting"/>
      <sz val="10"/>
      <name val="Calibri"/>
      <family val="2"/>
      <scheme val="minor"/>
    </font>
    <font>
      <u/>
      <sz val="10"/>
      <name val="Calibri"/>
      <family val="2"/>
      <scheme val="minor"/>
    </font>
    <font>
      <b/>
      <i/>
      <sz val="10"/>
      <color indexed="62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12"/>
      <name val="Calibri"/>
      <family val="2"/>
      <scheme val="minor"/>
    </font>
    <font>
      <i/>
      <sz val="10"/>
      <color indexed="20"/>
      <name val="Calibri"/>
      <family val="2"/>
      <scheme val="minor"/>
    </font>
    <font>
      <sz val="10"/>
      <color indexed="2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42"/>
      <name val="Calibri"/>
      <family val="2"/>
      <scheme val="minor"/>
    </font>
    <font>
      <b/>
      <i/>
      <sz val="10"/>
      <color indexed="14"/>
      <name val="Calibri"/>
      <family val="2"/>
      <scheme val="minor"/>
    </font>
    <font>
      <b/>
      <i/>
      <sz val="10"/>
      <color indexed="10"/>
      <name val="Calibri"/>
      <family val="2"/>
      <scheme val="minor"/>
    </font>
    <font>
      <sz val="10"/>
      <color indexed="18"/>
      <name val="Calibri"/>
      <family val="2"/>
      <scheme val="minor"/>
    </font>
    <font>
      <b/>
      <u/>
      <sz val="10"/>
      <name val="Calibri"/>
      <family val="2"/>
      <scheme val="minor"/>
    </font>
    <font>
      <u/>
      <sz val="10"/>
      <color indexed="12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Arial"/>
      <family val="2"/>
    </font>
    <font>
      <sz val="8"/>
      <color rgb="FF002060"/>
      <name val="Arial"/>
      <family val="2"/>
    </font>
    <font>
      <sz val="6"/>
      <name val="Arial"/>
      <family val="2"/>
    </font>
    <font>
      <sz val="5"/>
      <name val="Arial"/>
      <family val="2"/>
    </font>
    <font>
      <b/>
      <sz val="8"/>
      <color rgb="FF002060"/>
      <name val="Arial"/>
      <family val="2"/>
    </font>
    <font>
      <sz val="8"/>
      <color theme="0"/>
      <name val="Arial"/>
      <family val="2"/>
    </font>
    <font>
      <sz val="10"/>
      <color rgb="FFFF0000"/>
      <name val="Calibri"/>
      <family val="2"/>
      <scheme val="minor"/>
    </font>
    <font>
      <sz val="10"/>
      <name val="Arial Narrow"/>
      <family val="2"/>
    </font>
    <font>
      <b/>
      <sz val="10"/>
      <color indexed="9"/>
      <name val="Arial Narrow"/>
      <family val="2"/>
    </font>
    <font>
      <b/>
      <sz val="10"/>
      <color theme="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sz val="8"/>
      <color rgb="FF002060"/>
      <name val="Arial Narrow"/>
      <family val="2"/>
    </font>
    <font>
      <sz val="12"/>
      <name val="DTMLetterRegular"/>
    </font>
    <font>
      <sz val="12"/>
      <name val="Times New Roman"/>
      <family val="1"/>
    </font>
    <font>
      <sz val="8"/>
      <name val="Times New Roman"/>
      <family val="1"/>
    </font>
    <font>
      <sz val="12"/>
      <name val="¹ÙÅÁÃ¼"/>
      <family val="1"/>
      <charset val="128"/>
    </font>
    <font>
      <b/>
      <sz val="12"/>
      <name val="Times New Roman"/>
      <family val="1"/>
    </font>
    <font>
      <b/>
      <sz val="10"/>
      <name val="Arial"/>
      <family val="2"/>
    </font>
    <font>
      <b/>
      <sz val="10"/>
      <name val="Helv"/>
    </font>
    <font>
      <b/>
      <sz val="8"/>
      <color indexed="12"/>
      <name val="Arial"/>
      <family val="2"/>
    </font>
    <font>
      <sz val="10"/>
      <name val="MS Sans Serif"/>
      <family val="2"/>
    </font>
    <font>
      <sz val="10"/>
      <name val="Book Antiqua"/>
      <family val="1"/>
    </font>
    <font>
      <sz val="8"/>
      <color indexed="9"/>
      <name val="Arial"/>
      <family val="2"/>
    </font>
    <font>
      <sz val="10"/>
      <color indexed="8"/>
      <name val="Arial"/>
      <family val="2"/>
    </font>
    <font>
      <b/>
      <sz val="12"/>
      <name val="Helv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b/>
      <sz val="11"/>
      <name val="Helv"/>
    </font>
    <font>
      <sz val="11"/>
      <name val="‚l‚r –¾’©"/>
      <charset val="128"/>
    </font>
    <font>
      <b/>
      <sz val="10"/>
      <name val="MS Sans Serif"/>
      <family val="2"/>
    </font>
    <font>
      <sz val="10"/>
      <color indexed="8"/>
      <name val="Times New Roman"/>
      <family val="1"/>
    </font>
    <font>
      <i/>
      <sz val="8"/>
      <name val="Times New Roman"/>
      <family val="1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8"/>
      <color rgb="FF002060"/>
      <name val="Arial"/>
      <family val="2"/>
    </font>
    <font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8.5"/>
      <color theme="1"/>
      <name val="Arial"/>
      <family val="2"/>
    </font>
    <font>
      <sz val="8.5"/>
      <name val="Arial"/>
      <family val="2"/>
    </font>
    <font>
      <b/>
      <sz val="8.5"/>
      <color theme="0"/>
      <name val="Arial"/>
      <family val="2"/>
    </font>
    <font>
      <sz val="8.5"/>
      <color rgb="FF002060"/>
      <name val="Arial"/>
      <family val="2"/>
    </font>
    <font>
      <b/>
      <sz val="9"/>
      <color theme="1"/>
      <name val="Calibri"/>
      <family val="2"/>
      <scheme val="minor"/>
    </font>
    <font>
      <b/>
      <sz val="8.5"/>
      <color theme="1"/>
      <name val="Arial"/>
      <family val="2"/>
    </font>
    <font>
      <b/>
      <sz val="8.5"/>
      <color rgb="FF002060"/>
      <name val="Arial"/>
      <family val="2"/>
    </font>
    <font>
      <sz val="8.5"/>
      <color theme="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indexed="9"/>
      <name val="Arial"/>
      <family val="2"/>
    </font>
    <font>
      <i/>
      <sz val="8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i/>
      <sz val="8"/>
      <name val="Arial"/>
      <family val="2"/>
    </font>
    <font>
      <b/>
      <u/>
      <sz val="8"/>
      <name val="Arial"/>
      <family val="2"/>
    </font>
    <font>
      <b/>
      <sz val="8"/>
      <color indexed="9"/>
      <name val="Arial "/>
    </font>
    <font>
      <b/>
      <sz val="8"/>
      <color rgb="FF002060"/>
      <name val="Arial "/>
    </font>
    <font>
      <sz val="8"/>
      <color indexed="8"/>
      <name val="Arial "/>
    </font>
    <font>
      <sz val="8"/>
      <name val="Arial "/>
    </font>
    <font>
      <b/>
      <sz val="8"/>
      <name val="Arial "/>
    </font>
    <font>
      <b/>
      <sz val="8"/>
      <color indexed="8"/>
      <name val="Arial "/>
    </font>
    <font>
      <i/>
      <sz val="8"/>
      <color indexed="18"/>
      <name val="Arial "/>
    </font>
    <font>
      <i/>
      <sz val="8"/>
      <color rgb="FF00206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20"/>
      <color theme="3"/>
      <name val="Trebuchet MS"/>
      <family val="2"/>
    </font>
    <font>
      <sz val="11"/>
      <color theme="1"/>
      <name val="Trebuchet MS"/>
      <family val="2"/>
    </font>
    <font>
      <sz val="11"/>
      <color theme="3"/>
      <name val="Trebuchet MS"/>
      <family val="2"/>
    </font>
    <font>
      <b/>
      <sz val="11"/>
      <color theme="3"/>
      <name val="Trebuchet MS"/>
      <family val="2"/>
    </font>
    <font>
      <sz val="11"/>
      <name val="Trebuchet MS"/>
      <family val="2"/>
    </font>
    <font>
      <b/>
      <sz val="14"/>
      <color theme="1"/>
      <name val="Trebuchet MS"/>
      <family val="2"/>
    </font>
    <font>
      <sz val="11"/>
      <color rgb="FF000000"/>
      <name val="Trebuchet MS"/>
      <family val="2"/>
    </font>
    <font>
      <b/>
      <sz val="11"/>
      <color theme="1"/>
      <name val="Trebuchet MS"/>
      <family val="2"/>
    </font>
    <font>
      <sz val="8"/>
      <color theme="1"/>
      <name val="Arial Narrow"/>
      <family val="2"/>
    </font>
    <font>
      <b/>
      <sz val="9"/>
      <color rgb="FF002060"/>
      <name val="Trebuchet MS"/>
      <family val="2"/>
    </font>
    <font>
      <sz val="9"/>
      <color rgb="FF002060"/>
      <name val="Trebuchet MS"/>
      <family val="2"/>
    </font>
  </fonts>
  <fills count="3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mediumGray">
        <fgColor indexed="22"/>
      </patternFill>
    </fill>
    <fill>
      <patternFill patternType="solid">
        <fgColor indexed="27"/>
        <bgColor indexed="64"/>
      </patternFill>
    </fill>
    <fill>
      <patternFill patternType="solid">
        <fgColor rgb="FFCEDF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rgb="FF002060"/>
      </top>
      <bottom/>
      <diagonal/>
    </border>
    <border>
      <left/>
      <right/>
      <top/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/>
      <right/>
      <top/>
      <bottom style="thin">
        <color theme="3"/>
      </bottom>
      <diagonal/>
    </border>
    <border>
      <left/>
      <right/>
      <top/>
      <bottom style="medium">
        <color theme="3"/>
      </bottom>
      <diagonal/>
    </border>
    <border>
      <left/>
      <right/>
      <top style="thin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/>
      <top style="thin">
        <color theme="3"/>
      </top>
      <bottom style="thin">
        <color theme="4" tint="-0.249977111117893"/>
      </bottom>
      <diagonal/>
    </border>
  </borders>
  <cellStyleXfs count="193">
    <xf numFmtId="0" fontId="0" fillId="0" borderId="0"/>
    <xf numFmtId="0" fontId="9" fillId="0" borderId="0"/>
    <xf numFmtId="43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178" fontId="13" fillId="0" borderId="0" applyBorder="0" applyAlignment="0"/>
    <xf numFmtId="164" fontId="4" fillId="0" borderId="0"/>
    <xf numFmtId="0" fontId="5" fillId="0" borderId="0"/>
    <xf numFmtId="0" fontId="12" fillId="0" borderId="0"/>
    <xf numFmtId="0" fontId="16" fillId="0" borderId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68" fillId="0" borderId="0"/>
    <xf numFmtId="0" fontId="69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4" fillId="0" borderId="0"/>
    <xf numFmtId="0" fontId="70" fillId="0" borderId="0">
      <alignment horizontal="center" wrapText="1"/>
      <protection locked="0"/>
    </xf>
    <xf numFmtId="182" fontId="71" fillId="0" borderId="0" applyFont="0" applyFill="0" applyBorder="0" applyAlignment="0" applyProtection="0"/>
    <xf numFmtId="183" fontId="71" fillId="0" borderId="0" applyFont="0" applyFill="0" applyBorder="0" applyAlignment="0" applyProtection="0"/>
    <xf numFmtId="0" fontId="72" fillId="0" borderId="2" applyNumberFormat="0" applyFill="0" applyAlignment="0" applyProtection="0"/>
    <xf numFmtId="0" fontId="69" fillId="0" borderId="0" applyFont="0" applyFill="0" applyBorder="0" applyAlignment="0" applyProtection="0"/>
    <xf numFmtId="38" fontId="73" fillId="0" borderId="0" applyFont="0" applyBorder="0" applyAlignment="0">
      <alignment horizontal="centerContinuous"/>
    </xf>
    <xf numFmtId="0" fontId="71" fillId="0" borderId="0"/>
    <xf numFmtId="184" fontId="4" fillId="0" borderId="0" applyFill="0" applyBorder="0" applyAlignment="0"/>
    <xf numFmtId="0" fontId="74" fillId="0" borderId="0"/>
    <xf numFmtId="0" fontId="75" fillId="9" borderId="0" applyNumberFormat="0" applyBorder="0" applyAlignment="0" applyProtection="0">
      <alignment horizontal="left"/>
      <protection locked="0"/>
    </xf>
    <xf numFmtId="18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6" fillId="0" borderId="0" applyFont="0" applyFill="0" applyBorder="0" applyAlignment="0" applyProtection="0"/>
    <xf numFmtId="0" fontId="5" fillId="0" borderId="0">
      <alignment horizontal="center"/>
    </xf>
    <xf numFmtId="184" fontId="4" fillId="0" borderId="0" applyFont="0" applyFill="0" applyBorder="0" applyAlignment="0" applyProtection="0"/>
    <xf numFmtId="8" fontId="77" fillId="0" borderId="0" applyBorder="0"/>
    <xf numFmtId="44" fontId="3" fillId="0" borderId="0" applyFont="0" applyFill="0" applyBorder="0" applyAlignment="0" applyProtection="0"/>
    <xf numFmtId="175" fontId="4" fillId="0" borderId="0" applyFont="0" applyFill="0" applyBorder="0" applyAlignment="0" applyProtection="0"/>
    <xf numFmtId="186" fontId="4" fillId="5" borderId="0" applyFont="0" applyBorder="0"/>
    <xf numFmtId="0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13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7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4" fontId="4" fillId="0" borderId="0" applyFont="0" applyFill="0" applyBorder="0" applyAlignment="0" applyProtection="0"/>
    <xf numFmtId="46" fontId="4" fillId="0" borderId="0" applyFont="0" applyFill="0" applyBorder="0" applyAlignment="0" applyProtection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1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7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17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5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78" fillId="20" borderId="0" applyAlignment="0">
      <protection locked="0"/>
    </xf>
    <xf numFmtId="0" fontId="69" fillId="0" borderId="0" applyFont="0" applyFill="0" applyBorder="0" applyAlignment="0" applyProtection="0"/>
    <xf numFmtId="207" fontId="4" fillId="0" borderId="0" applyFont="0" applyFill="0" applyBorder="0" applyProtection="0">
      <alignment horizontal="centerContinuous"/>
    </xf>
    <xf numFmtId="14" fontId="79" fillId="0" borderId="0" applyFill="0" applyBorder="0" applyAlignment="0"/>
    <xf numFmtId="15" fontId="76" fillId="0" borderId="0"/>
    <xf numFmtId="185" fontId="4" fillId="0" borderId="0" applyFill="0" applyBorder="0" applyAlignment="0"/>
    <xf numFmtId="184" fontId="4" fillId="0" borderId="0" applyFill="0" applyBorder="0" applyAlignment="0"/>
    <xf numFmtId="185" fontId="4" fillId="0" borderId="0" applyFill="0" applyBorder="0" applyAlignment="0"/>
    <xf numFmtId="192" fontId="4" fillId="0" borderId="0" applyFill="0" applyBorder="0" applyAlignment="0"/>
    <xf numFmtId="184" fontId="4" fillId="0" borderId="0" applyFill="0" applyBorder="0" applyAlignment="0"/>
    <xf numFmtId="38" fontId="7" fillId="5" borderId="0" applyNumberFormat="0" applyBorder="0" applyAlignment="0" applyProtection="0"/>
    <xf numFmtId="0" fontId="80" fillId="0" borderId="0">
      <alignment horizontal="left"/>
    </xf>
    <xf numFmtId="0" fontId="81" fillId="0" borderId="6" applyNumberFormat="0" applyAlignment="0" applyProtection="0">
      <alignment horizontal="left" vertical="center"/>
    </xf>
    <xf numFmtId="0" fontId="81" fillId="0" borderId="15">
      <alignment horizontal="left" vertical="center"/>
    </xf>
    <xf numFmtId="0" fontId="82" fillId="0" borderId="0" applyNumberFormat="0" applyFill="0" applyBorder="0" applyAlignment="0" applyProtection="0">
      <alignment vertical="top"/>
      <protection locked="0"/>
    </xf>
    <xf numFmtId="10" fontId="7" fillId="22" borderId="14" applyNumberFormat="0" applyBorder="0" applyAlignment="0" applyProtection="0"/>
    <xf numFmtId="0" fontId="4" fillId="0" borderId="0" applyNumberFormat="0" applyFill="0" applyBorder="0" applyAlignment="0">
      <protection locked="0"/>
    </xf>
    <xf numFmtId="208" fontId="7" fillId="23" borderId="0" applyBorder="0">
      <protection locked="0"/>
    </xf>
    <xf numFmtId="209" fontId="83" fillId="23" borderId="0">
      <alignment horizontal="left"/>
      <protection locked="0"/>
    </xf>
    <xf numFmtId="0" fontId="83" fillId="23" borderId="0" applyBorder="0">
      <alignment horizontal="left"/>
      <protection locked="0"/>
    </xf>
    <xf numFmtId="10" fontId="83" fillId="23" borderId="0">
      <alignment horizontal="left"/>
      <protection locked="0"/>
    </xf>
    <xf numFmtId="185" fontId="4" fillId="0" borderId="0" applyFill="0" applyBorder="0" applyAlignment="0"/>
    <xf numFmtId="184" fontId="4" fillId="0" borderId="0" applyFill="0" applyBorder="0" applyAlignment="0"/>
    <xf numFmtId="185" fontId="4" fillId="0" borderId="0" applyFill="0" applyBorder="0" applyAlignment="0"/>
    <xf numFmtId="192" fontId="4" fillId="0" borderId="0" applyFill="0" applyBorder="0" applyAlignment="0"/>
    <xf numFmtId="184" fontId="4" fillId="0" borderId="0" applyFill="0" applyBorder="0" applyAlignment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84" fillId="0" borderId="1"/>
    <xf numFmtId="42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210" fontId="4" fillId="0" borderId="0"/>
    <xf numFmtId="0" fontId="3" fillId="0" borderId="0"/>
    <xf numFmtId="211" fontId="4" fillId="0" borderId="0"/>
    <xf numFmtId="0" fontId="4" fillId="0" borderId="0"/>
    <xf numFmtId="40" fontId="85" fillId="0" borderId="0" applyFont="0" applyFill="0" applyBorder="0" applyAlignment="0" applyProtection="0"/>
    <xf numFmtId="38" fontId="85" fillId="0" borderId="0" applyFont="0" applyFill="0" applyBorder="0" applyAlignment="0" applyProtection="0"/>
    <xf numFmtId="37" fontId="62" fillId="2" borderId="0" applyAlignment="0"/>
    <xf numFmtId="14" fontId="70" fillId="0" borderId="0">
      <alignment horizontal="center" wrapText="1"/>
      <protection locked="0"/>
    </xf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6" fillId="0" borderId="0" applyFont="0" applyFill="0" applyBorder="0" applyAlignment="0" applyProtection="0"/>
    <xf numFmtId="10" fontId="76" fillId="0" borderId="0" applyFont="0" applyFill="0" applyBorder="0" applyAlignment="0" applyProtection="0"/>
    <xf numFmtId="185" fontId="4" fillId="0" borderId="0" applyFill="0" applyBorder="0" applyAlignment="0"/>
    <xf numFmtId="184" fontId="4" fillId="0" borderId="0" applyFill="0" applyBorder="0" applyAlignment="0"/>
    <xf numFmtId="185" fontId="4" fillId="0" borderId="0" applyFill="0" applyBorder="0" applyAlignment="0"/>
    <xf numFmtId="192" fontId="4" fillId="0" borderId="0" applyFill="0" applyBorder="0" applyAlignment="0"/>
    <xf numFmtId="184" fontId="4" fillId="0" borderId="0" applyFill="0" applyBorder="0" applyAlignment="0"/>
    <xf numFmtId="0" fontId="76" fillId="0" borderId="0" applyNumberFormat="0" applyFont="0" applyFill="0" applyBorder="0" applyAlignment="0" applyProtection="0">
      <alignment horizontal="left"/>
    </xf>
    <xf numFmtId="15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0" fontId="86" fillId="0" borderId="1">
      <alignment horizontal="center"/>
    </xf>
    <xf numFmtId="3" fontId="76" fillId="0" borderId="0" applyFont="0" applyFill="0" applyBorder="0" applyAlignment="0" applyProtection="0"/>
    <xf numFmtId="0" fontId="76" fillId="24" borderId="0" applyNumberFormat="0" applyFont="0" applyBorder="0" applyAlignment="0" applyProtection="0"/>
    <xf numFmtId="0" fontId="87" fillId="0" borderId="16">
      <alignment horizontal="centerContinuous"/>
    </xf>
    <xf numFmtId="0" fontId="5" fillId="25" borderId="17" applyNumberFormat="0" applyFont="0" applyAlignment="0" applyProtection="0">
      <protection locked="0"/>
    </xf>
    <xf numFmtId="0" fontId="88" fillId="0" borderId="16"/>
    <xf numFmtId="210" fontId="4" fillId="0" borderId="0">
      <alignment horizontal="center"/>
    </xf>
    <xf numFmtId="0" fontId="4" fillId="0" borderId="0" applyNumberFormat="0" applyFill="0" applyBorder="0" applyAlignment="0" applyProtection="0"/>
    <xf numFmtId="0" fontId="84" fillId="0" borderId="0"/>
    <xf numFmtId="208" fontId="7" fillId="0" borderId="0" applyFill="0" applyBorder="0" applyProtection="0">
      <protection locked="0"/>
    </xf>
    <xf numFmtId="49" fontId="79" fillId="0" borderId="0" applyFill="0" applyBorder="0" applyAlignment="0"/>
    <xf numFmtId="189" fontId="4" fillId="0" borderId="0" applyFill="0" applyBorder="0" applyAlignment="0"/>
    <xf numFmtId="189" fontId="4" fillId="0" borderId="0" applyFill="0" applyBorder="0" applyAlignment="0"/>
    <xf numFmtId="0" fontId="4" fillId="0" borderId="0" applyNumberFormat="0" applyFill="0" applyBorder="0" applyAlignment="0" applyProtection="0"/>
    <xf numFmtId="0" fontId="73" fillId="0" borderId="0">
      <alignment horizontal="left"/>
    </xf>
    <xf numFmtId="209" fontId="7" fillId="23" borderId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" fillId="0" borderId="0"/>
    <xf numFmtId="211" fontId="13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435">
    <xf numFmtId="0" fontId="0" fillId="0" borderId="0" xfId="0"/>
    <xf numFmtId="0" fontId="17" fillId="0" borderId="0" xfId="7" applyFont="1"/>
    <xf numFmtId="0" fontId="18" fillId="0" borderId="0" xfId="7" applyFont="1"/>
    <xf numFmtId="43" fontId="18" fillId="0" borderId="0" xfId="7" applyNumberFormat="1" applyFont="1"/>
    <xf numFmtId="0" fontId="17" fillId="5" borderId="0" xfId="7" applyFont="1" applyFill="1"/>
    <xf numFmtId="0" fontId="18" fillId="5" borderId="0" xfId="7" applyFont="1" applyFill="1"/>
    <xf numFmtId="0" fontId="17" fillId="0" borderId="0" xfId="7" applyFont="1" applyAlignment="1">
      <alignment horizontal="right"/>
    </xf>
    <xf numFmtId="0" fontId="18" fillId="0" borderId="0" xfId="7" applyFont="1" applyBorder="1" applyAlignment="1">
      <alignment horizontal="right"/>
    </xf>
    <xf numFmtId="0" fontId="18" fillId="0" borderId="0" xfId="7" applyFont="1" applyFill="1" applyBorder="1" applyAlignment="1">
      <alignment horizontal="right"/>
    </xf>
    <xf numFmtId="0" fontId="17" fillId="0" borderId="0" xfId="7" applyFont="1" applyFill="1" applyAlignment="1">
      <alignment horizontal="right"/>
    </xf>
    <xf numFmtId="0" fontId="17" fillId="0" borderId="0" xfId="7" applyFont="1" applyFill="1"/>
    <xf numFmtId="167" fontId="17" fillId="0" borderId="0" xfId="2" applyNumberFormat="1" applyFont="1"/>
    <xf numFmtId="43" fontId="17" fillId="0" borderId="0" xfId="7" applyNumberFormat="1" applyFont="1"/>
    <xf numFmtId="167" fontId="20" fillId="0" borderId="0" xfId="2" applyNumberFormat="1" applyFont="1"/>
    <xf numFmtId="167" fontId="17" fillId="0" borderId="0" xfId="7" applyNumberFormat="1" applyFont="1"/>
    <xf numFmtId="167" fontId="17" fillId="5" borderId="0" xfId="2" applyNumberFormat="1" applyFont="1" applyFill="1"/>
    <xf numFmtId="167" fontId="17" fillId="5" borderId="0" xfId="7" applyNumberFormat="1" applyFont="1" applyFill="1"/>
    <xf numFmtId="43" fontId="18" fillId="5" borderId="0" xfId="7" applyNumberFormat="1" applyFont="1" applyFill="1"/>
    <xf numFmtId="167" fontId="18" fillId="0" borderId="0" xfId="2" applyNumberFormat="1" applyFont="1"/>
    <xf numFmtId="167" fontId="21" fillId="0" borderId="0" xfId="2" applyNumberFormat="1" applyFont="1"/>
    <xf numFmtId="9" fontId="17" fillId="5" borderId="0" xfId="12" applyFont="1" applyFill="1"/>
    <xf numFmtId="1" fontId="17" fillId="0" borderId="0" xfId="7" applyNumberFormat="1" applyFont="1" applyFill="1"/>
    <xf numFmtId="167" fontId="17" fillId="0" borderId="0" xfId="7" applyNumberFormat="1" applyFont="1" applyFill="1"/>
    <xf numFmtId="171" fontId="17" fillId="0" borderId="0" xfId="2" applyNumberFormat="1" applyFont="1"/>
    <xf numFmtId="43" fontId="17" fillId="0" borderId="0" xfId="2" applyNumberFormat="1" applyFont="1"/>
    <xf numFmtId="167" fontId="18" fillId="0" borderId="0" xfId="2" applyNumberFormat="1" applyFont="1" applyFill="1"/>
    <xf numFmtId="167" fontId="17" fillId="0" borderId="0" xfId="2" applyNumberFormat="1" applyFont="1" applyFill="1"/>
    <xf numFmtId="166" fontId="17" fillId="0" borderId="0" xfId="2" applyNumberFormat="1" applyFont="1"/>
    <xf numFmtId="2" fontId="17" fillId="0" borderId="0" xfId="7" applyNumberFormat="1" applyFont="1"/>
    <xf numFmtId="166" fontId="22" fillId="0" borderId="0" xfId="2" applyNumberFormat="1" applyFont="1"/>
    <xf numFmtId="43" fontId="17" fillId="0" borderId="0" xfId="2" applyNumberFormat="1" applyFont="1" applyFill="1"/>
    <xf numFmtId="43" fontId="17" fillId="0" borderId="0" xfId="7" applyNumberFormat="1" applyFont="1" applyFill="1"/>
    <xf numFmtId="9" fontId="17" fillId="0" borderId="0" xfId="12" applyFont="1"/>
    <xf numFmtId="9" fontId="18" fillId="0" borderId="0" xfId="12" applyFont="1"/>
    <xf numFmtId="10" fontId="17" fillId="0" borderId="0" xfId="12" applyNumberFormat="1" applyFont="1"/>
    <xf numFmtId="9" fontId="17" fillId="0" borderId="0" xfId="7" applyNumberFormat="1" applyFont="1"/>
    <xf numFmtId="43" fontId="17" fillId="0" borderId="0" xfId="2" applyFont="1"/>
    <xf numFmtId="169" fontId="17" fillId="0" borderId="0" xfId="12" applyNumberFormat="1" applyFont="1"/>
    <xf numFmtId="167" fontId="18" fillId="4" borderId="0" xfId="2" applyNumberFormat="1" applyFont="1" applyFill="1"/>
    <xf numFmtId="43" fontId="18" fillId="4" borderId="0" xfId="2" applyFont="1" applyFill="1"/>
    <xf numFmtId="0" fontId="17" fillId="4" borderId="0" xfId="7" applyFont="1" applyFill="1"/>
    <xf numFmtId="0" fontId="17" fillId="4" borderId="0" xfId="7" applyFont="1" applyFill="1" applyAlignment="1">
      <alignment horizontal="right"/>
    </xf>
    <xf numFmtId="43" fontId="17" fillId="4" borderId="0" xfId="7" applyNumberFormat="1" applyFont="1" applyFill="1"/>
    <xf numFmtId="0" fontId="27" fillId="4" borderId="0" xfId="7" applyFont="1" applyFill="1"/>
    <xf numFmtId="43" fontId="27" fillId="4" borderId="0" xfId="2" applyNumberFormat="1" applyFont="1" applyFill="1"/>
    <xf numFmtId="9" fontId="17" fillId="0" borderId="0" xfId="12" applyFont="1" applyFill="1"/>
    <xf numFmtId="9" fontId="17" fillId="0" borderId="0" xfId="7" applyNumberFormat="1" applyFont="1" applyFill="1"/>
    <xf numFmtId="0" fontId="25" fillId="0" borderId="0" xfId="7" applyFont="1"/>
    <xf numFmtId="167" fontId="25" fillId="0" borderId="0" xfId="2" applyNumberFormat="1" applyFont="1"/>
    <xf numFmtId="169" fontId="17" fillId="0" borderId="0" xfId="7" applyNumberFormat="1" applyFont="1"/>
    <xf numFmtId="9" fontId="29" fillId="5" borderId="0" xfId="7" applyNumberFormat="1" applyFont="1" applyFill="1"/>
    <xf numFmtId="0" fontId="17" fillId="2" borderId="0" xfId="7" applyFont="1" applyFill="1"/>
    <xf numFmtId="0" fontId="17" fillId="2" borderId="0" xfId="7" applyFont="1" applyFill="1" applyBorder="1"/>
    <xf numFmtId="0" fontId="18" fillId="2" borderId="0" xfId="7" applyFont="1" applyFill="1" applyBorder="1"/>
    <xf numFmtId="0" fontId="17" fillId="2" borderId="0" xfId="7" applyFont="1" applyFill="1" applyBorder="1" applyAlignment="1">
      <alignment horizontal="center"/>
    </xf>
    <xf numFmtId="0" fontId="18" fillId="2" borderId="0" xfId="1" applyFont="1" applyFill="1" applyBorder="1" applyAlignment="1">
      <alignment horizontal="left"/>
    </xf>
    <xf numFmtId="0" fontId="17" fillId="0" borderId="0" xfId="7" applyFont="1" applyBorder="1"/>
    <xf numFmtId="9" fontId="17" fillId="2" borderId="0" xfId="7" applyNumberFormat="1" applyFont="1" applyFill="1" applyBorder="1"/>
    <xf numFmtId="9" fontId="17" fillId="2" borderId="0" xfId="7" applyNumberFormat="1" applyFont="1" applyFill="1" applyBorder="1" applyAlignment="1">
      <alignment horizontal="center"/>
    </xf>
    <xf numFmtId="166" fontId="18" fillId="2" borderId="0" xfId="7" applyNumberFormat="1" applyFont="1" applyFill="1" applyBorder="1"/>
    <xf numFmtId="166" fontId="17" fillId="2" borderId="0" xfId="7" applyNumberFormat="1" applyFont="1" applyFill="1" applyBorder="1"/>
    <xf numFmtId="9" fontId="18" fillId="2" borderId="0" xfId="7" applyNumberFormat="1" applyFont="1" applyFill="1" applyBorder="1" applyAlignment="1">
      <alignment horizontal="center"/>
    </xf>
    <xf numFmtId="0" fontId="18" fillId="4" borderId="0" xfId="7" applyFont="1" applyFill="1" applyBorder="1" applyAlignment="1">
      <alignment horizontal="right"/>
    </xf>
    <xf numFmtId="0" fontId="30" fillId="0" borderId="0" xfId="10" applyFont="1" applyAlignment="1"/>
    <xf numFmtId="0" fontId="31" fillId="0" borderId="0" xfId="7" applyFont="1"/>
    <xf numFmtId="43" fontId="31" fillId="0" borderId="0" xfId="2" applyFont="1"/>
    <xf numFmtId="43" fontId="31" fillId="0" borderId="0" xfId="2" applyFont="1" applyFill="1"/>
    <xf numFmtId="43" fontId="31" fillId="4" borderId="0" xfId="2" applyFont="1" applyFill="1"/>
    <xf numFmtId="43" fontId="31" fillId="4" borderId="0" xfId="2" applyNumberFormat="1" applyFont="1" applyFill="1"/>
    <xf numFmtId="43" fontId="31" fillId="0" borderId="0" xfId="2" applyNumberFormat="1" applyFont="1"/>
    <xf numFmtId="171" fontId="31" fillId="4" borderId="0" xfId="2" applyNumberFormat="1" applyFont="1" applyFill="1"/>
    <xf numFmtId="171" fontId="31" fillId="0" borderId="0" xfId="2" applyNumberFormat="1" applyFont="1"/>
    <xf numFmtId="43" fontId="31" fillId="13" borderId="0" xfId="2" applyFont="1" applyFill="1"/>
    <xf numFmtId="0" fontId="17" fillId="0" borderId="0" xfId="7" applyFont="1" applyAlignment="1">
      <alignment horizontal="left"/>
    </xf>
    <xf numFmtId="167" fontId="17" fillId="4" borderId="0" xfId="2" applyNumberFormat="1" applyFont="1" applyFill="1"/>
    <xf numFmtId="9" fontId="17" fillId="4" borderId="0" xfId="12" applyFont="1" applyFill="1"/>
    <xf numFmtId="0" fontId="17" fillId="13" borderId="0" xfId="7" applyFont="1" applyFill="1"/>
    <xf numFmtId="0" fontId="32" fillId="0" borderId="0" xfId="7" applyFont="1"/>
    <xf numFmtId="0" fontId="32" fillId="4" borderId="0" xfId="7" applyFont="1" applyFill="1"/>
    <xf numFmtId="43" fontId="17" fillId="13" borderId="0" xfId="7" applyNumberFormat="1" applyFont="1" applyFill="1"/>
    <xf numFmtId="167" fontId="24" fillId="4" borderId="0" xfId="2" applyNumberFormat="1" applyFont="1" applyFill="1"/>
    <xf numFmtId="0" fontId="18" fillId="0" borderId="0" xfId="7" applyFont="1" applyAlignment="1">
      <alignment horizontal="right"/>
    </xf>
    <xf numFmtId="0" fontId="18" fillId="0" borderId="0" xfId="7" applyFont="1" applyFill="1" applyAlignment="1">
      <alignment horizontal="right"/>
    </xf>
    <xf numFmtId="0" fontId="24" fillId="0" borderId="0" xfId="7" applyFont="1" applyAlignment="1">
      <alignment horizontal="right"/>
    </xf>
    <xf numFmtId="0" fontId="24" fillId="4" borderId="0" xfId="7" applyFont="1" applyFill="1" applyAlignment="1">
      <alignment horizontal="right"/>
    </xf>
    <xf numFmtId="0" fontId="24" fillId="0" borderId="0" xfId="7" applyFont="1" applyFill="1" applyAlignment="1">
      <alignment horizontal="right"/>
    </xf>
    <xf numFmtId="0" fontId="24" fillId="13" borderId="0" xfId="7" applyFont="1" applyFill="1" applyAlignment="1">
      <alignment horizontal="right"/>
    </xf>
    <xf numFmtId="0" fontId="18" fillId="5" borderId="0" xfId="7" applyFont="1" applyFill="1" applyBorder="1" applyAlignment="1">
      <alignment horizontal="right"/>
    </xf>
    <xf numFmtId="43" fontId="17" fillId="4" borderId="0" xfId="2" applyFont="1" applyFill="1"/>
    <xf numFmtId="166" fontId="24" fillId="4" borderId="0" xfId="2" applyNumberFormat="1" applyFont="1" applyFill="1"/>
    <xf numFmtId="43" fontId="18" fillId="13" borderId="0" xfId="7" applyNumberFormat="1" applyFont="1" applyFill="1"/>
    <xf numFmtId="43" fontId="17" fillId="0" borderId="0" xfId="2" applyFont="1" applyAlignment="1">
      <alignment horizontal="right"/>
    </xf>
    <xf numFmtId="43" fontId="17" fillId="0" borderId="0" xfId="2" applyFont="1" applyFill="1"/>
    <xf numFmtId="43" fontId="17" fillId="13" borderId="0" xfId="2" applyFont="1" applyFill="1"/>
    <xf numFmtId="167" fontId="17" fillId="13" borderId="0" xfId="2" applyNumberFormat="1" applyFont="1" applyFill="1"/>
    <xf numFmtId="0" fontId="33" fillId="0" borderId="0" xfId="7" applyFont="1" applyAlignment="1">
      <alignment vertical="top"/>
    </xf>
    <xf numFmtId="169" fontId="33" fillId="0" borderId="0" xfId="12" applyNumberFormat="1" applyFont="1" applyAlignment="1">
      <alignment vertical="top"/>
    </xf>
    <xf numFmtId="169" fontId="33" fillId="4" borderId="0" xfId="12" applyNumberFormat="1" applyFont="1" applyFill="1" applyAlignment="1">
      <alignment vertical="top"/>
    </xf>
    <xf numFmtId="167" fontId="33" fillId="0" borderId="0" xfId="12" applyNumberFormat="1" applyFont="1" applyAlignment="1">
      <alignment vertical="top"/>
    </xf>
    <xf numFmtId="9" fontId="33" fillId="13" borderId="0" xfId="12" applyFont="1" applyFill="1" applyAlignment="1">
      <alignment vertical="top"/>
    </xf>
    <xf numFmtId="43" fontId="18" fillId="0" borderId="0" xfId="2" applyFont="1"/>
    <xf numFmtId="43" fontId="18" fillId="0" borderId="0" xfId="2" applyFont="1" applyFill="1"/>
    <xf numFmtId="43" fontId="25" fillId="0" borderId="0" xfId="2" applyFont="1"/>
    <xf numFmtId="43" fontId="25" fillId="4" borderId="0" xfId="2" applyFont="1" applyFill="1"/>
    <xf numFmtId="167" fontId="24" fillId="0" borderId="0" xfId="2" applyNumberFormat="1" applyFont="1"/>
    <xf numFmtId="171" fontId="18" fillId="4" borderId="0" xfId="2" applyNumberFormat="1" applyFont="1" applyFill="1"/>
    <xf numFmtId="43" fontId="18" fillId="4" borderId="0" xfId="2" applyNumberFormat="1" applyFont="1" applyFill="1"/>
    <xf numFmtId="166" fontId="27" fillId="4" borderId="0" xfId="2" applyNumberFormat="1" applyFont="1" applyFill="1"/>
    <xf numFmtId="167" fontId="24" fillId="13" borderId="0" xfId="2" applyNumberFormat="1" applyFont="1" applyFill="1"/>
    <xf numFmtId="43" fontId="17" fillId="0" borderId="0" xfId="2" applyFont="1" applyAlignment="1">
      <alignment horizontal="left"/>
    </xf>
    <xf numFmtId="43" fontId="17" fillId="0" borderId="0" xfId="2" applyFont="1" applyFill="1" applyAlignment="1">
      <alignment horizontal="left"/>
    </xf>
    <xf numFmtId="43" fontId="17" fillId="4" borderId="0" xfId="2" applyFont="1" applyFill="1" applyAlignment="1">
      <alignment horizontal="left"/>
    </xf>
    <xf numFmtId="167" fontId="17" fillId="4" borderId="0" xfId="2" applyNumberFormat="1" applyFont="1" applyFill="1" applyAlignment="1">
      <alignment horizontal="left"/>
    </xf>
    <xf numFmtId="167" fontId="17" fillId="0" borderId="0" xfId="2" applyNumberFormat="1" applyFont="1" applyAlignment="1">
      <alignment horizontal="left"/>
    </xf>
    <xf numFmtId="43" fontId="17" fillId="13" borderId="0" xfId="2" applyFont="1" applyFill="1" applyAlignment="1">
      <alignment horizontal="left"/>
    </xf>
    <xf numFmtId="0" fontId="34" fillId="0" borderId="0" xfId="7" applyFont="1"/>
    <xf numFmtId="43" fontId="18" fillId="13" borderId="0" xfId="2" applyFont="1" applyFill="1"/>
    <xf numFmtId="167" fontId="17" fillId="13" borderId="0" xfId="2" applyNumberFormat="1" applyFont="1" applyFill="1" applyAlignment="1">
      <alignment horizontal="left"/>
    </xf>
    <xf numFmtId="0" fontId="26" fillId="0" borderId="0" xfId="7" applyFont="1" applyAlignment="1">
      <alignment horizontal="left" indent="2"/>
    </xf>
    <xf numFmtId="43" fontId="17" fillId="3" borderId="0" xfId="2" applyFont="1" applyFill="1" applyAlignment="1">
      <alignment horizontal="left"/>
    </xf>
    <xf numFmtId="167" fontId="18" fillId="3" borderId="0" xfId="2" applyNumberFormat="1" applyFont="1" applyFill="1"/>
    <xf numFmtId="43" fontId="18" fillId="0" borderId="0" xfId="2" applyFont="1" applyAlignment="1">
      <alignment horizontal="left"/>
    </xf>
    <xf numFmtId="43" fontId="18" fillId="0" borderId="0" xfId="2" applyFont="1" applyFill="1" applyAlignment="1">
      <alignment horizontal="left"/>
    </xf>
    <xf numFmtId="43" fontId="18" fillId="4" borderId="0" xfId="2" applyFont="1" applyFill="1" applyAlignment="1">
      <alignment horizontal="left"/>
    </xf>
    <xf numFmtId="167" fontId="18" fillId="0" borderId="0" xfId="2" applyNumberFormat="1" applyFont="1" applyAlignment="1">
      <alignment horizontal="left"/>
    </xf>
    <xf numFmtId="171" fontId="18" fillId="0" borderId="0" xfId="2" applyNumberFormat="1" applyFont="1" applyAlignment="1">
      <alignment horizontal="left"/>
    </xf>
    <xf numFmtId="43" fontId="18" fillId="13" borderId="0" xfId="2" applyFont="1" applyFill="1" applyAlignment="1">
      <alignment horizontal="left"/>
    </xf>
    <xf numFmtId="9" fontId="17" fillId="4" borderId="0" xfId="12" applyFont="1" applyFill="1" applyAlignment="1">
      <alignment horizontal="left"/>
    </xf>
    <xf numFmtId="166" fontId="17" fillId="4" borderId="0" xfId="2" applyNumberFormat="1" applyFont="1" applyFill="1" applyAlignment="1">
      <alignment horizontal="left"/>
    </xf>
    <xf numFmtId="171" fontId="31" fillId="13" borderId="0" xfId="2" applyNumberFormat="1" applyFont="1" applyFill="1"/>
    <xf numFmtId="171" fontId="17" fillId="0" borderId="0" xfId="7" applyNumberFormat="1" applyFont="1"/>
    <xf numFmtId="43" fontId="22" fillId="0" borderId="0" xfId="2" applyFont="1"/>
    <xf numFmtId="43" fontId="22" fillId="4" borderId="0" xfId="2" applyFont="1" applyFill="1"/>
    <xf numFmtId="43" fontId="22" fillId="0" borderId="0" xfId="2" applyNumberFormat="1" applyFont="1"/>
    <xf numFmtId="43" fontId="17" fillId="4" borderId="0" xfId="2" applyNumberFormat="1" applyFont="1" applyFill="1"/>
    <xf numFmtId="43" fontId="25" fillId="13" borderId="0" xfId="2" applyFont="1" applyFill="1"/>
    <xf numFmtId="0" fontId="18" fillId="7" borderId="0" xfId="7" applyFont="1" applyFill="1"/>
    <xf numFmtId="43" fontId="18" fillId="7" borderId="0" xfId="2" applyFont="1" applyFill="1"/>
    <xf numFmtId="43" fontId="25" fillId="7" borderId="0" xfId="2" applyFont="1" applyFill="1"/>
    <xf numFmtId="43" fontId="22" fillId="7" borderId="0" xfId="2" applyFont="1" applyFill="1"/>
    <xf numFmtId="43" fontId="22" fillId="13" borderId="0" xfId="2" applyFont="1" applyFill="1"/>
    <xf numFmtId="0" fontId="18" fillId="0" borderId="0" xfId="7" applyFont="1" applyFill="1"/>
    <xf numFmtId="167" fontId="22" fillId="4" borderId="0" xfId="2" applyNumberFormat="1" applyFont="1" applyFill="1"/>
    <xf numFmtId="167" fontId="22" fillId="4" borderId="0" xfId="12" applyNumberFormat="1" applyFont="1" applyFill="1"/>
    <xf numFmtId="9" fontId="22" fillId="0" borderId="0" xfId="12" applyFont="1"/>
    <xf numFmtId="43" fontId="22" fillId="0" borderId="0" xfId="12" applyNumberFormat="1" applyFont="1"/>
    <xf numFmtId="9" fontId="22" fillId="13" borderId="0" xfId="12" applyFont="1" applyFill="1"/>
    <xf numFmtId="172" fontId="25" fillId="4" borderId="0" xfId="2" applyNumberFormat="1" applyFont="1" applyFill="1"/>
    <xf numFmtId="0" fontId="35" fillId="9" borderId="0" xfId="7" applyFont="1" applyFill="1"/>
    <xf numFmtId="43" fontId="35" fillId="9" borderId="0" xfId="2" applyFont="1" applyFill="1"/>
    <xf numFmtId="43" fontId="35" fillId="4" borderId="0" xfId="2" applyFont="1" applyFill="1"/>
    <xf numFmtId="170" fontId="35" fillId="9" borderId="0" xfId="7" applyNumberFormat="1" applyFont="1" applyFill="1"/>
    <xf numFmtId="171" fontId="35" fillId="9" borderId="0" xfId="7" applyNumberFormat="1" applyFont="1" applyFill="1"/>
    <xf numFmtId="0" fontId="35" fillId="13" borderId="0" xfId="7" applyFont="1" applyFill="1"/>
    <xf numFmtId="0" fontId="35" fillId="0" borderId="0" xfId="7" applyFont="1" applyFill="1"/>
    <xf numFmtId="9" fontId="17" fillId="0" borderId="0" xfId="2" applyNumberFormat="1" applyFont="1"/>
    <xf numFmtId="9" fontId="22" fillId="0" borderId="0" xfId="2" applyNumberFormat="1" applyFont="1"/>
    <xf numFmtId="9" fontId="17" fillId="0" borderId="0" xfId="2" applyNumberFormat="1" applyFont="1" applyFill="1"/>
    <xf numFmtId="9" fontId="22" fillId="4" borderId="0" xfId="2" applyNumberFormat="1" applyFont="1" applyFill="1"/>
    <xf numFmtId="9" fontId="17" fillId="4" borderId="0" xfId="2" applyNumberFormat="1" applyFont="1" applyFill="1"/>
    <xf numFmtId="169" fontId="17" fillId="4" borderId="0" xfId="2" applyNumberFormat="1" applyFont="1" applyFill="1"/>
    <xf numFmtId="169" fontId="22" fillId="0" borderId="0" xfId="2" applyNumberFormat="1" applyFont="1"/>
    <xf numFmtId="169" fontId="22" fillId="4" borderId="0" xfId="2" applyNumberFormat="1" applyFont="1" applyFill="1"/>
    <xf numFmtId="9" fontId="22" fillId="13" borderId="0" xfId="2" applyNumberFormat="1" applyFont="1" applyFill="1"/>
    <xf numFmtId="9" fontId="33" fillId="0" borderId="0" xfId="12" applyFont="1"/>
    <xf numFmtId="9" fontId="33" fillId="0" borderId="0" xfId="12" applyFont="1" applyFill="1"/>
    <xf numFmtId="9" fontId="33" fillId="4" borderId="0" xfId="12" applyFont="1" applyFill="1"/>
    <xf numFmtId="9" fontId="33" fillId="13" borderId="0" xfId="12" applyFont="1" applyFill="1"/>
    <xf numFmtId="0" fontId="36" fillId="0" borderId="0" xfId="7" applyFont="1"/>
    <xf numFmtId="43" fontId="36" fillId="0" borderId="0" xfId="2" applyFont="1"/>
    <xf numFmtId="43" fontId="36" fillId="0" borderId="0" xfId="2" applyNumberFormat="1" applyFont="1"/>
    <xf numFmtId="43" fontId="36" fillId="0" borderId="0" xfId="2" applyNumberFormat="1" applyFont="1" applyFill="1"/>
    <xf numFmtId="43" fontId="36" fillId="4" borderId="0" xfId="2" applyNumberFormat="1" applyFont="1" applyFill="1"/>
    <xf numFmtId="43" fontId="36" fillId="0" borderId="0" xfId="7" applyNumberFormat="1" applyFont="1"/>
    <xf numFmtId="43" fontId="36" fillId="4" borderId="0" xfId="7" applyNumberFormat="1" applyFont="1" applyFill="1"/>
    <xf numFmtId="43" fontId="36" fillId="13" borderId="0" xfId="7" applyNumberFormat="1" applyFont="1" applyFill="1"/>
    <xf numFmtId="43" fontId="22" fillId="4" borderId="0" xfId="2" applyNumberFormat="1" applyFont="1" applyFill="1"/>
    <xf numFmtId="172" fontId="22" fillId="0" borderId="0" xfId="2" applyNumberFormat="1" applyFont="1"/>
    <xf numFmtId="2" fontId="17" fillId="4" borderId="0" xfId="7" applyNumberFormat="1" applyFont="1" applyFill="1"/>
    <xf numFmtId="180" fontId="17" fillId="0" borderId="0" xfId="7" applyNumberFormat="1" applyFont="1"/>
    <xf numFmtId="2" fontId="17" fillId="13" borderId="0" xfId="7" applyNumberFormat="1" applyFont="1" applyFill="1"/>
    <xf numFmtId="9" fontId="37" fillId="0" borderId="0" xfId="12" applyFont="1"/>
    <xf numFmtId="9" fontId="37" fillId="0" borderId="0" xfId="12" applyFont="1" applyFill="1"/>
    <xf numFmtId="9" fontId="37" fillId="4" borderId="0" xfId="12" applyFont="1" applyFill="1"/>
    <xf numFmtId="9" fontId="38" fillId="0" borderId="0" xfId="12" applyFont="1"/>
    <xf numFmtId="169" fontId="37" fillId="4" borderId="0" xfId="12" applyNumberFormat="1" applyFont="1" applyFill="1"/>
    <xf numFmtId="169" fontId="17" fillId="4" borderId="0" xfId="12" applyNumberFormat="1" applyFont="1" applyFill="1"/>
    <xf numFmtId="9" fontId="37" fillId="13" borderId="0" xfId="12" applyFont="1" applyFill="1"/>
    <xf numFmtId="10" fontId="17" fillId="4" borderId="0" xfId="12" applyNumberFormat="1" applyFont="1" applyFill="1"/>
    <xf numFmtId="0" fontId="18" fillId="4" borderId="0" xfId="7" applyFont="1" applyFill="1"/>
    <xf numFmtId="169" fontId="17" fillId="4" borderId="0" xfId="12" applyNumberFormat="1" applyFont="1" applyFill="1" applyAlignment="1">
      <alignment horizontal="right"/>
    </xf>
    <xf numFmtId="169" fontId="17" fillId="13" borderId="0" xfId="12" applyNumberFormat="1" applyFont="1" applyFill="1" applyAlignment="1">
      <alignment horizontal="right"/>
    </xf>
    <xf numFmtId="169" fontId="34" fillId="4" borderId="0" xfId="12" applyNumberFormat="1" applyFont="1" applyFill="1" applyAlignment="1">
      <alignment horizontal="right"/>
    </xf>
    <xf numFmtId="169" fontId="34" fillId="13" borderId="0" xfId="12" applyNumberFormat="1" applyFont="1" applyFill="1" applyAlignment="1">
      <alignment horizontal="right"/>
    </xf>
    <xf numFmtId="0" fontId="34" fillId="0" borderId="0" xfId="7" applyFont="1" applyFill="1"/>
    <xf numFmtId="169" fontId="18" fillId="4" borderId="0" xfId="12" applyNumberFormat="1" applyFont="1" applyFill="1" applyAlignment="1">
      <alignment horizontal="right"/>
    </xf>
    <xf numFmtId="169" fontId="18" fillId="13" borderId="0" xfId="12" applyNumberFormat="1" applyFont="1" applyFill="1" applyAlignment="1">
      <alignment horizontal="right"/>
    </xf>
    <xf numFmtId="0" fontId="26" fillId="4" borderId="0" xfId="7" applyFont="1" applyFill="1" applyAlignment="1">
      <alignment horizontal="left" indent="2"/>
    </xf>
    <xf numFmtId="0" fontId="30" fillId="4" borderId="0" xfId="7" applyFont="1" applyFill="1" applyAlignment="1">
      <alignment horizontal="left" indent="2"/>
    </xf>
    <xf numFmtId="169" fontId="39" fillId="4" borderId="0" xfId="12" applyNumberFormat="1" applyFont="1" applyFill="1" applyAlignment="1">
      <alignment horizontal="right"/>
    </xf>
    <xf numFmtId="169" fontId="39" fillId="13" borderId="0" xfId="12" applyNumberFormat="1" applyFont="1" applyFill="1" applyAlignment="1">
      <alignment horizontal="right"/>
    </xf>
    <xf numFmtId="0" fontId="39" fillId="0" borderId="0" xfId="7" applyFont="1" applyFill="1"/>
    <xf numFmtId="43" fontId="22" fillId="4" borderId="0" xfId="2" applyFont="1" applyFill="1" applyBorder="1"/>
    <xf numFmtId="0" fontId="17" fillId="0" borderId="4" xfId="7" applyFont="1" applyBorder="1"/>
    <xf numFmtId="43" fontId="17" fillId="0" borderId="4" xfId="2" applyFont="1" applyBorder="1"/>
    <xf numFmtId="43" fontId="17" fillId="0" borderId="4" xfId="2" applyFont="1" applyFill="1" applyBorder="1"/>
    <xf numFmtId="43" fontId="22" fillId="0" borderId="4" xfId="2" applyFont="1" applyBorder="1"/>
    <xf numFmtId="43" fontId="22" fillId="4" borderId="4" xfId="2" applyFont="1" applyFill="1" applyBorder="1"/>
    <xf numFmtId="43" fontId="17" fillId="4" borderId="4" xfId="2" applyFont="1" applyFill="1" applyBorder="1"/>
    <xf numFmtId="172" fontId="22" fillId="0" borderId="4" xfId="2" applyNumberFormat="1" applyFont="1" applyBorder="1"/>
    <xf numFmtId="43" fontId="22" fillId="13" borderId="4" xfId="2" applyFont="1" applyFill="1" applyBorder="1"/>
    <xf numFmtId="43" fontId="22" fillId="0" borderId="0" xfId="2" applyFont="1" applyBorder="1"/>
    <xf numFmtId="43" fontId="17" fillId="0" borderId="0" xfId="2" applyFont="1" applyBorder="1"/>
    <xf numFmtId="43" fontId="17" fillId="0" borderId="0" xfId="2" applyFont="1" applyFill="1" applyBorder="1"/>
    <xf numFmtId="43" fontId="17" fillId="4" borderId="0" xfId="2" applyFont="1" applyFill="1" applyBorder="1"/>
    <xf numFmtId="172" fontId="22" fillId="0" borderId="0" xfId="2" applyNumberFormat="1" applyFont="1" applyBorder="1"/>
    <xf numFmtId="43" fontId="22" fillId="13" borderId="0" xfId="2" applyFont="1" applyFill="1" applyBorder="1"/>
    <xf numFmtId="43" fontId="17" fillId="0" borderId="2" xfId="2" applyFont="1" applyBorder="1"/>
    <xf numFmtId="43" fontId="17" fillId="0" borderId="2" xfId="2" applyFont="1" applyFill="1" applyBorder="1"/>
    <xf numFmtId="43" fontId="22" fillId="0" borderId="2" xfId="2" applyFont="1" applyBorder="1"/>
    <xf numFmtId="43" fontId="22" fillId="4" borderId="2" xfId="2" applyFont="1" applyFill="1" applyBorder="1"/>
    <xf numFmtId="43" fontId="17" fillId="4" borderId="2" xfId="2" applyFont="1" applyFill="1" applyBorder="1"/>
    <xf numFmtId="43" fontId="22" fillId="13" borderId="2" xfId="2" applyFont="1" applyFill="1" applyBorder="1"/>
    <xf numFmtId="171" fontId="17" fillId="4" borderId="0" xfId="7" applyNumberFormat="1" applyFont="1" applyFill="1"/>
    <xf numFmtId="171" fontId="17" fillId="13" borderId="0" xfId="7" applyNumberFormat="1" applyFont="1" applyFill="1"/>
    <xf numFmtId="0" fontId="17" fillId="6" borderId="0" xfId="7" applyFont="1" applyFill="1" applyAlignment="1">
      <alignment horizontal="right"/>
    </xf>
    <xf numFmtId="43" fontId="17" fillId="6" borderId="0" xfId="2" applyFont="1" applyFill="1"/>
    <xf numFmtId="9" fontId="17" fillId="0" borderId="0" xfId="12" applyFont="1" applyAlignment="1">
      <alignment horizontal="left"/>
    </xf>
    <xf numFmtId="9" fontId="17" fillId="6" borderId="0" xfId="12" applyFont="1" applyFill="1" applyAlignment="1">
      <alignment horizontal="right"/>
    </xf>
    <xf numFmtId="43" fontId="17" fillId="5" borderId="0" xfId="7" applyNumberFormat="1" applyFont="1" applyFill="1"/>
    <xf numFmtId="43" fontId="22" fillId="0" borderId="0" xfId="2" applyFont="1" applyAlignment="1">
      <alignment horizontal="left"/>
    </xf>
    <xf numFmtId="0" fontId="18" fillId="0" borderId="2" xfId="7" applyFont="1" applyBorder="1"/>
    <xf numFmtId="43" fontId="24" fillId="0" borderId="0" xfId="2" applyFont="1" applyAlignment="1">
      <alignment horizontal="right"/>
    </xf>
    <xf numFmtId="43" fontId="18" fillId="0" borderId="0" xfId="2" applyFont="1" applyFill="1" applyAlignment="1">
      <alignment horizontal="right"/>
    </xf>
    <xf numFmtId="0" fontId="24" fillId="5" borderId="0" xfId="7" applyFont="1" applyFill="1" applyAlignment="1">
      <alignment horizontal="right"/>
    </xf>
    <xf numFmtId="167" fontId="17" fillId="0" borderId="0" xfId="7" applyNumberFormat="1" applyFont="1" applyAlignment="1">
      <alignment horizontal="right"/>
    </xf>
    <xf numFmtId="43" fontId="17" fillId="0" borderId="0" xfId="7" applyNumberFormat="1" applyFont="1" applyFill="1" applyAlignment="1">
      <alignment horizontal="right"/>
    </xf>
    <xf numFmtId="43" fontId="17" fillId="5" borderId="0" xfId="2" applyFont="1" applyFill="1" applyAlignment="1">
      <alignment horizontal="left"/>
    </xf>
    <xf numFmtId="43" fontId="22" fillId="0" borderId="0" xfId="2" applyFont="1" applyFill="1" applyAlignment="1">
      <alignment horizontal="left"/>
    </xf>
    <xf numFmtId="43" fontId="22" fillId="5" borderId="0" xfId="2" applyFont="1" applyFill="1" applyAlignment="1">
      <alignment horizontal="left"/>
    </xf>
    <xf numFmtId="0" fontId="17" fillId="0" borderId="0" xfId="7" applyFont="1" applyAlignment="1">
      <alignment horizontal="left" indent="1"/>
    </xf>
    <xf numFmtId="43" fontId="17" fillId="0" borderId="0" xfId="2" applyNumberFormat="1" applyFont="1" applyFill="1" applyAlignment="1">
      <alignment horizontal="left"/>
    </xf>
    <xf numFmtId="43" fontId="17" fillId="0" borderId="0" xfId="2" applyFont="1" applyFill="1" applyAlignment="1">
      <alignment horizontal="right"/>
    </xf>
    <xf numFmtId="171" fontId="17" fillId="0" borderId="0" xfId="2" applyNumberFormat="1" applyFont="1" applyFill="1" applyAlignment="1">
      <alignment horizontal="right"/>
    </xf>
    <xf numFmtId="43" fontId="22" fillId="0" borderId="0" xfId="2" applyFont="1" applyFill="1" applyAlignment="1">
      <alignment horizontal="right"/>
    </xf>
    <xf numFmtId="43" fontId="22" fillId="5" borderId="0" xfId="2" applyFont="1" applyFill="1" applyAlignment="1">
      <alignment horizontal="right"/>
    </xf>
    <xf numFmtId="2" fontId="17" fillId="0" borderId="0" xfId="7" applyNumberFormat="1" applyFont="1" applyFill="1"/>
    <xf numFmtId="2" fontId="17" fillId="5" borderId="0" xfId="7" applyNumberFormat="1" applyFont="1" applyFill="1"/>
    <xf numFmtId="43" fontId="22" fillId="0" borderId="0" xfId="2" applyFont="1" applyAlignment="1">
      <alignment horizontal="right"/>
    </xf>
    <xf numFmtId="43" fontId="17" fillId="5" borderId="0" xfId="2" applyFont="1" applyFill="1" applyAlignment="1">
      <alignment horizontal="right"/>
    </xf>
    <xf numFmtId="43" fontId="35" fillId="0" borderId="0" xfId="2" applyFont="1" applyFill="1" applyAlignment="1">
      <alignment horizontal="right"/>
    </xf>
    <xf numFmtId="43" fontId="35" fillId="5" borderId="0" xfId="2" applyFont="1" applyFill="1" applyAlignment="1">
      <alignment horizontal="right"/>
    </xf>
    <xf numFmtId="43" fontId="22" fillId="4" borderId="0" xfId="2" applyFont="1" applyFill="1" applyAlignment="1">
      <alignment horizontal="right"/>
    </xf>
    <xf numFmtId="43" fontId="17" fillId="0" borderId="0" xfId="2" applyNumberFormat="1" applyFont="1" applyFill="1" applyAlignment="1">
      <alignment horizontal="right"/>
    </xf>
    <xf numFmtId="167" fontId="22" fillId="0" borderId="0" xfId="2" applyNumberFormat="1" applyFont="1" applyFill="1" applyAlignment="1">
      <alignment horizontal="right"/>
    </xf>
    <xf numFmtId="167" fontId="22" fillId="5" borderId="0" xfId="2" applyNumberFormat="1" applyFont="1" applyFill="1" applyAlignment="1">
      <alignment horizontal="right"/>
    </xf>
    <xf numFmtId="171" fontId="17" fillId="0" borderId="0" xfId="2" applyNumberFormat="1" applyFont="1" applyFill="1" applyBorder="1"/>
    <xf numFmtId="43" fontId="17" fillId="5" borderId="0" xfId="2" applyFont="1" applyFill="1" applyBorder="1"/>
    <xf numFmtId="0" fontId="17" fillId="0" borderId="0" xfId="7" applyFont="1" applyAlignment="1">
      <alignment horizontal="center"/>
    </xf>
    <xf numFmtId="10" fontId="17" fillId="0" borderId="0" xfId="7" applyNumberFormat="1" applyFont="1" applyFill="1"/>
    <xf numFmtId="10" fontId="17" fillId="0" borderId="0" xfId="12" applyNumberFormat="1" applyFont="1" applyFill="1"/>
    <xf numFmtId="10" fontId="17" fillId="5" borderId="0" xfId="12" applyNumberFormat="1" applyFont="1" applyFill="1"/>
    <xf numFmtId="0" fontId="40" fillId="0" borderId="0" xfId="7" applyFont="1"/>
    <xf numFmtId="3" fontId="17" fillId="0" borderId="0" xfId="7" applyNumberFormat="1" applyFont="1"/>
    <xf numFmtId="171" fontId="18" fillId="0" borderId="0" xfId="2" applyNumberFormat="1" applyFont="1" applyFill="1"/>
    <xf numFmtId="167" fontId="18" fillId="5" borderId="0" xfId="2" applyNumberFormat="1" applyFont="1" applyFill="1"/>
    <xf numFmtId="0" fontId="41" fillId="4" borderId="0" xfId="10" applyFont="1" applyFill="1"/>
    <xf numFmtId="0" fontId="18" fillId="0" borderId="0" xfId="7" applyFont="1" applyBorder="1"/>
    <xf numFmtId="43" fontId="17" fillId="0" borderId="0" xfId="7" applyNumberFormat="1" applyFont="1" applyBorder="1"/>
    <xf numFmtId="0" fontId="17" fillId="0" borderId="0" xfId="7" applyFont="1" applyFill="1" applyBorder="1"/>
    <xf numFmtId="0" fontId="17" fillId="4" borderId="0" xfId="7" applyFont="1" applyFill="1" applyBorder="1"/>
    <xf numFmtId="0" fontId="17" fillId="5" borderId="0" xfId="7" applyFont="1" applyFill="1" applyBorder="1"/>
    <xf numFmtId="169" fontId="17" fillId="0" borderId="0" xfId="7" applyNumberFormat="1" applyFont="1" applyBorder="1"/>
    <xf numFmtId="169" fontId="17" fillId="0" borderId="0" xfId="7" applyNumberFormat="1" applyFont="1" applyFill="1"/>
    <xf numFmtId="169" fontId="17" fillId="4" borderId="0" xfId="7" applyNumberFormat="1" applyFont="1" applyFill="1"/>
    <xf numFmtId="169" fontId="17" fillId="5" borderId="0" xfId="7" applyNumberFormat="1" applyFont="1" applyFill="1"/>
    <xf numFmtId="9" fontId="17" fillId="0" borderId="0" xfId="7" applyNumberFormat="1" applyFont="1" applyFill="1" applyBorder="1"/>
    <xf numFmtId="9" fontId="17" fillId="5" borderId="0" xfId="7" applyNumberFormat="1" applyFont="1" applyFill="1" applyBorder="1"/>
    <xf numFmtId="170" fontId="17" fillId="0" borderId="0" xfId="7" applyNumberFormat="1" applyFont="1" applyBorder="1"/>
    <xf numFmtId="170" fontId="17" fillId="0" borderId="0" xfId="7" applyNumberFormat="1" applyFont="1" applyFill="1" applyBorder="1"/>
    <xf numFmtId="170" fontId="17" fillId="4" borderId="0" xfId="7" applyNumberFormat="1" applyFont="1" applyFill="1" applyBorder="1"/>
    <xf numFmtId="2" fontId="17" fillId="0" borderId="0" xfId="7" applyNumberFormat="1" applyFont="1" applyFill="1" applyBorder="1"/>
    <xf numFmtId="170" fontId="17" fillId="5" borderId="0" xfId="7" applyNumberFormat="1" applyFont="1" applyFill="1" applyBorder="1"/>
    <xf numFmtId="0" fontId="27" fillId="0" borderId="0" xfId="7" applyFont="1"/>
    <xf numFmtId="0" fontId="18" fillId="0" borderId="0" xfId="7" applyFont="1" applyAlignment="1">
      <alignment horizontal="left"/>
    </xf>
    <xf numFmtId="0" fontId="18" fillId="4" borderId="0" xfId="7" applyFont="1" applyFill="1" applyAlignment="1">
      <alignment horizontal="right"/>
    </xf>
    <xf numFmtId="167" fontId="22" fillId="0" borderId="0" xfId="2" applyNumberFormat="1" applyFont="1"/>
    <xf numFmtId="167" fontId="35" fillId="4" borderId="0" xfId="2" applyNumberFormat="1" applyFont="1" applyFill="1"/>
    <xf numFmtId="0" fontId="24" fillId="0" borderId="0" xfId="7" applyFont="1" applyFill="1"/>
    <xf numFmtId="0" fontId="24" fillId="0" borderId="0" xfId="7" applyFont="1" applyAlignment="1">
      <alignment horizontal="left"/>
    </xf>
    <xf numFmtId="9" fontId="24" fillId="0" borderId="0" xfId="12" applyNumberFormat="1" applyFont="1"/>
    <xf numFmtId="9" fontId="24" fillId="0" borderId="0" xfId="12" applyNumberFormat="1" applyFont="1" applyFill="1"/>
    <xf numFmtId="9" fontId="24" fillId="4" borderId="0" xfId="12" applyNumberFormat="1" applyFont="1" applyFill="1"/>
    <xf numFmtId="169" fontId="24" fillId="4" borderId="0" xfId="12" applyNumberFormat="1" applyFont="1" applyFill="1"/>
    <xf numFmtId="9" fontId="18" fillId="0" borderId="0" xfId="12" applyFont="1" applyFill="1"/>
    <xf numFmtId="10" fontId="18" fillId="0" borderId="0" xfId="12" applyNumberFormat="1" applyFont="1" applyFill="1"/>
    <xf numFmtId="10" fontId="18" fillId="5" borderId="0" xfId="12" applyNumberFormat="1" applyFont="1" applyFill="1"/>
    <xf numFmtId="0" fontId="24" fillId="0" borderId="0" xfId="7" applyFont="1"/>
    <xf numFmtId="10" fontId="24" fillId="0" borderId="0" xfId="12" applyNumberFormat="1" applyFont="1" applyAlignment="1">
      <alignment horizontal="left"/>
    </xf>
    <xf numFmtId="10" fontId="35" fillId="0" borderId="0" xfId="12" applyNumberFormat="1" applyFont="1" applyFill="1"/>
    <xf numFmtId="10" fontId="35" fillId="5" borderId="0" xfId="12" applyNumberFormat="1" applyFont="1" applyFill="1"/>
    <xf numFmtId="9" fontId="42" fillId="0" borderId="0" xfId="12" applyFont="1"/>
    <xf numFmtId="9" fontId="42" fillId="0" borderId="0" xfId="12" applyFont="1" applyFill="1"/>
    <xf numFmtId="9" fontId="42" fillId="4" borderId="0" xfId="12" applyFont="1" applyFill="1"/>
    <xf numFmtId="0" fontId="17" fillId="4" borderId="0" xfId="12" applyNumberFormat="1" applyFont="1" applyFill="1"/>
    <xf numFmtId="9" fontId="35" fillId="0" borderId="0" xfId="12" applyFont="1" applyFill="1"/>
    <xf numFmtId="9" fontId="35" fillId="5" borderId="0" xfId="12" applyFont="1" applyFill="1"/>
    <xf numFmtId="167" fontId="42" fillId="0" borderId="0" xfId="2" applyNumberFormat="1" applyFont="1"/>
    <xf numFmtId="167" fontId="42" fillId="0" borderId="0" xfId="2" applyNumberFormat="1" applyFont="1" applyFill="1"/>
    <xf numFmtId="167" fontId="42" fillId="4" borderId="0" xfId="2" applyNumberFormat="1" applyFont="1" applyFill="1"/>
    <xf numFmtId="167" fontId="35" fillId="0" borderId="0" xfId="2" applyNumberFormat="1" applyFont="1" applyFill="1"/>
    <xf numFmtId="167" fontId="35" fillId="5" borderId="0" xfId="2" applyNumberFormat="1" applyFont="1" applyFill="1"/>
    <xf numFmtId="174" fontId="17" fillId="4" borderId="0" xfId="12" applyNumberFormat="1" applyFont="1" applyFill="1"/>
    <xf numFmtId="167" fontId="17" fillId="4" borderId="0" xfId="12" applyNumberFormat="1" applyFont="1" applyFill="1"/>
    <xf numFmtId="169" fontId="17" fillId="0" borderId="0" xfId="12" applyNumberFormat="1" applyFont="1" applyFill="1"/>
    <xf numFmtId="9" fontId="17" fillId="4" borderId="0" xfId="12" applyNumberFormat="1" applyFont="1" applyFill="1"/>
    <xf numFmtId="169" fontId="17" fillId="5" borderId="0" xfId="12" applyNumberFormat="1" applyFont="1" applyFill="1"/>
    <xf numFmtId="0" fontId="29" fillId="0" borderId="0" xfId="7" applyFont="1"/>
    <xf numFmtId="0" fontId="29" fillId="0" borderId="0" xfId="7" applyFont="1" applyAlignment="1">
      <alignment horizontal="left"/>
    </xf>
    <xf numFmtId="167" fontId="29" fillId="0" borderId="0" xfId="2" applyNumberFormat="1" applyFont="1"/>
    <xf numFmtId="9" fontId="29" fillId="0" borderId="0" xfId="12" applyFont="1"/>
    <xf numFmtId="167" fontId="29" fillId="4" borderId="0" xfId="2" applyNumberFormat="1" applyFont="1" applyFill="1"/>
    <xf numFmtId="169" fontId="29" fillId="4" borderId="0" xfId="12" applyNumberFormat="1" applyFont="1" applyFill="1"/>
    <xf numFmtId="9" fontId="29" fillId="4" borderId="0" xfId="12" applyFont="1" applyFill="1"/>
    <xf numFmtId="0" fontId="33" fillId="0" borderId="0" xfId="7" applyFont="1"/>
    <xf numFmtId="169" fontId="33" fillId="0" borderId="0" xfId="12" applyNumberFormat="1" applyFont="1" applyFill="1"/>
    <xf numFmtId="169" fontId="33" fillId="4" borderId="0" xfId="12" applyNumberFormat="1" applyFont="1" applyFill="1"/>
    <xf numFmtId="166" fontId="17" fillId="0" borderId="0" xfId="2" applyNumberFormat="1" applyFont="1" applyAlignment="1">
      <alignment horizontal="center"/>
    </xf>
    <xf numFmtId="166" fontId="17" fillId="0" borderId="0" xfId="2" applyNumberFormat="1" applyFont="1" applyFill="1"/>
    <xf numFmtId="166" fontId="17" fillId="4" borderId="0" xfId="2" applyNumberFormat="1" applyFont="1" applyFill="1"/>
    <xf numFmtId="166" fontId="17" fillId="5" borderId="0" xfId="2" applyNumberFormat="1" applyFont="1" applyFill="1"/>
    <xf numFmtId="166" fontId="22" fillId="0" borderId="0" xfId="2" applyNumberFormat="1" applyFont="1" applyFill="1"/>
    <xf numFmtId="43" fontId="17" fillId="0" borderId="0" xfId="2" applyFont="1" applyAlignment="1">
      <alignment horizontal="center"/>
    </xf>
    <xf numFmtId="43" fontId="17" fillId="5" borderId="0" xfId="2" applyFont="1" applyFill="1"/>
    <xf numFmtId="43" fontId="22" fillId="0" borderId="0" xfId="2" applyFont="1" applyFill="1"/>
    <xf numFmtId="43" fontId="30" fillId="0" borderId="0" xfId="2" applyFont="1"/>
    <xf numFmtId="43" fontId="30" fillId="4" borderId="0" xfId="2" applyFont="1" applyFill="1"/>
    <xf numFmtId="43" fontId="30" fillId="5" borderId="0" xfId="2" applyFont="1" applyFill="1"/>
    <xf numFmtId="167" fontId="17" fillId="0" borderId="0" xfId="2" applyNumberFormat="1" applyFont="1" applyAlignment="1">
      <alignment horizontal="center"/>
    </xf>
    <xf numFmtId="167" fontId="22" fillId="0" borderId="0" xfId="2" applyNumberFormat="1" applyFont="1" applyFill="1"/>
    <xf numFmtId="171" fontId="17" fillId="0" borderId="0" xfId="2" applyNumberFormat="1" applyFont="1" applyAlignment="1">
      <alignment horizontal="center"/>
    </xf>
    <xf numFmtId="43" fontId="18" fillId="0" borderId="0" xfId="2" applyFont="1" applyAlignment="1">
      <alignment horizontal="center"/>
    </xf>
    <xf numFmtId="10" fontId="43" fillId="0" borderId="0" xfId="12" applyNumberFormat="1" applyFont="1"/>
    <xf numFmtId="10" fontId="43" fillId="0" borderId="0" xfId="12" applyNumberFormat="1" applyFont="1" applyAlignment="1">
      <alignment horizontal="center"/>
    </xf>
    <xf numFmtId="10" fontId="43" fillId="0" borderId="0" xfId="12" applyNumberFormat="1" applyFont="1" applyFill="1"/>
    <xf numFmtId="10" fontId="43" fillId="4" borderId="0" xfId="12" applyNumberFormat="1" applyFont="1" applyFill="1"/>
    <xf numFmtId="0" fontId="43" fillId="4" borderId="0" xfId="12" applyNumberFormat="1" applyFont="1" applyFill="1"/>
    <xf numFmtId="10" fontId="43" fillId="5" borderId="0" xfId="12" applyNumberFormat="1" applyFont="1" applyFill="1"/>
    <xf numFmtId="171" fontId="17" fillId="0" borderId="0" xfId="2" applyNumberFormat="1" applyFont="1" applyFill="1"/>
    <xf numFmtId="171" fontId="17" fillId="4" borderId="0" xfId="2" applyNumberFormat="1" applyFont="1" applyFill="1"/>
    <xf numFmtId="171" fontId="17" fillId="5" borderId="0" xfId="2" applyNumberFormat="1" applyFont="1" applyFill="1"/>
    <xf numFmtId="171" fontId="22" fillId="0" borderId="0" xfId="2" applyNumberFormat="1" applyFont="1" applyFill="1"/>
    <xf numFmtId="171" fontId="22" fillId="0" borderId="0" xfId="2" applyNumberFormat="1" applyFont="1"/>
    <xf numFmtId="0" fontId="17" fillId="0" borderId="0" xfId="10" applyFont="1"/>
    <xf numFmtId="0" fontId="17" fillId="0" borderId="0" xfId="10" applyFont="1" applyAlignment="1">
      <alignment horizontal="center"/>
    </xf>
    <xf numFmtId="167" fontId="17" fillId="0" borderId="0" xfId="12" applyNumberFormat="1" applyFont="1" applyFill="1"/>
    <xf numFmtId="175" fontId="17" fillId="0" borderId="0" xfId="12" applyNumberFormat="1" applyFont="1" applyFill="1"/>
    <xf numFmtId="43" fontId="42" fillId="0" borderId="0" xfId="2" applyFont="1" applyFill="1"/>
    <xf numFmtId="43" fontId="42" fillId="4" borderId="0" xfId="2" applyFont="1" applyFill="1"/>
    <xf numFmtId="167" fontId="20" fillId="4" borderId="0" xfId="2" applyNumberFormat="1" applyFont="1" applyFill="1"/>
    <xf numFmtId="167" fontId="19" fillId="4" borderId="0" xfId="2" applyNumberFormat="1" applyFont="1" applyFill="1"/>
    <xf numFmtId="10" fontId="43" fillId="0" borderId="0" xfId="12" applyNumberFormat="1" applyFont="1" applyAlignment="1">
      <alignment horizontal="left"/>
    </xf>
    <xf numFmtId="166" fontId="17" fillId="0" borderId="0" xfId="2" applyNumberFormat="1" applyFont="1" applyAlignment="1">
      <alignment horizontal="left"/>
    </xf>
    <xf numFmtId="166" fontId="19" fillId="4" borderId="0" xfId="2" applyNumberFormat="1" applyFont="1" applyFill="1"/>
    <xf numFmtId="166" fontId="17" fillId="13" borderId="0" xfId="2" applyNumberFormat="1" applyFont="1" applyFill="1"/>
    <xf numFmtId="0" fontId="42" fillId="0" borderId="0" xfId="7" applyFont="1"/>
    <xf numFmtId="10" fontId="17" fillId="5" borderId="0" xfId="7" applyNumberFormat="1" applyFont="1" applyFill="1"/>
    <xf numFmtId="43" fontId="17" fillId="4" borderId="0" xfId="7" applyNumberFormat="1" applyFont="1" applyFill="1" applyAlignment="1">
      <alignment horizontal="right"/>
    </xf>
    <xf numFmtId="43" fontId="17" fillId="5" borderId="0" xfId="7" applyNumberFormat="1" applyFont="1" applyFill="1" applyAlignment="1">
      <alignment horizontal="right"/>
    </xf>
    <xf numFmtId="167" fontId="17" fillId="4" borderId="0" xfId="7" applyNumberFormat="1" applyFont="1" applyFill="1"/>
    <xf numFmtId="173" fontId="17" fillId="0" borderId="0" xfId="7" applyNumberFormat="1" applyFont="1"/>
    <xf numFmtId="173" fontId="17" fillId="0" borderId="0" xfId="7" applyNumberFormat="1" applyFont="1" applyFill="1"/>
    <xf numFmtId="173" fontId="17" fillId="4" borderId="0" xfId="7" applyNumberFormat="1" applyFont="1" applyFill="1"/>
    <xf numFmtId="173" fontId="17" fillId="5" borderId="0" xfId="10" applyNumberFormat="1" applyFont="1" applyFill="1"/>
    <xf numFmtId="9" fontId="43" fillId="4" borderId="0" xfId="12" applyFont="1" applyFill="1"/>
    <xf numFmtId="169" fontId="43" fillId="0" borderId="0" xfId="12" applyNumberFormat="1" applyFont="1" applyFill="1"/>
    <xf numFmtId="169" fontId="43" fillId="5" borderId="0" xfId="12" applyNumberFormat="1" applyFont="1" applyFill="1"/>
    <xf numFmtId="9" fontId="43" fillId="0" borderId="0" xfId="12" applyFont="1"/>
    <xf numFmtId="9" fontId="43" fillId="0" borderId="0" xfId="12" applyFont="1" applyFill="1"/>
    <xf numFmtId="9" fontId="43" fillId="5" borderId="0" xfId="12" applyFont="1" applyFill="1"/>
    <xf numFmtId="1" fontId="18" fillId="4" borderId="0" xfId="7" applyNumberFormat="1" applyFont="1" applyFill="1"/>
    <xf numFmtId="1" fontId="17" fillId="4" borderId="0" xfId="7" applyNumberFormat="1" applyFont="1" applyFill="1"/>
    <xf numFmtId="1" fontId="17" fillId="5" borderId="0" xfId="7" applyNumberFormat="1" applyFont="1" applyFill="1"/>
    <xf numFmtId="43" fontId="18" fillId="4" borderId="0" xfId="7" applyNumberFormat="1" applyFont="1" applyFill="1"/>
    <xf numFmtId="43" fontId="18" fillId="0" borderId="0" xfId="7" applyNumberFormat="1" applyFont="1" applyFill="1"/>
    <xf numFmtId="167" fontId="18" fillId="4" borderId="0" xfId="7" applyNumberFormat="1" applyFont="1" applyFill="1"/>
    <xf numFmtId="10" fontId="17" fillId="0" borderId="0" xfId="10" applyNumberFormat="1" applyFont="1" applyAlignment="1">
      <alignment horizontal="left"/>
    </xf>
    <xf numFmtId="169" fontId="43" fillId="0" borderId="0" xfId="12" applyNumberFormat="1" applyFont="1"/>
    <xf numFmtId="174" fontId="17" fillId="0" borderId="0" xfId="12" applyNumberFormat="1" applyFont="1"/>
    <xf numFmtId="174" fontId="17" fillId="0" borderId="0" xfId="12" applyNumberFormat="1" applyFont="1" applyFill="1"/>
    <xf numFmtId="174" fontId="42" fillId="4" borderId="0" xfId="12" applyNumberFormat="1" applyFont="1" applyFill="1"/>
    <xf numFmtId="174" fontId="43" fillId="0" borderId="0" xfId="12" applyNumberFormat="1" applyFont="1"/>
    <xf numFmtId="174" fontId="43" fillId="0" borderId="0" xfId="12" applyNumberFormat="1" applyFont="1" applyFill="1"/>
    <xf numFmtId="174" fontId="43" fillId="5" borderId="0" xfId="12" applyNumberFormat="1" applyFont="1" applyFill="1"/>
    <xf numFmtId="173" fontId="17" fillId="5" borderId="0" xfId="7" applyNumberFormat="1" applyFont="1" applyFill="1"/>
    <xf numFmtId="10" fontId="17" fillId="4" borderId="0" xfId="7" applyNumberFormat="1" applyFont="1" applyFill="1"/>
    <xf numFmtId="9" fontId="17" fillId="0" borderId="0" xfId="7" applyNumberFormat="1" applyFont="1" applyAlignment="1">
      <alignment horizontal="left"/>
    </xf>
    <xf numFmtId="0" fontId="22" fillId="0" borderId="0" xfId="7" applyFont="1"/>
    <xf numFmtId="0" fontId="22" fillId="4" borderId="0" xfId="7" applyFont="1" applyFill="1"/>
    <xf numFmtId="167" fontId="22" fillId="5" borderId="0" xfId="2" applyNumberFormat="1" applyFont="1" applyFill="1"/>
    <xf numFmtId="10" fontId="17" fillId="0" borderId="0" xfId="7" applyNumberFormat="1" applyFont="1" applyAlignment="1">
      <alignment horizontal="left"/>
    </xf>
    <xf numFmtId="167" fontId="22" fillId="13" borderId="0" xfId="2" applyNumberFormat="1" applyFont="1" applyFill="1"/>
    <xf numFmtId="43" fontId="22" fillId="0" borderId="0" xfId="7" applyNumberFormat="1" applyFont="1"/>
    <xf numFmtId="43" fontId="22" fillId="4" borderId="0" xfId="7" applyNumberFormat="1" applyFont="1" applyFill="1"/>
    <xf numFmtId="43" fontId="22" fillId="0" borderId="0" xfId="7" applyNumberFormat="1" applyFont="1" applyFill="1"/>
    <xf numFmtId="43" fontId="22" fillId="5" borderId="0" xfId="7" applyNumberFormat="1" applyFont="1" applyFill="1"/>
    <xf numFmtId="167" fontId="22" fillId="0" borderId="0" xfId="7" applyNumberFormat="1" applyFont="1"/>
    <xf numFmtId="167" fontId="22" fillId="4" borderId="0" xfId="7" applyNumberFormat="1" applyFont="1" applyFill="1"/>
    <xf numFmtId="167" fontId="22" fillId="0" borderId="0" xfId="7" applyNumberFormat="1" applyFont="1" applyFill="1"/>
    <xf numFmtId="167" fontId="22" fillId="5" borderId="0" xfId="7" applyNumberFormat="1" applyFont="1" applyFill="1"/>
    <xf numFmtId="43" fontId="22" fillId="5" borderId="0" xfId="2" applyFont="1" applyFill="1"/>
    <xf numFmtId="0" fontId="22" fillId="0" borderId="0" xfId="7" applyFont="1" applyFill="1"/>
    <xf numFmtId="0" fontId="22" fillId="5" borderId="0" xfId="7" applyFont="1" applyFill="1"/>
    <xf numFmtId="43" fontId="43" fillId="4" borderId="0" xfId="2" applyFont="1" applyFill="1"/>
    <xf numFmtId="43" fontId="17" fillId="4" borderId="0" xfId="12" applyNumberFormat="1" applyFont="1" applyFill="1"/>
    <xf numFmtId="9" fontId="43" fillId="0" borderId="0" xfId="12" applyFont="1" applyAlignment="1">
      <alignment horizontal="left"/>
    </xf>
    <xf numFmtId="167" fontId="17" fillId="0" borderId="0" xfId="10" applyNumberFormat="1" applyFont="1" applyFill="1"/>
    <xf numFmtId="167" fontId="17" fillId="5" borderId="0" xfId="10" applyNumberFormat="1" applyFont="1" applyFill="1"/>
    <xf numFmtId="167" fontId="43" fillId="4" borderId="0" xfId="7" applyNumberFormat="1" applyFont="1" applyFill="1"/>
    <xf numFmtId="0" fontId="44" fillId="0" borderId="0" xfId="7" applyFont="1" applyAlignment="1">
      <alignment horizontal="right"/>
    </xf>
    <xf numFmtId="0" fontId="45" fillId="0" borderId="0" xfId="7" applyFont="1"/>
    <xf numFmtId="43" fontId="45" fillId="0" borderId="0" xfId="7" applyNumberFormat="1" applyFont="1"/>
    <xf numFmtId="43" fontId="45" fillId="4" borderId="0" xfId="7" applyNumberFormat="1" applyFont="1" applyFill="1"/>
    <xf numFmtId="0" fontId="43" fillId="0" borderId="0" xfId="7" applyFont="1"/>
    <xf numFmtId="10" fontId="43" fillId="0" borderId="0" xfId="7" applyNumberFormat="1" applyFont="1" applyFill="1"/>
    <xf numFmtId="10" fontId="43" fillId="4" borderId="0" xfId="7" applyNumberFormat="1" applyFont="1" applyFill="1"/>
    <xf numFmtId="9" fontId="43" fillId="4" borderId="0" xfId="7" applyNumberFormat="1" applyFont="1" applyFill="1"/>
    <xf numFmtId="10" fontId="43" fillId="5" borderId="0" xfId="7" applyNumberFormat="1" applyFont="1" applyFill="1"/>
    <xf numFmtId="10" fontId="35" fillId="0" borderId="0" xfId="12" applyNumberFormat="1" applyFont="1"/>
    <xf numFmtId="10" fontId="35" fillId="4" borderId="0" xfId="12" applyNumberFormat="1" applyFont="1" applyFill="1"/>
    <xf numFmtId="10" fontId="24" fillId="4" borderId="0" xfId="12" applyNumberFormat="1" applyFont="1" applyFill="1"/>
    <xf numFmtId="10" fontId="35" fillId="13" borderId="0" xfId="12" applyNumberFormat="1" applyFont="1" applyFill="1"/>
    <xf numFmtId="43" fontId="18" fillId="5" borderId="0" xfId="2" applyFont="1" applyFill="1"/>
    <xf numFmtId="10" fontId="18" fillId="4" borderId="0" xfId="12" applyNumberFormat="1" applyFont="1" applyFill="1"/>
    <xf numFmtId="0" fontId="17" fillId="0" borderId="0" xfId="11" applyFont="1"/>
    <xf numFmtId="0" fontId="17" fillId="0" borderId="0" xfId="11" applyFont="1" applyAlignment="1">
      <alignment horizontal="center"/>
    </xf>
    <xf numFmtId="43" fontId="17" fillId="0" borderId="0" xfId="10" applyNumberFormat="1" applyFont="1" applyFill="1"/>
    <xf numFmtId="43" fontId="17" fillId="5" borderId="0" xfId="10" applyNumberFormat="1" applyFont="1" applyFill="1"/>
    <xf numFmtId="0" fontId="31" fillId="0" borderId="0" xfId="11" applyFont="1"/>
    <xf numFmtId="0" fontId="31" fillId="0" borderId="0" xfId="11" applyFont="1" applyAlignment="1">
      <alignment horizontal="center"/>
    </xf>
    <xf numFmtId="43" fontId="31" fillId="0" borderId="0" xfId="10" applyNumberFormat="1" applyFont="1" applyFill="1"/>
    <xf numFmtId="43" fontId="31" fillId="5" borderId="0" xfId="10" applyNumberFormat="1" applyFont="1" applyFill="1"/>
    <xf numFmtId="43" fontId="46" fillId="0" borderId="0" xfId="11" applyNumberFormat="1" applyFont="1" applyFill="1"/>
    <xf numFmtId="43" fontId="46" fillId="0" borderId="0" xfId="2" applyFont="1" applyFill="1"/>
    <xf numFmtId="171" fontId="17" fillId="0" borderId="0" xfId="7" applyNumberFormat="1" applyFont="1" applyFill="1"/>
    <xf numFmtId="171" fontId="17" fillId="4" borderId="0" xfId="2" applyNumberFormat="1" applyFont="1" applyFill="1" applyAlignment="1">
      <alignment horizontal="right"/>
    </xf>
    <xf numFmtId="171" fontId="17" fillId="5" borderId="0" xfId="2" applyNumberFormat="1" applyFont="1" applyFill="1" applyAlignment="1">
      <alignment horizontal="right"/>
    </xf>
    <xf numFmtId="43" fontId="17" fillId="4" borderId="0" xfId="2" applyFont="1" applyFill="1" applyAlignment="1">
      <alignment horizontal="right"/>
    </xf>
    <xf numFmtId="0" fontId="26" fillId="0" borderId="0" xfId="7" applyFont="1" applyAlignment="1">
      <alignment horizontal="right"/>
    </xf>
    <xf numFmtId="43" fontId="47" fillId="4" borderId="0" xfId="2" applyFont="1" applyFill="1" applyAlignment="1">
      <alignment horizontal="right"/>
    </xf>
    <xf numFmtId="172" fontId="17" fillId="4" borderId="0" xfId="2" applyNumberFormat="1" applyFont="1" applyFill="1" applyAlignment="1">
      <alignment horizontal="right"/>
    </xf>
    <xf numFmtId="43" fontId="35" fillId="4" borderId="0" xfId="2" applyFont="1" applyFill="1" applyAlignment="1">
      <alignment horizontal="right"/>
    </xf>
    <xf numFmtId="9" fontId="17" fillId="4" borderId="0" xfId="12" applyFont="1" applyFill="1" applyAlignment="1">
      <alignment horizontal="right"/>
    </xf>
    <xf numFmtId="9" fontId="17" fillId="4" borderId="0" xfId="7" applyNumberFormat="1" applyFont="1" applyFill="1"/>
    <xf numFmtId="9" fontId="17" fillId="5" borderId="0" xfId="7" applyNumberFormat="1" applyFont="1" applyFill="1"/>
    <xf numFmtId="43" fontId="42" fillId="4" borderId="0" xfId="2" applyFont="1" applyFill="1" applyAlignment="1">
      <alignment horizontal="right"/>
    </xf>
    <xf numFmtId="168" fontId="17" fillId="0" borderId="0" xfId="7" applyNumberFormat="1" applyFont="1" applyFill="1"/>
    <xf numFmtId="43" fontId="17" fillId="8" borderId="0" xfId="2" applyFont="1" applyFill="1" applyAlignment="1">
      <alignment horizontal="right"/>
    </xf>
    <xf numFmtId="169" fontId="43" fillId="4" borderId="0" xfId="12" applyNumberFormat="1" applyFont="1" applyFill="1"/>
    <xf numFmtId="43" fontId="48" fillId="0" borderId="0" xfId="2" applyFont="1"/>
    <xf numFmtId="43" fontId="48" fillId="0" borderId="0" xfId="2" applyFont="1" applyAlignment="1">
      <alignment horizontal="right"/>
    </xf>
    <xf numFmtId="0" fontId="17" fillId="0" borderId="0" xfId="1" applyFont="1"/>
    <xf numFmtId="0" fontId="17" fillId="5" borderId="0" xfId="1" applyFont="1" applyFill="1"/>
    <xf numFmtId="0" fontId="18" fillId="0" borderId="0" xfId="1" applyFont="1"/>
    <xf numFmtId="0" fontId="18" fillId="5" borderId="0" xfId="1" applyFont="1" applyFill="1"/>
    <xf numFmtId="43" fontId="17" fillId="0" borderId="0" xfId="1" applyNumberFormat="1" applyFont="1"/>
    <xf numFmtId="172" fontId="17" fillId="0" borderId="0" xfId="2" applyNumberFormat="1" applyFont="1"/>
    <xf numFmtId="171" fontId="18" fillId="0" borderId="0" xfId="2" applyNumberFormat="1" applyFont="1"/>
    <xf numFmtId="167" fontId="17" fillId="2" borderId="0" xfId="2" applyNumberFormat="1" applyFont="1" applyFill="1"/>
    <xf numFmtId="43" fontId="17" fillId="2" borderId="0" xfId="2" applyFont="1" applyFill="1"/>
    <xf numFmtId="167" fontId="17" fillId="0" borderId="0" xfId="1" applyNumberFormat="1" applyFont="1"/>
    <xf numFmtId="0" fontId="17" fillId="2" borderId="0" xfId="1" applyFont="1" applyFill="1"/>
    <xf numFmtId="43" fontId="18" fillId="2" borderId="1" xfId="2" applyFont="1" applyFill="1" applyBorder="1" applyAlignment="1">
      <alignment horizontal="right"/>
    </xf>
    <xf numFmtId="43" fontId="23" fillId="10" borderId="1" xfId="2" applyFont="1" applyFill="1" applyBorder="1" applyAlignment="1">
      <alignment horizontal="right"/>
    </xf>
    <xf numFmtId="43" fontId="17" fillId="2" borderId="2" xfId="2" applyFont="1" applyFill="1" applyBorder="1"/>
    <xf numFmtId="172" fontId="18" fillId="0" borderId="0" xfId="2" applyNumberFormat="1" applyFont="1"/>
    <xf numFmtId="0" fontId="17" fillId="3" borderId="0" xfId="7" applyFont="1" applyFill="1" applyAlignment="1">
      <alignment horizontal="left"/>
    </xf>
    <xf numFmtId="171" fontId="22" fillId="0" borderId="0" xfId="7" applyNumberFormat="1" applyFont="1"/>
    <xf numFmtId="177" fontId="22" fillId="0" borderId="0" xfId="2" applyNumberFormat="1" applyFont="1"/>
    <xf numFmtId="0" fontId="17" fillId="3" borderId="0" xfId="7" applyFont="1" applyFill="1"/>
    <xf numFmtId="0" fontId="18" fillId="3" borderId="0" xfId="7" applyFont="1" applyFill="1" applyAlignment="1">
      <alignment horizontal="right"/>
    </xf>
    <xf numFmtId="165" fontId="18" fillId="2" borderId="0" xfId="7" applyNumberFormat="1" applyFont="1" applyFill="1" applyAlignment="1">
      <alignment horizontal="right"/>
    </xf>
    <xf numFmtId="165" fontId="18" fillId="0" borderId="0" xfId="7" applyNumberFormat="1" applyFont="1" applyAlignment="1">
      <alignment horizontal="right"/>
    </xf>
    <xf numFmtId="171" fontId="25" fillId="0" borderId="0" xfId="2" applyNumberFormat="1" applyFont="1" applyAlignment="1">
      <alignment horizontal="right"/>
    </xf>
    <xf numFmtId="43" fontId="25" fillId="0" borderId="0" xfId="2" applyFont="1" applyAlignment="1">
      <alignment horizontal="right"/>
    </xf>
    <xf numFmtId="172" fontId="25" fillId="0" borderId="0" xfId="2" applyNumberFormat="1" applyFont="1" applyAlignment="1">
      <alignment horizontal="right"/>
    </xf>
    <xf numFmtId="165" fontId="25" fillId="0" borderId="0" xfId="7" applyNumberFormat="1" applyFont="1" applyAlignment="1">
      <alignment horizontal="right"/>
    </xf>
    <xf numFmtId="165" fontId="25" fillId="0" borderId="0" xfId="7" applyNumberFormat="1" applyFont="1" applyFill="1" applyAlignment="1">
      <alignment horizontal="right"/>
    </xf>
    <xf numFmtId="165" fontId="25" fillId="5" borderId="0" xfId="7" applyNumberFormat="1" applyFont="1" applyFill="1" applyAlignment="1">
      <alignment horizontal="right"/>
    </xf>
    <xf numFmtId="0" fontId="18" fillId="3" borderId="2" xfId="7" applyFont="1" applyFill="1" applyBorder="1" applyAlignment="1">
      <alignment horizontal="right"/>
    </xf>
    <xf numFmtId="165" fontId="18" fillId="2" borderId="2" xfId="7" applyNumberFormat="1" applyFont="1" applyFill="1" applyBorder="1"/>
    <xf numFmtId="165" fontId="18" fillId="0" borderId="2" xfId="7" applyNumberFormat="1" applyFont="1" applyBorder="1"/>
    <xf numFmtId="167" fontId="17" fillId="3" borderId="0" xfId="2" applyNumberFormat="1" applyFont="1" applyFill="1"/>
    <xf numFmtId="167" fontId="35" fillId="0" borderId="0" xfId="2" applyNumberFormat="1" applyFont="1"/>
    <xf numFmtId="0" fontId="17" fillId="0" borderId="0" xfId="7" applyFont="1" applyAlignment="1">
      <alignment horizontal="left" indent="4"/>
    </xf>
    <xf numFmtId="171" fontId="25" fillId="0" borderId="0" xfId="2" applyNumberFormat="1" applyFont="1"/>
    <xf numFmtId="172" fontId="25" fillId="0" borderId="0" xfId="2" applyNumberFormat="1" applyFont="1"/>
    <xf numFmtId="43" fontId="25" fillId="0" borderId="0" xfId="2" applyNumberFormat="1" applyFont="1"/>
    <xf numFmtId="167" fontId="25" fillId="0" borderId="0" xfId="2" applyNumberFormat="1" applyFont="1" applyFill="1"/>
    <xf numFmtId="167" fontId="25" fillId="5" borderId="0" xfId="2" applyNumberFormat="1" applyFont="1" applyFill="1"/>
    <xf numFmtId="166" fontId="22" fillId="5" borderId="0" xfId="2" applyNumberFormat="1" applyFont="1" applyFill="1"/>
    <xf numFmtId="0" fontId="17" fillId="0" borderId="2" xfId="7" applyFont="1" applyBorder="1"/>
    <xf numFmtId="167" fontId="17" fillId="3" borderId="2" xfId="2" applyNumberFormat="1" applyFont="1" applyFill="1" applyBorder="1"/>
    <xf numFmtId="167" fontId="17" fillId="0" borderId="2" xfId="2" applyNumberFormat="1" applyFont="1" applyBorder="1"/>
    <xf numFmtId="171" fontId="17" fillId="0" borderId="2" xfId="2" applyNumberFormat="1" applyFont="1" applyBorder="1"/>
    <xf numFmtId="171" fontId="22" fillId="0" borderId="2" xfId="2" applyNumberFormat="1" applyFont="1" applyBorder="1"/>
    <xf numFmtId="172" fontId="22" fillId="0" borderId="2" xfId="2" applyNumberFormat="1" applyFont="1" applyBorder="1"/>
    <xf numFmtId="167" fontId="22" fillId="0" borderId="2" xfId="2" applyNumberFormat="1" applyFont="1" applyBorder="1"/>
    <xf numFmtId="167" fontId="22" fillId="0" borderId="2" xfId="2" applyNumberFormat="1" applyFont="1" applyFill="1" applyBorder="1"/>
    <xf numFmtId="167" fontId="22" fillId="5" borderId="2" xfId="2" applyNumberFormat="1" applyFont="1" applyFill="1" applyBorder="1"/>
    <xf numFmtId="0" fontId="26" fillId="0" borderId="0" xfId="7" applyFont="1"/>
    <xf numFmtId="43" fontId="50" fillId="0" borderId="0" xfId="2" applyFont="1"/>
    <xf numFmtId="10" fontId="35" fillId="0" borderId="0" xfId="12" applyNumberFormat="1" applyFont="1" applyAlignment="1">
      <alignment horizontal="left"/>
    </xf>
    <xf numFmtId="43" fontId="35" fillId="0" borderId="0" xfId="2" applyFont="1"/>
    <xf numFmtId="169" fontId="22" fillId="0" borderId="0" xfId="12" applyNumberFormat="1" applyFont="1"/>
    <xf numFmtId="9" fontId="46" fillId="0" borderId="0" xfId="12" applyFont="1" applyFill="1"/>
    <xf numFmtId="43" fontId="46" fillId="0" borderId="0" xfId="10" applyNumberFormat="1" applyFont="1" applyFill="1"/>
    <xf numFmtId="43" fontId="50" fillId="0" borderId="0" xfId="2" applyNumberFormat="1" applyFont="1"/>
    <xf numFmtId="0" fontId="17" fillId="0" borderId="0" xfId="1" applyFont="1" applyFill="1"/>
    <xf numFmtId="3" fontId="17" fillId="0" borderId="0" xfId="1" applyNumberFormat="1" applyFont="1"/>
    <xf numFmtId="0" fontId="18" fillId="5" borderId="0" xfId="9" applyFont="1" applyFill="1"/>
    <xf numFmtId="0" fontId="17" fillId="5" borderId="0" xfId="9" applyFont="1" applyFill="1"/>
    <xf numFmtId="0" fontId="17" fillId="2" borderId="0" xfId="9" applyFont="1" applyFill="1"/>
    <xf numFmtId="10" fontId="17" fillId="5" borderId="0" xfId="9" applyNumberFormat="1" applyFont="1" applyFill="1"/>
    <xf numFmtId="1" fontId="17" fillId="5" borderId="0" xfId="9" applyNumberFormat="1" applyFont="1" applyFill="1"/>
    <xf numFmtId="0" fontId="18" fillId="5" borderId="0" xfId="9" applyFont="1" applyFill="1" applyAlignment="1">
      <alignment horizontal="right"/>
    </xf>
    <xf numFmtId="176" fontId="17" fillId="5" borderId="0" xfId="9" applyNumberFormat="1" applyFont="1" applyFill="1" applyAlignment="1">
      <alignment horizontal="right"/>
    </xf>
    <xf numFmtId="8" fontId="17" fillId="5" borderId="0" xfId="9" applyNumberFormat="1" applyFont="1" applyFill="1"/>
    <xf numFmtId="176" fontId="17" fillId="5" borderId="0" xfId="9" applyNumberFormat="1" applyFont="1" applyFill="1"/>
    <xf numFmtId="176" fontId="17" fillId="0" borderId="0" xfId="9" applyNumberFormat="1" applyFont="1" applyFill="1"/>
    <xf numFmtId="0" fontId="18" fillId="5" borderId="0" xfId="1" applyFont="1" applyFill="1" applyAlignment="1">
      <alignment horizontal="right"/>
    </xf>
    <xf numFmtId="1" fontId="17" fillId="5" borderId="0" xfId="1" applyNumberFormat="1" applyFont="1" applyFill="1"/>
    <xf numFmtId="8" fontId="17" fillId="5" borderId="0" xfId="1" applyNumberFormat="1" applyFont="1" applyFill="1"/>
    <xf numFmtId="1" fontId="18" fillId="5" borderId="0" xfId="1" applyNumberFormat="1" applyFont="1" applyFill="1"/>
    <xf numFmtId="1" fontId="17" fillId="0" borderId="0" xfId="1" applyNumberFormat="1" applyFont="1" applyFill="1"/>
    <xf numFmtId="8" fontId="17" fillId="0" borderId="0" xfId="1" applyNumberFormat="1" applyFont="1" applyFill="1"/>
    <xf numFmtId="2" fontId="17" fillId="5" borderId="0" xfId="1" applyNumberFormat="1" applyFont="1" applyFill="1"/>
    <xf numFmtId="2" fontId="18" fillId="5" borderId="0" xfId="1" applyNumberFormat="1" applyFont="1" applyFill="1"/>
    <xf numFmtId="10" fontId="17" fillId="0" borderId="0" xfId="9" applyNumberFormat="1" applyFont="1" applyFill="1"/>
    <xf numFmtId="8" fontId="17" fillId="0" borderId="0" xfId="9" applyNumberFormat="1" applyFont="1" applyFill="1"/>
    <xf numFmtId="0" fontId="18" fillId="0" borderId="10" xfId="1" applyFont="1" applyFill="1" applyBorder="1" applyAlignment="1">
      <alignment horizontal="right"/>
    </xf>
    <xf numFmtId="0" fontId="18" fillId="0" borderId="6" xfId="1" applyFont="1" applyFill="1" applyBorder="1" applyAlignment="1">
      <alignment horizontal="right"/>
    </xf>
    <xf numFmtId="0" fontId="18" fillId="0" borderId="7" xfId="1" applyFont="1" applyFill="1" applyBorder="1" applyAlignment="1">
      <alignment horizontal="right"/>
    </xf>
    <xf numFmtId="0" fontId="18" fillId="0" borderId="0" xfId="1" applyFont="1" applyFill="1" applyAlignment="1">
      <alignment horizontal="right"/>
    </xf>
    <xf numFmtId="0" fontId="51" fillId="0" borderId="0" xfId="1" applyFont="1" applyFill="1"/>
    <xf numFmtId="2" fontId="17" fillId="0" borderId="0" xfId="1" applyNumberFormat="1" applyFont="1" applyFill="1"/>
    <xf numFmtId="2" fontId="17" fillId="0" borderId="0" xfId="9" applyNumberFormat="1" applyFont="1" applyFill="1"/>
    <xf numFmtId="0" fontId="18" fillId="0" borderId="0" xfId="1" applyFont="1" applyFill="1"/>
    <xf numFmtId="2" fontId="18" fillId="0" borderId="0" xfId="1" applyNumberFormat="1" applyFont="1" applyFill="1"/>
    <xf numFmtId="2" fontId="18" fillId="0" borderId="0" xfId="9" applyNumberFormat="1" applyFont="1" applyFill="1"/>
    <xf numFmtId="0" fontId="17" fillId="0" borderId="0" xfId="9" applyNumberFormat="1" applyFont="1" applyFill="1"/>
    <xf numFmtId="0" fontId="17" fillId="0" borderId="0" xfId="1" applyNumberFormat="1" applyFont="1" applyFill="1"/>
    <xf numFmtId="0" fontId="17" fillId="0" borderId="0" xfId="12" applyNumberFormat="1" applyFont="1" applyFill="1"/>
    <xf numFmtId="39" fontId="17" fillId="0" borderId="0" xfId="9" applyNumberFormat="1" applyFont="1" applyFill="1"/>
    <xf numFmtId="168" fontId="17" fillId="0" borderId="0" xfId="1" applyNumberFormat="1" applyFont="1" applyFill="1"/>
    <xf numFmtId="43" fontId="17" fillId="0" borderId="0" xfId="1" applyNumberFormat="1" applyFont="1" applyFill="1"/>
    <xf numFmtId="1" fontId="17" fillId="5" borderId="0" xfId="9" applyNumberFormat="1" applyFont="1" applyFill="1" applyAlignment="1">
      <alignment horizontal="right"/>
    </xf>
    <xf numFmtId="9" fontId="17" fillId="5" borderId="0" xfId="12" applyFont="1" applyFill="1" applyAlignment="1">
      <alignment horizontal="right"/>
    </xf>
    <xf numFmtId="2" fontId="17" fillId="5" borderId="0" xfId="9" applyNumberFormat="1" applyFont="1" applyFill="1" applyAlignment="1">
      <alignment horizontal="right"/>
    </xf>
    <xf numFmtId="1" fontId="17" fillId="5" borderId="0" xfId="2" applyNumberFormat="1" applyFont="1" applyFill="1" applyAlignment="1">
      <alignment horizontal="right"/>
    </xf>
    <xf numFmtId="8" fontId="17" fillId="5" borderId="0" xfId="9" applyNumberFormat="1" applyFont="1" applyFill="1" applyAlignment="1">
      <alignment horizontal="right"/>
    </xf>
    <xf numFmtId="1" fontId="18" fillId="5" borderId="0" xfId="2" applyNumberFormat="1" applyFont="1" applyFill="1" applyAlignment="1">
      <alignment horizontal="right"/>
    </xf>
    <xf numFmtId="8" fontId="18" fillId="5" borderId="0" xfId="9" applyNumberFormat="1" applyFont="1" applyFill="1" applyAlignment="1">
      <alignment horizontal="right"/>
    </xf>
    <xf numFmtId="6" fontId="17" fillId="5" borderId="0" xfId="9" applyNumberFormat="1" applyFont="1" applyFill="1"/>
    <xf numFmtId="2" fontId="17" fillId="5" borderId="0" xfId="9" applyNumberFormat="1" applyFont="1" applyFill="1"/>
    <xf numFmtId="8" fontId="18" fillId="5" borderId="0" xfId="9" applyNumberFormat="1" applyFont="1" applyFill="1"/>
    <xf numFmtId="6" fontId="17" fillId="0" borderId="0" xfId="9" applyNumberFormat="1" applyFont="1" applyFill="1"/>
    <xf numFmtId="0" fontId="17" fillId="0" borderId="1" xfId="1" applyFont="1" applyBorder="1"/>
    <xf numFmtId="0" fontId="17" fillId="0" borderId="0" xfId="8" applyFont="1"/>
    <xf numFmtId="0" fontId="17" fillId="0" borderId="1" xfId="2" applyNumberFormat="1" applyFont="1" applyBorder="1"/>
    <xf numFmtId="0" fontId="17" fillId="0" borderId="1" xfId="1" applyFont="1" applyBorder="1" applyAlignment="1">
      <alignment horizontal="center"/>
    </xf>
    <xf numFmtId="167" fontId="17" fillId="0" borderId="8" xfId="2" applyNumberFormat="1" applyFont="1" applyBorder="1"/>
    <xf numFmtId="0" fontId="17" fillId="0" borderId="1" xfId="8" applyFont="1" applyBorder="1"/>
    <xf numFmtId="0" fontId="18" fillId="0" borderId="0" xfId="8" applyFont="1"/>
    <xf numFmtId="9" fontId="43" fillId="0" borderId="0" xfId="8" applyNumberFormat="1" applyFont="1" applyAlignment="1" applyProtection="1">
      <alignment horizontal="center"/>
      <protection locked="0"/>
    </xf>
    <xf numFmtId="0" fontId="17" fillId="0" borderId="1" xfId="8" applyFont="1" applyBorder="1" applyAlignment="1" applyProtection="1">
      <alignment horizontal="center"/>
    </xf>
    <xf numFmtId="167" fontId="17" fillId="0" borderId="0" xfId="2" applyNumberFormat="1" applyFont="1" applyAlignment="1" applyProtection="1">
      <alignment horizontal="left"/>
      <protection locked="0"/>
    </xf>
    <xf numFmtId="0" fontId="17" fillId="0" borderId="0" xfId="8" applyFont="1" applyAlignment="1">
      <alignment horizontal="fill"/>
    </xf>
    <xf numFmtId="167" fontId="43" fillId="0" borderId="0" xfId="2" applyNumberFormat="1" applyFont="1" applyAlignment="1" applyProtection="1">
      <alignment horizontal="left"/>
      <protection locked="0"/>
    </xf>
    <xf numFmtId="9" fontId="43" fillId="0" borderId="0" xfId="8" applyNumberFormat="1" applyFont="1" applyProtection="1">
      <protection locked="0"/>
    </xf>
    <xf numFmtId="167" fontId="17" fillId="0" borderId="8" xfId="2" applyNumberFormat="1" applyFont="1" applyBorder="1" applyAlignment="1">
      <alignment horizontal="left" indent="2"/>
    </xf>
    <xf numFmtId="167" fontId="17" fillId="0" borderId="0" xfId="2" applyNumberFormat="1" applyFont="1" applyAlignment="1">
      <alignment horizontal="left" indent="2"/>
    </xf>
    <xf numFmtId="14" fontId="17" fillId="0" borderId="0" xfId="2" applyNumberFormat="1" applyFont="1" applyAlignment="1" applyProtection="1">
      <alignment horizontal="left" indent="2"/>
    </xf>
    <xf numFmtId="167" fontId="17" fillId="0" borderId="0" xfId="2" applyNumberFormat="1" applyFont="1" applyAlignment="1">
      <alignment horizontal="left" indent="3"/>
    </xf>
    <xf numFmtId="167" fontId="17" fillId="0" borderId="9" xfId="2" applyNumberFormat="1" applyFont="1" applyBorder="1"/>
    <xf numFmtId="167" fontId="17" fillId="0" borderId="0" xfId="8" applyNumberFormat="1" applyFont="1"/>
    <xf numFmtId="14" fontId="18" fillId="0" borderId="0" xfId="8" applyNumberFormat="1" applyFont="1"/>
    <xf numFmtId="167" fontId="43" fillId="0" borderId="0" xfId="2" applyNumberFormat="1" applyFont="1" applyAlignment="1" applyProtection="1">
      <alignment horizontal="left" indent="2"/>
      <protection locked="0"/>
    </xf>
    <xf numFmtId="0" fontId="18" fillId="0" borderId="0" xfId="7" applyFont="1" applyFill="1" applyBorder="1"/>
    <xf numFmtId="167" fontId="17" fillId="0" borderId="0" xfId="2" applyNumberFormat="1" applyFont="1" applyBorder="1"/>
    <xf numFmtId="2" fontId="18" fillId="0" borderId="0" xfId="7" applyNumberFormat="1" applyFont="1" applyFill="1" applyBorder="1"/>
    <xf numFmtId="167" fontId="17" fillId="0" borderId="0" xfId="7" applyNumberFormat="1" applyFont="1" applyFill="1" applyBorder="1"/>
    <xf numFmtId="43" fontId="17" fillId="0" borderId="0" xfId="7" applyNumberFormat="1" applyFont="1" applyFill="1" applyBorder="1"/>
    <xf numFmtId="167" fontId="17" fillId="0" borderId="0" xfId="2" applyNumberFormat="1" applyFont="1" applyFill="1" applyBorder="1"/>
    <xf numFmtId="1" fontId="17" fillId="0" borderId="0" xfId="7" applyNumberFormat="1" applyFont="1" applyFill="1" applyBorder="1"/>
    <xf numFmtId="43" fontId="53" fillId="0" borderId="0" xfId="2" applyFont="1"/>
    <xf numFmtId="43" fontId="50" fillId="13" borderId="0" xfId="2" applyFont="1" applyFill="1"/>
    <xf numFmtId="10" fontId="17" fillId="13" borderId="0" xfId="12" applyNumberFormat="1" applyFont="1" applyFill="1"/>
    <xf numFmtId="43" fontId="35" fillId="13" borderId="0" xfId="2" applyFont="1" applyFill="1"/>
    <xf numFmtId="169" fontId="22" fillId="13" borderId="0" xfId="12" applyNumberFormat="1" applyFont="1" applyFill="1"/>
    <xf numFmtId="169" fontId="17" fillId="13" borderId="0" xfId="7" applyNumberFormat="1" applyFont="1" applyFill="1"/>
    <xf numFmtId="9" fontId="46" fillId="13" borderId="0" xfId="12" applyFont="1" applyFill="1"/>
    <xf numFmtId="43" fontId="46" fillId="13" borderId="0" xfId="2" applyFont="1" applyFill="1"/>
    <xf numFmtId="43" fontId="46" fillId="13" borderId="0" xfId="10" applyNumberFormat="1" applyFont="1" applyFill="1"/>
    <xf numFmtId="169" fontId="17" fillId="13" borderId="0" xfId="12" applyNumberFormat="1" applyFont="1" applyFill="1"/>
    <xf numFmtId="10" fontId="35" fillId="0" borderId="0" xfId="12" applyNumberFormat="1" applyFont="1" applyAlignment="1">
      <alignment horizontal="right"/>
    </xf>
    <xf numFmtId="10" fontId="35" fillId="13" borderId="0" xfId="12" applyNumberFormat="1" applyFont="1" applyFill="1" applyAlignment="1">
      <alignment horizontal="right"/>
    </xf>
    <xf numFmtId="0" fontId="18" fillId="0" borderId="0" xfId="1" applyFont="1" applyFill="1" applyBorder="1" applyAlignment="1">
      <alignment horizontal="right"/>
    </xf>
    <xf numFmtId="1" fontId="18" fillId="0" borderId="0" xfId="1" applyNumberFormat="1" applyFont="1" applyFill="1"/>
    <xf numFmtId="170" fontId="17" fillId="5" borderId="0" xfId="1" applyNumberFormat="1" applyFont="1" applyFill="1"/>
    <xf numFmtId="0" fontId="18" fillId="13" borderId="0" xfId="7" applyFont="1" applyFill="1"/>
    <xf numFmtId="171" fontId="54" fillId="15" borderId="0" xfId="2" applyNumberFormat="1" applyFont="1" applyFill="1"/>
    <xf numFmtId="10" fontId="54" fillId="15" borderId="0" xfId="12" applyNumberFormat="1" applyFont="1" applyFill="1"/>
    <xf numFmtId="167" fontId="53" fillId="15" borderId="0" xfId="2" applyNumberFormat="1" applyFont="1" applyFill="1"/>
    <xf numFmtId="9" fontId="54" fillId="15" borderId="0" xfId="12" applyFont="1" applyFill="1"/>
    <xf numFmtId="9" fontId="54" fillId="15" borderId="0" xfId="12" applyNumberFormat="1" applyFont="1" applyFill="1"/>
    <xf numFmtId="43" fontId="53" fillId="15" borderId="0" xfId="2" applyNumberFormat="1" applyFont="1" applyFill="1"/>
    <xf numFmtId="43" fontId="54" fillId="15" borderId="0" xfId="2" applyNumberFormat="1" applyFont="1" applyFill="1"/>
    <xf numFmtId="43" fontId="18" fillId="16" borderId="0" xfId="2" applyNumberFormat="1" applyFont="1" applyFill="1"/>
    <xf numFmtId="43" fontId="17" fillId="17" borderId="0" xfId="7" applyNumberFormat="1" applyFont="1" applyFill="1"/>
    <xf numFmtId="0" fontId="24" fillId="17" borderId="0" xfId="7" applyFont="1" applyFill="1" applyAlignment="1">
      <alignment horizontal="right"/>
    </xf>
    <xf numFmtId="43" fontId="18" fillId="17" borderId="0" xfId="7" applyNumberFormat="1" applyFont="1" applyFill="1"/>
    <xf numFmtId="167" fontId="17" fillId="17" borderId="0" xfId="2" applyNumberFormat="1" applyFont="1" applyFill="1"/>
    <xf numFmtId="9" fontId="33" fillId="17" borderId="0" xfId="12" applyFont="1" applyFill="1" applyAlignment="1">
      <alignment vertical="top"/>
    </xf>
    <xf numFmtId="167" fontId="24" fillId="17" borderId="0" xfId="2" applyNumberFormat="1" applyFont="1" applyFill="1"/>
    <xf numFmtId="43" fontId="17" fillId="17" borderId="0" xfId="2" applyFont="1" applyFill="1" applyAlignment="1">
      <alignment horizontal="left"/>
    </xf>
    <xf numFmtId="167" fontId="18" fillId="17" borderId="0" xfId="2" applyNumberFormat="1" applyFont="1" applyFill="1"/>
    <xf numFmtId="167" fontId="17" fillId="17" borderId="0" xfId="2" applyNumberFormat="1" applyFont="1" applyFill="1" applyAlignment="1">
      <alignment horizontal="left"/>
    </xf>
    <xf numFmtId="171" fontId="31" fillId="17" borderId="0" xfId="2" applyNumberFormat="1" applyFont="1" applyFill="1"/>
    <xf numFmtId="9" fontId="17" fillId="17" borderId="0" xfId="12" applyFont="1" applyFill="1"/>
    <xf numFmtId="43" fontId="25" fillId="17" borderId="0" xfId="2" applyFont="1" applyFill="1"/>
    <xf numFmtId="43" fontId="22" fillId="17" borderId="0" xfId="2" applyFont="1" applyFill="1"/>
    <xf numFmtId="9" fontId="22" fillId="17" borderId="0" xfId="12" applyFont="1" applyFill="1"/>
    <xf numFmtId="0" fontId="35" fillId="17" borderId="0" xfId="7" applyFont="1" applyFill="1"/>
    <xf numFmtId="9" fontId="22" fillId="17" borderId="0" xfId="2" applyNumberFormat="1" applyFont="1" applyFill="1"/>
    <xf numFmtId="9" fontId="33" fillId="17" borderId="0" xfId="12" applyFont="1" applyFill="1"/>
    <xf numFmtId="43" fontId="17" fillId="17" borderId="0" xfId="2" applyFont="1" applyFill="1"/>
    <xf numFmtId="43" fontId="36" fillId="17" borderId="0" xfId="7" applyNumberFormat="1" applyFont="1" applyFill="1"/>
    <xf numFmtId="2" fontId="17" fillId="17" borderId="0" xfId="7" applyNumberFormat="1" applyFont="1" applyFill="1"/>
    <xf numFmtId="9" fontId="37" fillId="17" borderId="0" xfId="12" applyFont="1" applyFill="1"/>
    <xf numFmtId="0" fontId="17" fillId="17" borderId="0" xfId="7" applyFont="1" applyFill="1"/>
    <xf numFmtId="169" fontId="17" fillId="17" borderId="0" xfId="12" applyNumberFormat="1" applyFont="1" applyFill="1" applyAlignment="1">
      <alignment horizontal="right"/>
    </xf>
    <xf numFmtId="169" fontId="34" fillId="17" borderId="0" xfId="12" applyNumberFormat="1" applyFont="1" applyFill="1" applyAlignment="1">
      <alignment horizontal="right"/>
    </xf>
    <xf numFmtId="169" fontId="18" fillId="17" borderId="0" xfId="12" applyNumberFormat="1" applyFont="1" applyFill="1" applyAlignment="1">
      <alignment horizontal="right"/>
    </xf>
    <xf numFmtId="169" fontId="39" fillId="17" borderId="0" xfId="12" applyNumberFormat="1" applyFont="1" applyFill="1" applyAlignment="1">
      <alignment horizontal="right"/>
    </xf>
    <xf numFmtId="43" fontId="22" fillId="17" borderId="4" xfId="2" applyFont="1" applyFill="1" applyBorder="1"/>
    <xf numFmtId="43" fontId="22" fillId="17" borderId="0" xfId="2" applyFont="1" applyFill="1" applyBorder="1"/>
    <xf numFmtId="43" fontId="22" fillId="17" borderId="2" xfId="2" applyFont="1" applyFill="1" applyBorder="1"/>
    <xf numFmtId="171" fontId="17" fillId="17" borderId="0" xfId="7" applyNumberFormat="1" applyFont="1" applyFill="1"/>
    <xf numFmtId="169" fontId="17" fillId="17" borderId="0" xfId="12" applyNumberFormat="1" applyFont="1" applyFill="1"/>
    <xf numFmtId="43" fontId="18" fillId="17" borderId="0" xfId="2" applyFont="1" applyFill="1" applyAlignment="1">
      <alignment horizontal="left"/>
    </xf>
    <xf numFmtId="167" fontId="17" fillId="0" borderId="0" xfId="7" applyNumberFormat="1" applyFont="1" applyFill="1" applyAlignment="1">
      <alignment horizontal="right"/>
    </xf>
    <xf numFmtId="43" fontId="35" fillId="17" borderId="0" xfId="7" applyNumberFormat="1" applyFont="1" applyFill="1"/>
    <xf numFmtId="43" fontId="22" fillId="17" borderId="0" xfId="12" applyNumberFormat="1" applyFont="1" applyFill="1"/>
    <xf numFmtId="0" fontId="55" fillId="19" borderId="0" xfId="0" applyFont="1" applyFill="1"/>
    <xf numFmtId="43" fontId="55" fillId="19" borderId="0" xfId="2" applyFont="1" applyFill="1" applyAlignment="1">
      <alignment horizontal="right"/>
    </xf>
    <xf numFmtId="43" fontId="7" fillId="18" borderId="0" xfId="2" applyFont="1" applyFill="1"/>
    <xf numFmtId="167" fontId="7" fillId="18" borderId="0" xfId="2" applyNumberFormat="1" applyFont="1" applyFill="1"/>
    <xf numFmtId="172" fontId="22" fillId="17" borderId="0" xfId="2" applyNumberFormat="1" applyFont="1" applyFill="1"/>
    <xf numFmtId="169" fontId="7" fillId="18" borderId="0" xfId="12" applyNumberFormat="1" applyFont="1" applyFill="1" applyBorder="1"/>
    <xf numFmtId="0" fontId="59" fillId="18" borderId="13" xfId="0" applyFont="1" applyFill="1" applyBorder="1"/>
    <xf numFmtId="43" fontId="59" fillId="18" borderId="13" xfId="2" applyFont="1" applyFill="1" applyBorder="1" applyAlignment="1">
      <alignment horizontal="right"/>
    </xf>
    <xf numFmtId="43" fontId="17" fillId="17" borderId="0" xfId="2" applyFont="1" applyFill="1" applyAlignment="1">
      <alignment horizontal="right"/>
    </xf>
    <xf numFmtId="43" fontId="34" fillId="17" borderId="0" xfId="2" applyFont="1" applyFill="1" applyAlignment="1">
      <alignment horizontal="right"/>
    </xf>
    <xf numFmtId="0" fontId="18" fillId="17" borderId="0" xfId="7" applyFont="1" applyFill="1" applyBorder="1" applyAlignment="1">
      <alignment horizontal="right"/>
    </xf>
    <xf numFmtId="0" fontId="17" fillId="17" borderId="0" xfId="7" applyFont="1" applyFill="1" applyBorder="1"/>
    <xf numFmtId="169" fontId="17" fillId="17" borderId="0" xfId="7" applyNumberFormat="1" applyFont="1" applyFill="1"/>
    <xf numFmtId="9" fontId="17" fillId="17" borderId="0" xfId="7" applyNumberFormat="1" applyFont="1" applyFill="1" applyBorder="1"/>
    <xf numFmtId="43" fontId="17" fillId="17" borderId="0" xfId="2" applyFont="1" applyFill="1" applyBorder="1"/>
    <xf numFmtId="10" fontId="35" fillId="17" borderId="0" xfId="12" applyNumberFormat="1" applyFont="1" applyFill="1"/>
    <xf numFmtId="9" fontId="35" fillId="17" borderId="0" xfId="12" applyFont="1" applyFill="1"/>
    <xf numFmtId="167" fontId="35" fillId="17" borderId="0" xfId="2" applyNumberFormat="1" applyFont="1" applyFill="1"/>
    <xf numFmtId="10" fontId="17" fillId="17" borderId="0" xfId="12" applyNumberFormat="1" applyFont="1" applyFill="1"/>
    <xf numFmtId="166" fontId="17" fillId="17" borderId="0" xfId="2" applyNumberFormat="1" applyFont="1" applyFill="1"/>
    <xf numFmtId="10" fontId="43" fillId="17" borderId="0" xfId="12" applyNumberFormat="1" applyFont="1" applyFill="1"/>
    <xf numFmtId="171" fontId="17" fillId="17" borderId="0" xfId="2" applyNumberFormat="1" applyFont="1" applyFill="1"/>
    <xf numFmtId="167" fontId="17" fillId="17" borderId="0" xfId="7" applyNumberFormat="1" applyFont="1" applyFill="1" applyAlignment="1">
      <alignment horizontal="right"/>
    </xf>
    <xf numFmtId="167" fontId="17" fillId="17" borderId="0" xfId="7" applyNumberFormat="1" applyFont="1" applyFill="1"/>
    <xf numFmtId="173" fontId="17" fillId="17" borderId="0" xfId="7" applyNumberFormat="1" applyFont="1" applyFill="1"/>
    <xf numFmtId="169" fontId="43" fillId="17" borderId="0" xfId="12" applyNumberFormat="1" applyFont="1" applyFill="1"/>
    <xf numFmtId="9" fontId="43" fillId="17" borderId="0" xfId="12" applyFont="1" applyFill="1"/>
    <xf numFmtId="0" fontId="18" fillId="17" borderId="0" xfId="7" applyFont="1" applyFill="1"/>
    <xf numFmtId="174" fontId="43" fillId="17" borderId="0" xfId="12" applyNumberFormat="1" applyFont="1" applyFill="1"/>
    <xf numFmtId="10" fontId="17" fillId="17" borderId="0" xfId="7" applyNumberFormat="1" applyFont="1" applyFill="1"/>
    <xf numFmtId="167" fontId="22" fillId="17" borderId="0" xfId="2" applyNumberFormat="1" applyFont="1" applyFill="1"/>
    <xf numFmtId="43" fontId="22" fillId="17" borderId="0" xfId="7" applyNumberFormat="1" applyFont="1" applyFill="1"/>
    <xf numFmtId="167" fontId="22" fillId="17" borderId="0" xfId="7" applyNumberFormat="1" applyFont="1" applyFill="1"/>
    <xf numFmtId="0" fontId="22" fillId="17" borderId="0" xfId="7" applyFont="1" applyFill="1"/>
    <xf numFmtId="167" fontId="17" fillId="17" borderId="0" xfId="10" applyNumberFormat="1" applyFont="1" applyFill="1"/>
    <xf numFmtId="10" fontId="43" fillId="17" borderId="0" xfId="7" applyNumberFormat="1" applyFont="1" applyFill="1"/>
    <xf numFmtId="43" fontId="18" fillId="17" borderId="0" xfId="2" applyFont="1" applyFill="1"/>
    <xf numFmtId="43" fontId="17" fillId="17" borderId="0" xfId="10" applyNumberFormat="1" applyFont="1" applyFill="1"/>
    <xf numFmtId="43" fontId="31" fillId="17" borderId="0" xfId="10" applyNumberFormat="1" applyFont="1" applyFill="1"/>
    <xf numFmtId="171" fontId="17" fillId="17" borderId="0" xfId="2" applyNumberFormat="1" applyFont="1" applyFill="1" applyAlignment="1">
      <alignment horizontal="right"/>
    </xf>
    <xf numFmtId="9" fontId="17" fillId="17" borderId="0" xfId="7" applyNumberFormat="1" applyFont="1" applyFill="1"/>
    <xf numFmtId="43" fontId="17" fillId="17" borderId="0" xfId="12" applyNumberFormat="1" applyFont="1" applyFill="1"/>
    <xf numFmtId="169" fontId="25" fillId="17" borderId="0" xfId="12" applyNumberFormat="1" applyFont="1" applyFill="1"/>
    <xf numFmtId="167" fontId="35" fillId="17" borderId="0" xfId="12" applyNumberFormat="1" applyFont="1" applyFill="1"/>
    <xf numFmtId="167" fontId="18" fillId="17" borderId="0" xfId="7" applyNumberFormat="1" applyFont="1" applyFill="1"/>
    <xf numFmtId="167" fontId="17" fillId="17" borderId="0" xfId="2" applyNumberFormat="1" applyFont="1" applyFill="1" applyAlignment="1">
      <alignment horizontal="right"/>
    </xf>
    <xf numFmtId="167" fontId="17" fillId="0" borderId="0" xfId="7" applyNumberFormat="1" applyFont="1" applyBorder="1"/>
    <xf numFmtId="8" fontId="17" fillId="0" borderId="0" xfId="7" applyNumberFormat="1" applyFont="1" applyFill="1" applyBorder="1"/>
    <xf numFmtId="171" fontId="17" fillId="0" borderId="0" xfId="2" applyNumberFormat="1" applyFont="1" applyBorder="1"/>
    <xf numFmtId="167" fontId="17" fillId="0" borderId="0" xfId="2" applyNumberFormat="1" applyFont="1" applyBorder="1" applyAlignment="1">
      <alignment horizontal="right"/>
    </xf>
    <xf numFmtId="43" fontId="17" fillId="0" borderId="0" xfId="2" applyNumberFormat="1" applyFont="1" applyBorder="1"/>
    <xf numFmtId="6" fontId="17" fillId="0" borderId="0" xfId="7" applyNumberFormat="1" applyFont="1" applyBorder="1"/>
    <xf numFmtId="166" fontId="17" fillId="0" borderId="0" xfId="2" applyNumberFormat="1" applyFont="1" applyBorder="1"/>
    <xf numFmtId="2" fontId="17" fillId="0" borderId="0" xfId="7" applyNumberFormat="1" applyFont="1" applyBorder="1"/>
    <xf numFmtId="166" fontId="24" fillId="0" borderId="0" xfId="2" applyNumberFormat="1" applyFont="1" applyBorder="1"/>
    <xf numFmtId="166" fontId="22" fillId="0" borderId="0" xfId="2" applyNumberFormat="1" applyFont="1" applyBorder="1"/>
    <xf numFmtId="43" fontId="17" fillId="0" borderId="0" xfId="2" applyNumberFormat="1" applyFont="1" applyFill="1" applyBorder="1"/>
    <xf numFmtId="169" fontId="17" fillId="0" borderId="0" xfId="12" applyNumberFormat="1" applyFont="1" applyBorder="1"/>
    <xf numFmtId="10" fontId="17" fillId="0" borderId="0" xfId="12" applyNumberFormat="1" applyFont="1" applyBorder="1"/>
    <xf numFmtId="166" fontId="17" fillId="0" borderId="0" xfId="2" applyNumberFormat="1" applyFont="1" applyFill="1" applyBorder="1"/>
    <xf numFmtId="0" fontId="25" fillId="0" borderId="0" xfId="7" applyFont="1" applyBorder="1" applyAlignment="1">
      <alignment horizontal="center"/>
    </xf>
    <xf numFmtId="9" fontId="25" fillId="0" borderId="0" xfId="7" applyNumberFormat="1" applyFont="1" applyBorder="1" applyAlignment="1">
      <alignment horizontal="center"/>
    </xf>
    <xf numFmtId="10" fontId="17" fillId="0" borderId="0" xfId="7" applyNumberFormat="1" applyFont="1" applyBorder="1"/>
    <xf numFmtId="9" fontId="17" fillId="0" borderId="0" xfId="7" applyNumberFormat="1" applyFont="1" applyBorder="1"/>
    <xf numFmtId="167" fontId="18" fillId="4" borderId="0" xfId="2" applyNumberFormat="1" applyFont="1" applyFill="1" applyBorder="1"/>
    <xf numFmtId="167" fontId="18" fillId="4" borderId="0" xfId="2" applyNumberFormat="1" applyFont="1" applyFill="1" applyBorder="1" applyAlignment="1">
      <alignment horizontal="right"/>
    </xf>
    <xf numFmtId="43" fontId="18" fillId="4" borderId="0" xfId="2" applyFont="1" applyFill="1" applyBorder="1"/>
    <xf numFmtId="169" fontId="18" fillId="4" borderId="0" xfId="12" applyNumberFormat="1" applyFont="1" applyFill="1" applyBorder="1"/>
    <xf numFmtId="0" fontId="17" fillId="4" borderId="0" xfId="7" applyFont="1" applyFill="1" applyBorder="1" applyAlignment="1">
      <alignment horizontal="right"/>
    </xf>
    <xf numFmtId="43" fontId="17" fillId="4" borderId="0" xfId="7" applyNumberFormat="1" applyFont="1" applyFill="1" applyBorder="1"/>
    <xf numFmtId="9" fontId="17" fillId="0" borderId="0" xfId="12" applyFont="1" applyBorder="1"/>
    <xf numFmtId="9" fontId="17" fillId="0" borderId="0" xfId="12" applyFont="1" applyFill="1" applyBorder="1"/>
    <xf numFmtId="43" fontId="24" fillId="4" borderId="0" xfId="2" applyFont="1" applyFill="1" applyBorder="1"/>
    <xf numFmtId="0" fontId="28" fillId="0" borderId="0" xfId="7" applyFont="1" applyFill="1" applyBorder="1"/>
    <xf numFmtId="169" fontId="29" fillId="5" borderId="0" xfId="7" applyNumberFormat="1" applyFont="1" applyFill="1" applyBorder="1"/>
    <xf numFmtId="167" fontId="25" fillId="0" borderId="0" xfId="2" applyNumberFormat="1" applyFont="1" applyBorder="1"/>
    <xf numFmtId="169" fontId="18" fillId="0" borderId="0" xfId="7" applyNumberFormat="1" applyFont="1" applyBorder="1"/>
    <xf numFmtId="169" fontId="17" fillId="2" borderId="0" xfId="7" applyNumberFormat="1" applyFont="1" applyFill="1" applyBorder="1"/>
    <xf numFmtId="169" fontId="18" fillId="2" borderId="0" xfId="7" applyNumberFormat="1" applyFont="1" applyFill="1" applyBorder="1"/>
    <xf numFmtId="1" fontId="17" fillId="0" borderId="0" xfId="7" applyNumberFormat="1" applyFont="1" applyFill="1" applyBorder="1" applyAlignment="1">
      <alignment horizontal="right"/>
    </xf>
    <xf numFmtId="0" fontId="17" fillId="0" borderId="0" xfId="7" applyFont="1" applyFill="1" applyBorder="1" applyAlignment="1">
      <alignment horizontal="right"/>
    </xf>
    <xf numFmtId="181" fontId="17" fillId="0" borderId="0" xfId="7" applyNumberFormat="1" applyFont="1" applyFill="1" applyBorder="1" applyAlignment="1">
      <alignment horizontal="right"/>
    </xf>
    <xf numFmtId="167" fontId="17" fillId="0" borderId="0" xfId="7" applyNumberFormat="1" applyFont="1" applyFill="1" applyBorder="1" applyAlignment="1">
      <alignment horizontal="right"/>
    </xf>
    <xf numFmtId="1" fontId="18" fillId="0" borderId="0" xfId="7" applyNumberFormat="1" applyFont="1" applyFill="1" applyBorder="1" applyAlignment="1">
      <alignment horizontal="right"/>
    </xf>
    <xf numFmtId="6" fontId="17" fillId="0" borderId="0" xfId="7" applyNumberFormat="1" applyFont="1" applyFill="1" applyBorder="1"/>
    <xf numFmtId="43" fontId="18" fillId="0" borderId="0" xfId="7" applyNumberFormat="1" applyFont="1" applyFill="1" applyBorder="1"/>
    <xf numFmtId="43" fontId="22" fillId="0" borderId="0" xfId="2" applyFont="1" applyFill="1" applyBorder="1"/>
    <xf numFmtId="10" fontId="18" fillId="0" borderId="0" xfId="12" applyNumberFormat="1" applyFont="1" applyFill="1" applyBorder="1"/>
    <xf numFmtId="0" fontId="24" fillId="0" borderId="0" xfId="7" applyFont="1" applyFill="1" applyBorder="1" applyAlignment="1">
      <alignment horizontal="right"/>
    </xf>
    <xf numFmtId="169" fontId="33" fillId="0" borderId="0" xfId="12" applyNumberFormat="1" applyFont="1" applyFill="1" applyBorder="1" applyAlignment="1">
      <alignment vertical="top"/>
    </xf>
    <xf numFmtId="1" fontId="33" fillId="0" borderId="0" xfId="12" applyNumberFormat="1" applyFont="1" applyFill="1" applyBorder="1" applyAlignment="1">
      <alignment vertical="top"/>
    </xf>
    <xf numFmtId="1" fontId="18" fillId="0" borderId="0" xfId="7" applyNumberFormat="1" applyFont="1" applyFill="1" applyBorder="1"/>
    <xf numFmtId="43" fontId="34" fillId="0" borderId="0" xfId="2" applyFont="1" applyFill="1" applyBorder="1" applyAlignment="1">
      <alignment horizontal="left"/>
    </xf>
    <xf numFmtId="0" fontId="34" fillId="0" borderId="0" xfId="7" applyFont="1" applyFill="1" applyBorder="1"/>
    <xf numFmtId="1" fontId="34" fillId="0" borderId="0" xfId="7" applyNumberFormat="1" applyFont="1" applyFill="1" applyBorder="1"/>
    <xf numFmtId="43" fontId="18" fillId="0" borderId="0" xfId="2" applyFont="1" applyFill="1" applyBorder="1"/>
    <xf numFmtId="43" fontId="17" fillId="0" borderId="0" xfId="2" applyFont="1" applyFill="1" applyBorder="1" applyAlignment="1">
      <alignment horizontal="left"/>
    </xf>
    <xf numFmtId="43" fontId="34" fillId="0" borderId="0" xfId="7" applyNumberFormat="1" applyFont="1" applyFill="1" applyBorder="1"/>
    <xf numFmtId="0" fontId="17" fillId="0" borderId="0" xfId="7" applyNumberFormat="1" applyFont="1" applyFill="1" applyBorder="1"/>
    <xf numFmtId="10" fontId="17" fillId="0" borderId="0" xfId="12" applyNumberFormat="1" applyFont="1" applyFill="1" applyBorder="1"/>
    <xf numFmtId="43" fontId="18" fillId="0" borderId="0" xfId="2" applyFont="1" applyFill="1" applyBorder="1" applyAlignment="1">
      <alignment horizontal="left"/>
    </xf>
    <xf numFmtId="43" fontId="31" fillId="0" borderId="0" xfId="2" applyFont="1" applyFill="1" applyBorder="1"/>
    <xf numFmtId="0" fontId="31" fillId="0" borderId="0" xfId="7" applyFont="1" applyFill="1" applyBorder="1"/>
    <xf numFmtId="1" fontId="31" fillId="0" borderId="0" xfId="7" applyNumberFormat="1" applyFont="1" applyFill="1" applyBorder="1"/>
    <xf numFmtId="1" fontId="17" fillId="0" borderId="0" xfId="2" applyNumberFormat="1" applyFont="1" applyFill="1" applyBorder="1"/>
    <xf numFmtId="43" fontId="25" fillId="0" borderId="0" xfId="2" applyFont="1" applyFill="1" applyBorder="1"/>
    <xf numFmtId="2" fontId="18" fillId="0" borderId="0" xfId="12" applyNumberFormat="1" applyFont="1" applyFill="1" applyBorder="1"/>
    <xf numFmtId="0" fontId="35" fillId="0" borderId="0" xfId="7" applyFont="1" applyFill="1" applyBorder="1"/>
    <xf numFmtId="43" fontId="35" fillId="0" borderId="0" xfId="2" applyFont="1" applyFill="1" applyBorder="1"/>
    <xf numFmtId="169" fontId="22" fillId="0" borderId="0" xfId="2" applyNumberFormat="1" applyFont="1" applyFill="1" applyBorder="1"/>
    <xf numFmtId="9" fontId="33" fillId="0" borderId="0" xfId="12" applyFont="1" applyFill="1" applyBorder="1"/>
    <xf numFmtId="43" fontId="33" fillId="0" borderId="0" xfId="2" applyFont="1" applyFill="1" applyBorder="1"/>
    <xf numFmtId="43" fontId="36" fillId="0" borderId="0" xfId="7" applyNumberFormat="1" applyFont="1" applyFill="1" applyBorder="1"/>
    <xf numFmtId="0" fontId="36" fillId="0" borderId="0" xfId="7" applyFont="1" applyFill="1" applyBorder="1"/>
    <xf numFmtId="9" fontId="37" fillId="0" borderId="0" xfId="12" applyFont="1" applyFill="1" applyBorder="1"/>
    <xf numFmtId="169" fontId="17" fillId="0" borderId="0" xfId="12" applyNumberFormat="1" applyFont="1" applyFill="1" applyBorder="1" applyAlignment="1">
      <alignment horizontal="right"/>
    </xf>
    <xf numFmtId="1" fontId="35" fillId="0" borderId="0" xfId="7" applyNumberFormat="1" applyFont="1" applyFill="1" applyBorder="1"/>
    <xf numFmtId="169" fontId="34" fillId="0" borderId="0" xfId="12" applyNumberFormat="1" applyFont="1" applyFill="1" applyBorder="1" applyAlignment="1">
      <alignment horizontal="right"/>
    </xf>
    <xf numFmtId="169" fontId="18" fillId="0" borderId="0" xfId="12" applyNumberFormat="1" applyFont="1" applyFill="1" applyBorder="1" applyAlignment="1">
      <alignment horizontal="right"/>
    </xf>
    <xf numFmtId="1" fontId="33" fillId="0" borderId="0" xfId="12" applyNumberFormat="1" applyFont="1" applyFill="1" applyBorder="1"/>
    <xf numFmtId="1" fontId="36" fillId="0" borderId="0" xfId="7" applyNumberFormat="1" applyFont="1" applyFill="1" applyBorder="1"/>
    <xf numFmtId="169" fontId="39" fillId="0" borderId="0" xfId="12" applyNumberFormat="1" applyFont="1" applyFill="1" applyBorder="1" applyAlignment="1">
      <alignment horizontal="right"/>
    </xf>
    <xf numFmtId="0" fontId="39" fillId="0" borderId="0" xfId="7" applyFont="1" applyFill="1" applyBorder="1"/>
    <xf numFmtId="171" fontId="17" fillId="0" borderId="0" xfId="7" applyNumberFormat="1" applyFont="1" applyFill="1" applyBorder="1"/>
    <xf numFmtId="0" fontId="24" fillId="0" borderId="0" xfId="7" applyFont="1" applyFill="1" applyBorder="1"/>
    <xf numFmtId="10" fontId="35" fillId="0" borderId="0" xfId="12" applyNumberFormat="1" applyFont="1" applyFill="1" applyBorder="1"/>
    <xf numFmtId="0" fontId="29" fillId="0" borderId="0" xfId="7" applyFont="1" applyFill="1" applyBorder="1"/>
    <xf numFmtId="166" fontId="22" fillId="0" borderId="0" xfId="2" applyNumberFormat="1" applyFont="1" applyFill="1" applyBorder="1"/>
    <xf numFmtId="167" fontId="22" fillId="0" borderId="0" xfId="2" applyNumberFormat="1" applyFont="1" applyFill="1" applyBorder="1"/>
    <xf numFmtId="10" fontId="43" fillId="0" borderId="0" xfId="12" applyNumberFormat="1" applyFont="1" applyFill="1" applyBorder="1"/>
    <xf numFmtId="171" fontId="22" fillId="0" borderId="0" xfId="2" applyNumberFormat="1" applyFont="1" applyFill="1" applyBorder="1"/>
    <xf numFmtId="0" fontId="17" fillId="0" borderId="0" xfId="10" applyFont="1" applyFill="1" applyBorder="1"/>
    <xf numFmtId="1" fontId="17" fillId="0" borderId="0" xfId="10" applyNumberFormat="1" applyFont="1" applyFill="1" applyBorder="1"/>
    <xf numFmtId="9" fontId="43" fillId="0" borderId="0" xfId="12" applyFont="1" applyFill="1" applyBorder="1"/>
    <xf numFmtId="174" fontId="17" fillId="0" borderId="0" xfId="12" applyNumberFormat="1" applyFont="1" applyFill="1" applyBorder="1"/>
    <xf numFmtId="166" fontId="17" fillId="0" borderId="0" xfId="7" applyNumberFormat="1" applyFont="1" applyFill="1" applyBorder="1"/>
    <xf numFmtId="0" fontId="45" fillId="0" borderId="0" xfId="7" applyFont="1" applyFill="1" applyBorder="1"/>
    <xf numFmtId="0" fontId="43" fillId="0" borderId="0" xfId="7" applyFont="1" applyFill="1" applyBorder="1"/>
    <xf numFmtId="0" fontId="17" fillId="16" borderId="0" xfId="7" applyFont="1" applyFill="1"/>
    <xf numFmtId="0" fontId="18" fillId="16" borderId="0" xfId="7" applyFont="1" applyFill="1" applyBorder="1" applyAlignment="1">
      <alignment horizontal="right"/>
    </xf>
    <xf numFmtId="0" fontId="17" fillId="16" borderId="0" xfId="7" applyFont="1" applyFill="1" applyBorder="1"/>
    <xf numFmtId="169" fontId="17" fillId="16" borderId="0" xfId="7" applyNumberFormat="1" applyFont="1" applyFill="1"/>
    <xf numFmtId="9" fontId="17" fillId="16" borderId="0" xfId="7" applyNumberFormat="1" applyFont="1" applyFill="1" applyBorder="1"/>
    <xf numFmtId="43" fontId="43" fillId="17" borderId="0" xfId="2" applyFont="1" applyFill="1"/>
    <xf numFmtId="167" fontId="43" fillId="17" borderId="0" xfId="12" applyNumberFormat="1" applyFont="1" applyFill="1"/>
    <xf numFmtId="167" fontId="43" fillId="17" borderId="0" xfId="2" applyNumberFormat="1" applyFont="1" applyFill="1"/>
    <xf numFmtId="167" fontId="17" fillId="17" borderId="0" xfId="12" applyNumberFormat="1" applyFont="1" applyFill="1"/>
    <xf numFmtId="43" fontId="24" fillId="17" borderId="0" xfId="2" applyFont="1" applyFill="1" applyAlignment="1">
      <alignment horizontal="right"/>
    </xf>
    <xf numFmtId="43" fontId="24" fillId="17" borderId="0" xfId="2" applyFont="1" applyFill="1"/>
    <xf numFmtId="43" fontId="31" fillId="17" borderId="0" xfId="2" applyFont="1" applyFill="1"/>
    <xf numFmtId="43" fontId="35" fillId="17" borderId="0" xfId="2" applyFont="1" applyFill="1"/>
    <xf numFmtId="43" fontId="33" fillId="17" borderId="0" xfId="2" applyFont="1" applyFill="1"/>
    <xf numFmtId="43" fontId="36" fillId="17" borderId="0" xfId="2" applyFont="1" applyFill="1"/>
    <xf numFmtId="43" fontId="37" fillId="17" borderId="0" xfId="2" applyFont="1" applyFill="1"/>
    <xf numFmtId="43" fontId="18" fillId="17" borderId="0" xfId="2" applyFont="1" applyFill="1" applyAlignment="1">
      <alignment horizontal="right"/>
    </xf>
    <xf numFmtId="43" fontId="39" fillId="17" borderId="0" xfId="2" applyFont="1" applyFill="1" applyAlignment="1">
      <alignment horizontal="right"/>
    </xf>
    <xf numFmtId="169" fontId="33" fillId="17" borderId="0" xfId="12" applyNumberFormat="1" applyFont="1" applyFill="1" applyAlignment="1">
      <alignment vertical="top"/>
    </xf>
    <xf numFmtId="43" fontId="50" fillId="0" borderId="0" xfId="2" applyFont="1" applyFill="1"/>
    <xf numFmtId="10" fontId="35" fillId="0" borderId="0" xfId="12" applyNumberFormat="1" applyFont="1" applyFill="1" applyAlignment="1">
      <alignment horizontal="right"/>
    </xf>
    <xf numFmtId="43" fontId="35" fillId="0" borderId="0" xfId="2" applyFont="1" applyFill="1"/>
    <xf numFmtId="169" fontId="22" fillId="0" borderId="0" xfId="12" applyNumberFormat="1" applyFont="1" applyFill="1"/>
    <xf numFmtId="43" fontId="61" fillId="5" borderId="0" xfId="2" applyFont="1" applyFill="1" applyAlignment="1">
      <alignment horizontal="right"/>
    </xf>
    <xf numFmtId="43" fontId="35" fillId="0" borderId="0" xfId="2" applyFont="1" applyAlignment="1">
      <alignment horizontal="right"/>
    </xf>
    <xf numFmtId="43" fontId="30" fillId="0" borderId="0" xfId="2" applyFont="1" applyAlignment="1">
      <alignment horizontal="right"/>
    </xf>
    <xf numFmtId="43" fontId="26" fillId="4" borderId="0" xfId="2" applyFont="1" applyFill="1" applyAlignment="1">
      <alignment horizontal="right"/>
    </xf>
    <xf numFmtId="43" fontId="26" fillId="4" borderId="0" xfId="2" applyFont="1" applyFill="1"/>
    <xf numFmtId="43" fontId="30" fillId="4" borderId="0" xfId="2" applyFont="1" applyFill="1" applyAlignment="1">
      <alignment horizontal="right"/>
    </xf>
    <xf numFmtId="43" fontId="18" fillId="2" borderId="3" xfId="2" applyFont="1" applyFill="1" applyBorder="1" applyAlignment="1">
      <alignment horizontal="right"/>
    </xf>
    <xf numFmtId="43" fontId="18" fillId="0" borderId="0" xfId="2" applyFont="1" applyAlignment="1">
      <alignment horizontal="right"/>
    </xf>
    <xf numFmtId="43" fontId="49" fillId="0" borderId="0" xfId="2" applyFont="1"/>
    <xf numFmtId="43" fontId="49" fillId="5" borderId="0" xfId="2" applyFont="1" applyFill="1"/>
    <xf numFmtId="43" fontId="24" fillId="5" borderId="0" xfId="2" applyFont="1" applyFill="1" applyAlignment="1">
      <alignment horizontal="right"/>
    </xf>
    <xf numFmtId="43" fontId="30" fillId="5" borderId="0" xfId="2" applyFont="1" applyFill="1" applyAlignment="1">
      <alignment horizontal="right"/>
    </xf>
    <xf numFmtId="43" fontId="48" fillId="4" borderId="0" xfId="2" applyFont="1" applyFill="1"/>
    <xf numFmtId="43" fontId="18" fillId="2" borderId="0" xfId="2" applyFont="1" applyFill="1"/>
    <xf numFmtId="43" fontId="18" fillId="2" borderId="4" xfId="2" applyFont="1" applyFill="1" applyBorder="1"/>
    <xf numFmtId="43" fontId="18" fillId="2" borderId="4" xfId="2" applyFont="1" applyFill="1" applyBorder="1" applyAlignment="1">
      <alignment horizontal="right"/>
    </xf>
    <xf numFmtId="43" fontId="23" fillId="10" borderId="4" xfId="2" applyFont="1" applyFill="1" applyBorder="1"/>
    <xf numFmtId="43" fontId="23" fillId="10" borderId="4" xfId="2" applyFont="1" applyFill="1" applyBorder="1" applyAlignment="1">
      <alignment horizontal="right"/>
    </xf>
    <xf numFmtId="43" fontId="17" fillId="2" borderId="1" xfId="2" applyFont="1" applyFill="1" applyBorder="1"/>
    <xf numFmtId="43" fontId="32" fillId="10" borderId="1" xfId="2" applyFont="1" applyFill="1" applyBorder="1"/>
    <xf numFmtId="43" fontId="17" fillId="2" borderId="1" xfId="2" applyFont="1" applyFill="1" applyBorder="1" applyAlignment="1">
      <alignment horizontal="left"/>
    </xf>
    <xf numFmtId="43" fontId="30" fillId="2" borderId="1" xfId="2" applyFont="1" applyFill="1" applyBorder="1"/>
    <xf numFmtId="43" fontId="17" fillId="0" borderId="8" xfId="2" applyFont="1" applyBorder="1"/>
    <xf numFmtId="43" fontId="43" fillId="5" borderId="0" xfId="2" applyFont="1" applyFill="1"/>
    <xf numFmtId="167" fontId="43" fillId="5" borderId="0" xfId="2" applyNumberFormat="1" applyFont="1" applyFill="1"/>
    <xf numFmtId="43" fontId="62" fillId="18" borderId="0" xfId="2" applyFont="1" applyFill="1"/>
    <xf numFmtId="43" fontId="62" fillId="18" borderId="0" xfId="2" applyFont="1" applyFill="1" applyAlignment="1">
      <alignment horizontal="right"/>
    </xf>
    <xf numFmtId="43" fontId="63" fillId="20" borderId="0" xfId="2" applyFont="1" applyFill="1"/>
    <xf numFmtId="43" fontId="62" fillId="0" borderId="0" xfId="2" applyFont="1"/>
    <xf numFmtId="43" fontId="64" fillId="19" borderId="0" xfId="2" applyFont="1" applyFill="1" applyAlignment="1">
      <alignment horizontal="right"/>
    </xf>
    <xf numFmtId="176" fontId="62" fillId="18" borderId="0" xfId="2" applyNumberFormat="1" applyFont="1" applyFill="1"/>
    <xf numFmtId="43" fontId="62" fillId="21" borderId="0" xfId="2" applyFont="1" applyFill="1"/>
    <xf numFmtId="43" fontId="62" fillId="20" borderId="0" xfId="2" applyFont="1" applyFill="1"/>
    <xf numFmtId="43" fontId="63" fillId="19" borderId="0" xfId="2" applyFont="1" applyFill="1" applyAlignment="1">
      <alignment horizontal="right"/>
    </xf>
    <xf numFmtId="43" fontId="62" fillId="18" borderId="0" xfId="2" applyFont="1" applyFill="1" applyAlignment="1">
      <alignment horizontal="left"/>
    </xf>
    <xf numFmtId="169" fontId="62" fillId="18" borderId="0" xfId="12" applyNumberFormat="1" applyFont="1" applyFill="1"/>
    <xf numFmtId="43" fontId="63" fillId="18" borderId="0" xfId="2" applyFont="1" applyFill="1" applyAlignment="1">
      <alignment horizontal="right"/>
    </xf>
    <xf numFmtId="43" fontId="64" fillId="19" borderId="0" xfId="2" applyFont="1" applyFill="1" applyAlignment="1">
      <alignment horizontal="left"/>
    </xf>
    <xf numFmtId="167" fontId="62" fillId="18" borderId="0" xfId="2" applyNumberFormat="1" applyFont="1" applyFill="1"/>
    <xf numFmtId="43" fontId="62" fillId="18" borderId="2" xfId="2" applyFont="1" applyFill="1" applyBorder="1"/>
    <xf numFmtId="167" fontId="62" fillId="18" borderId="2" xfId="2" applyNumberFormat="1" applyFont="1" applyFill="1" applyBorder="1"/>
    <xf numFmtId="43" fontId="62" fillId="18" borderId="0" xfId="2" applyFont="1" applyFill="1" applyBorder="1"/>
    <xf numFmtId="0" fontId="65" fillId="18" borderId="0" xfId="13" applyFont="1" applyFill="1" applyBorder="1"/>
    <xf numFmtId="43" fontId="65" fillId="18" borderId="0" xfId="13" applyNumberFormat="1" applyFont="1" applyFill="1" applyBorder="1" applyAlignment="1">
      <alignment horizontal="right"/>
    </xf>
    <xf numFmtId="0" fontId="7" fillId="18" borderId="0" xfId="13" applyFont="1" applyFill="1" applyBorder="1" applyAlignment="1">
      <alignment horizontal="center"/>
    </xf>
    <xf numFmtId="43" fontId="7" fillId="18" borderId="0" xfId="2" applyFont="1" applyFill="1" applyBorder="1" applyAlignment="1">
      <alignment horizontal="right"/>
    </xf>
    <xf numFmtId="14" fontId="62" fillId="18" borderId="0" xfId="2" applyNumberFormat="1" applyFont="1" applyFill="1"/>
    <xf numFmtId="0" fontId="66" fillId="18" borderId="0" xfId="13" applyFont="1" applyFill="1" applyBorder="1" applyAlignment="1">
      <alignment horizontal="center"/>
    </xf>
    <xf numFmtId="43" fontId="66" fillId="18" borderId="0" xfId="2" applyFont="1" applyFill="1" applyBorder="1" applyAlignment="1">
      <alignment horizontal="right"/>
    </xf>
    <xf numFmtId="43" fontId="66" fillId="18" borderId="0" xfId="2" applyFont="1" applyFill="1" applyBorder="1"/>
    <xf numFmtId="43" fontId="66" fillId="18" borderId="0" xfId="2" applyFont="1" applyFill="1"/>
    <xf numFmtId="0" fontId="67" fillId="18" borderId="0" xfId="13" applyFont="1" applyFill="1" applyBorder="1" applyAlignment="1"/>
    <xf numFmtId="167" fontId="67" fillId="18" borderId="0" xfId="2" applyNumberFormat="1" applyFont="1" applyFill="1" applyBorder="1" applyAlignment="1"/>
    <xf numFmtId="167" fontId="66" fillId="18" borderId="0" xfId="2" applyNumberFormat="1" applyFont="1" applyFill="1" applyBorder="1"/>
    <xf numFmtId="43" fontId="62" fillId="18" borderId="14" xfId="2" applyFont="1" applyFill="1" applyBorder="1"/>
    <xf numFmtId="6" fontId="89" fillId="5" borderId="0" xfId="9" applyNumberFormat="1" applyFont="1" applyFill="1"/>
    <xf numFmtId="167" fontId="18" fillId="0" borderId="11" xfId="2" applyNumberFormat="1" applyFont="1" applyFill="1" applyBorder="1"/>
    <xf numFmtId="0" fontId="18" fillId="0" borderId="0" xfId="9" applyFont="1" applyFill="1"/>
    <xf numFmtId="0" fontId="17" fillId="0" borderId="0" xfId="9" applyFont="1" applyFill="1"/>
    <xf numFmtId="1" fontId="17" fillId="0" borderId="0" xfId="9" applyNumberFormat="1" applyFont="1" applyFill="1"/>
    <xf numFmtId="0" fontId="18" fillId="0" borderId="0" xfId="9" applyFont="1" applyFill="1" applyAlignment="1">
      <alignment horizontal="right"/>
    </xf>
    <xf numFmtId="176" fontId="17" fillId="0" borderId="0" xfId="9" applyNumberFormat="1" applyFont="1" applyFill="1" applyAlignment="1">
      <alignment horizontal="right"/>
    </xf>
    <xf numFmtId="1" fontId="17" fillId="0" borderId="0" xfId="9" applyNumberFormat="1" applyFont="1" applyFill="1" applyAlignment="1">
      <alignment horizontal="right"/>
    </xf>
    <xf numFmtId="6" fontId="17" fillId="0" borderId="0" xfId="9" applyNumberFormat="1" applyFont="1" applyFill="1" applyAlignment="1">
      <alignment horizontal="right"/>
    </xf>
    <xf numFmtId="9" fontId="17" fillId="0" borderId="0" xfId="12" applyFont="1" applyFill="1" applyAlignment="1">
      <alignment horizontal="right"/>
    </xf>
    <xf numFmtId="2" fontId="17" fillId="0" borderId="0" xfId="9" applyNumberFormat="1" applyFont="1" applyFill="1" applyAlignment="1">
      <alignment horizontal="right"/>
    </xf>
    <xf numFmtId="8" fontId="17" fillId="0" borderId="0" xfId="9" applyNumberFormat="1" applyFont="1" applyFill="1" applyAlignment="1">
      <alignment horizontal="right"/>
    </xf>
    <xf numFmtId="8" fontId="18" fillId="0" borderId="0" xfId="9" applyNumberFormat="1" applyFont="1" applyFill="1" applyAlignment="1">
      <alignment horizontal="right"/>
    </xf>
    <xf numFmtId="8" fontId="18" fillId="0" borderId="0" xfId="9" applyNumberFormat="1" applyFont="1" applyFill="1"/>
    <xf numFmtId="10" fontId="17" fillId="0" borderId="0" xfId="1" applyNumberFormat="1" applyFont="1" applyFill="1"/>
    <xf numFmtId="0" fontId="18" fillId="0" borderId="0" xfId="2" applyNumberFormat="1" applyFont="1" applyFill="1"/>
    <xf numFmtId="0" fontId="18" fillId="0" borderId="5" xfId="1" applyFont="1" applyFill="1" applyBorder="1"/>
    <xf numFmtId="2" fontId="18" fillId="0" borderId="5" xfId="1" applyNumberFormat="1" applyFont="1" applyFill="1" applyBorder="1"/>
    <xf numFmtId="0" fontId="52" fillId="0" borderId="0" xfId="4" applyFont="1" applyFill="1" applyAlignment="1" applyProtection="1"/>
    <xf numFmtId="167" fontId="19" fillId="0" borderId="0" xfId="2" applyNumberFormat="1" applyFont="1"/>
    <xf numFmtId="169" fontId="17" fillId="0" borderId="0" xfId="2" applyNumberFormat="1" applyFont="1" applyFill="1"/>
    <xf numFmtId="43" fontId="18" fillId="0" borderId="0" xfId="1" applyNumberFormat="1" applyFont="1" applyFill="1" applyAlignment="1">
      <alignment horizontal="right"/>
    </xf>
    <xf numFmtId="43" fontId="17" fillId="0" borderId="0" xfId="12" applyNumberFormat="1" applyFont="1" applyFill="1"/>
    <xf numFmtId="169" fontId="20" fillId="0" borderId="0" xfId="12" applyNumberFormat="1" applyFont="1"/>
    <xf numFmtId="176" fontId="17" fillId="0" borderId="0" xfId="2" applyNumberFormat="1" applyFont="1" applyAlignment="1">
      <alignment horizontal="right"/>
    </xf>
    <xf numFmtId="0" fontId="92" fillId="18" borderId="0" xfId="0" applyFont="1" applyFill="1"/>
    <xf numFmtId="167" fontId="92" fillId="18" borderId="0" xfId="2" applyNumberFormat="1" applyFont="1" applyFill="1"/>
    <xf numFmtId="43" fontId="92" fillId="18" borderId="0" xfId="2" applyFont="1" applyFill="1" applyAlignment="1">
      <alignment horizontal="right"/>
    </xf>
    <xf numFmtId="167" fontId="93" fillId="18" borderId="0" xfId="2" applyNumberFormat="1" applyFont="1" applyFill="1"/>
    <xf numFmtId="43" fontId="92" fillId="18" borderId="0" xfId="2" applyFont="1" applyFill="1"/>
    <xf numFmtId="0" fontId="94" fillId="18" borderId="0" xfId="0" applyFont="1" applyFill="1"/>
    <xf numFmtId="167" fontId="94" fillId="18" borderId="0" xfId="2" applyNumberFormat="1" applyFont="1" applyFill="1"/>
    <xf numFmtId="43" fontId="95" fillId="19" borderId="0" xfId="2" applyFont="1" applyFill="1" applyAlignment="1">
      <alignment horizontal="right"/>
    </xf>
    <xf numFmtId="0" fontId="92" fillId="18" borderId="0" xfId="0" applyFont="1" applyFill="1" applyAlignment="1">
      <alignment horizontal="right"/>
    </xf>
    <xf numFmtId="167" fontId="92" fillId="18" borderId="0" xfId="0" applyNumberFormat="1" applyFont="1" applyFill="1"/>
    <xf numFmtId="9" fontId="92" fillId="18" borderId="0" xfId="12" applyFont="1" applyFill="1"/>
    <xf numFmtId="0" fontId="96" fillId="18" borderId="0" xfId="0" applyFont="1" applyFill="1"/>
    <xf numFmtId="43" fontId="92" fillId="18" borderId="0" xfId="0" applyNumberFormat="1" applyFont="1" applyFill="1"/>
    <xf numFmtId="171" fontId="92" fillId="18" borderId="0" xfId="2" applyNumberFormat="1" applyFont="1" applyFill="1"/>
    <xf numFmtId="10" fontId="92" fillId="18" borderId="0" xfId="0" applyNumberFormat="1" applyFont="1" applyFill="1"/>
    <xf numFmtId="166" fontId="92" fillId="18" borderId="0" xfId="0" applyNumberFormat="1" applyFont="1" applyFill="1"/>
    <xf numFmtId="0" fontId="92" fillId="18" borderId="8" xfId="0" applyFont="1" applyFill="1" applyBorder="1"/>
    <xf numFmtId="43" fontId="92" fillId="18" borderId="8" xfId="0" applyNumberFormat="1" applyFont="1" applyFill="1" applyBorder="1"/>
    <xf numFmtId="2" fontId="92" fillId="18" borderId="0" xfId="0" applyNumberFormat="1" applyFont="1" applyFill="1"/>
    <xf numFmtId="43" fontId="92" fillId="16" borderId="0" xfId="0" applyNumberFormat="1" applyFont="1" applyFill="1"/>
    <xf numFmtId="43" fontId="92" fillId="18" borderId="8" xfId="2" applyFont="1" applyFill="1" applyBorder="1"/>
    <xf numFmtId="9" fontId="92" fillId="18" borderId="0" xfId="0" applyNumberFormat="1" applyFont="1" applyFill="1"/>
    <xf numFmtId="169" fontId="92" fillId="18" borderId="0" xfId="12" applyNumberFormat="1" applyFont="1" applyFill="1"/>
    <xf numFmtId="166" fontId="92" fillId="18" borderId="0" xfId="2" applyNumberFormat="1" applyFont="1" applyFill="1"/>
    <xf numFmtId="169" fontId="92" fillId="18" borderId="0" xfId="0" applyNumberFormat="1" applyFont="1" applyFill="1"/>
    <xf numFmtId="167" fontId="17" fillId="14" borderId="0" xfId="2" applyNumberFormat="1" applyFont="1" applyFill="1"/>
    <xf numFmtId="0" fontId="17" fillId="14" borderId="0" xfId="7" applyFont="1" applyFill="1"/>
    <xf numFmtId="43" fontId="17" fillId="14" borderId="0" xfId="2" applyFont="1" applyFill="1"/>
    <xf numFmtId="43" fontId="62" fillId="14" borderId="0" xfId="2" applyFont="1" applyFill="1"/>
    <xf numFmtId="9" fontId="62" fillId="14" borderId="0" xfId="12" applyFont="1" applyFill="1"/>
    <xf numFmtId="9" fontId="62" fillId="14" borderId="0" xfId="2" applyNumberFormat="1" applyFont="1" applyFill="1"/>
    <xf numFmtId="176" fontId="62" fillId="14" borderId="0" xfId="2" applyNumberFormat="1" applyFont="1" applyFill="1"/>
    <xf numFmtId="43" fontId="62" fillId="14" borderId="0" xfId="2" applyFont="1" applyFill="1" applyBorder="1"/>
    <xf numFmtId="9" fontId="17" fillId="17" borderId="0" xfId="12" applyFont="1" applyFill="1" applyAlignment="1">
      <alignment horizontal="left"/>
    </xf>
    <xf numFmtId="0" fontId="94" fillId="0" borderId="0" xfId="181" applyFont="1"/>
    <xf numFmtId="0" fontId="99" fillId="0" borderId="0" xfId="181" applyFont="1"/>
    <xf numFmtId="43" fontId="100" fillId="0" borderId="0" xfId="183" applyFont="1" applyFill="1" applyBorder="1" applyAlignment="1"/>
    <xf numFmtId="0" fontId="102" fillId="0" borderId="18" xfId="182" applyNumberFormat="1" applyFont="1" applyFill="1" applyBorder="1" applyAlignment="1"/>
    <xf numFmtId="43" fontId="103" fillId="0" borderId="0" xfId="183" applyFont="1" applyFill="1" applyBorder="1" applyAlignment="1">
      <alignment horizontal="right"/>
    </xf>
    <xf numFmtId="43" fontId="104" fillId="0" borderId="0" xfId="183" applyFont="1" applyFill="1" applyBorder="1" applyAlignment="1"/>
    <xf numFmtId="43" fontId="105" fillId="0" borderId="0" xfId="183" applyFont="1" applyFill="1" applyBorder="1" applyAlignment="1">
      <alignment horizontal="right"/>
    </xf>
    <xf numFmtId="43" fontId="94" fillId="26" borderId="0" xfId="183" applyFont="1" applyFill="1" applyBorder="1"/>
    <xf numFmtId="43" fontId="106" fillId="26" borderId="0" xfId="183" applyFont="1" applyFill="1" applyBorder="1"/>
    <xf numFmtId="166" fontId="106" fillId="26" borderId="0" xfId="183" applyNumberFormat="1" applyFont="1" applyFill="1" applyBorder="1" applyAlignment="1">
      <alignment horizontal="center"/>
    </xf>
    <xf numFmtId="0" fontId="94" fillId="18" borderId="0" xfId="181" applyFont="1" applyFill="1"/>
    <xf numFmtId="43" fontId="106" fillId="18" borderId="0" xfId="183" applyFont="1" applyFill="1" applyBorder="1"/>
    <xf numFmtId="43" fontId="94" fillId="0" borderId="0" xfId="181" applyNumberFormat="1" applyFont="1"/>
    <xf numFmtId="171" fontId="94" fillId="0" borderId="0" xfId="181" applyNumberFormat="1" applyFont="1"/>
    <xf numFmtId="0" fontId="94" fillId="26" borderId="0" xfId="181" applyFont="1" applyFill="1"/>
    <xf numFmtId="0" fontId="106" fillId="26" borderId="0" xfId="181" applyFont="1" applyFill="1"/>
    <xf numFmtId="43" fontId="94" fillId="0" borderId="0" xfId="183" applyFont="1"/>
    <xf numFmtId="43" fontId="106" fillId="26" borderId="2" xfId="183" applyFont="1" applyFill="1" applyBorder="1"/>
    <xf numFmtId="167" fontId="94" fillId="26" borderId="0" xfId="183" applyNumberFormat="1" applyFont="1" applyFill="1" applyBorder="1" applyAlignment="1">
      <alignment horizontal="right"/>
    </xf>
    <xf numFmtId="43" fontId="109" fillId="26" borderId="0" xfId="183" applyFont="1" applyFill="1" applyBorder="1"/>
    <xf numFmtId="43" fontId="108" fillId="19" borderId="0" xfId="183" applyFont="1" applyFill="1" applyBorder="1" applyAlignment="1">
      <alignment horizontal="left" vertical="center"/>
    </xf>
    <xf numFmtId="0" fontId="108" fillId="19" borderId="0" xfId="181" applyFont="1" applyFill="1" applyBorder="1" applyAlignment="1">
      <alignment horizontal="center" vertical="center"/>
    </xf>
    <xf numFmtId="167" fontId="106" fillId="26" borderId="0" xfId="183" applyNumberFormat="1" applyFont="1" applyFill="1" applyBorder="1" applyAlignment="1">
      <alignment horizontal="right"/>
    </xf>
    <xf numFmtId="43" fontId="110" fillId="26" borderId="0" xfId="183" applyFont="1" applyFill="1" applyBorder="1"/>
    <xf numFmtId="9" fontId="110" fillId="26" borderId="0" xfId="181" applyNumberFormat="1" applyFont="1" applyFill="1" applyBorder="1" applyAlignment="1">
      <alignment horizontal="right"/>
    </xf>
    <xf numFmtId="43" fontId="111" fillId="26" borderId="2" xfId="183" applyFont="1" applyFill="1" applyBorder="1"/>
    <xf numFmtId="9" fontId="112" fillId="26" borderId="2" xfId="181" applyNumberFormat="1" applyFont="1" applyFill="1" applyBorder="1" applyAlignment="1">
      <alignment horizontal="center"/>
    </xf>
    <xf numFmtId="43" fontId="111" fillId="26" borderId="0" xfId="183" applyFont="1" applyFill="1" applyBorder="1"/>
    <xf numFmtId="9" fontId="111" fillId="26" borderId="0" xfId="181" applyNumberFormat="1" applyFont="1" applyFill="1" applyBorder="1" applyAlignment="1">
      <alignment horizontal="right"/>
    </xf>
    <xf numFmtId="166" fontId="106" fillId="26" borderId="0" xfId="183" applyNumberFormat="1" applyFont="1" applyFill="1" applyBorder="1"/>
    <xf numFmtId="9" fontId="94" fillId="26" borderId="0" xfId="181" applyNumberFormat="1" applyFont="1" applyFill="1" applyBorder="1"/>
    <xf numFmtId="167" fontId="94" fillId="0" borderId="0" xfId="2" applyNumberFormat="1" applyFont="1"/>
    <xf numFmtId="9" fontId="106" fillId="26" borderId="0" xfId="12" applyFont="1" applyFill="1" applyBorder="1"/>
    <xf numFmtId="166" fontId="106" fillId="26" borderId="0" xfId="2" applyNumberFormat="1" applyFont="1" applyFill="1" applyBorder="1"/>
    <xf numFmtId="0" fontId="94" fillId="26" borderId="0" xfId="181" applyFont="1" applyFill="1" applyBorder="1"/>
    <xf numFmtId="43" fontId="106" fillId="26" borderId="13" xfId="183" applyFont="1" applyFill="1" applyBorder="1"/>
    <xf numFmtId="0" fontId="106" fillId="26" borderId="0" xfId="181" applyFont="1" applyFill="1" applyBorder="1"/>
    <xf numFmtId="169" fontId="106" fillId="26" borderId="0" xfId="184" applyNumberFormat="1" applyFont="1" applyFill="1" applyBorder="1"/>
    <xf numFmtId="0" fontId="106" fillId="0" borderId="0" xfId="181" applyFont="1"/>
    <xf numFmtId="16" fontId="106" fillId="0" borderId="0" xfId="181" applyNumberFormat="1" applyFont="1" applyAlignment="1">
      <alignment horizontal="left"/>
    </xf>
    <xf numFmtId="10" fontId="106" fillId="0" borderId="0" xfId="181" applyNumberFormat="1" applyFont="1"/>
    <xf numFmtId="0" fontId="106" fillId="26" borderId="2" xfId="181" applyFont="1" applyFill="1" applyBorder="1"/>
    <xf numFmtId="169" fontId="106" fillId="26" borderId="2" xfId="184" applyNumberFormat="1" applyFont="1" applyFill="1" applyBorder="1"/>
    <xf numFmtId="43" fontId="111" fillId="26" borderId="0" xfId="183" applyFont="1" applyFill="1" applyBorder="1" applyAlignment="1">
      <alignment horizontal="center"/>
    </xf>
    <xf numFmtId="0" fontId="111" fillId="26" borderId="0" xfId="181" applyFont="1" applyFill="1" applyBorder="1" applyAlignment="1">
      <alignment horizontal="center"/>
    </xf>
    <xf numFmtId="169" fontId="106" fillId="26" borderId="2" xfId="183" applyNumberFormat="1" applyFont="1" applyFill="1" applyBorder="1" applyAlignment="1">
      <alignment horizontal="center"/>
    </xf>
    <xf numFmtId="43" fontId="109" fillId="26" borderId="12" xfId="183" applyFont="1" applyFill="1" applyBorder="1"/>
    <xf numFmtId="169" fontId="106" fillId="26" borderId="0" xfId="183" applyNumberFormat="1" applyFont="1" applyFill="1" applyBorder="1" applyAlignment="1">
      <alignment horizontal="center"/>
    </xf>
    <xf numFmtId="43" fontId="106" fillId="0" borderId="12" xfId="183" applyFont="1" applyFill="1" applyBorder="1"/>
    <xf numFmtId="43" fontId="112" fillId="26" borderId="0" xfId="183" applyFont="1" applyFill="1" applyBorder="1" applyAlignment="1">
      <alignment vertical="center"/>
    </xf>
    <xf numFmtId="43" fontId="106" fillId="26" borderId="0" xfId="183" applyFont="1" applyFill="1" applyBorder="1" applyAlignment="1">
      <alignment vertical="center"/>
    </xf>
    <xf numFmtId="0" fontId="106" fillId="26" borderId="0" xfId="181" applyFont="1" applyFill="1" applyBorder="1" applyAlignment="1">
      <alignment vertical="center"/>
    </xf>
    <xf numFmtId="43" fontId="109" fillId="26" borderId="0" xfId="183" applyFont="1" applyFill="1" applyBorder="1" applyAlignment="1">
      <alignment vertical="center"/>
    </xf>
    <xf numFmtId="0" fontId="114" fillId="26" borderId="0" xfId="181" applyFont="1" applyFill="1" applyAlignment="1">
      <alignment horizontal="center" vertical="center"/>
    </xf>
    <xf numFmtId="43" fontId="94" fillId="0" borderId="0" xfId="183" applyFont="1" applyFill="1" applyBorder="1"/>
    <xf numFmtId="0" fontId="94" fillId="0" borderId="0" xfId="181" applyFont="1" applyFill="1" applyBorder="1"/>
    <xf numFmtId="43" fontId="99" fillId="0" borderId="0" xfId="183" applyFont="1" applyFill="1" applyBorder="1"/>
    <xf numFmtId="0" fontId="99" fillId="0" borderId="0" xfId="181" applyFont="1" applyFill="1" applyBorder="1"/>
    <xf numFmtId="0" fontId="114" fillId="26" borderId="0" xfId="181" applyFont="1" applyFill="1" applyBorder="1" applyAlignment="1">
      <alignment vertical="center"/>
    </xf>
    <xf numFmtId="9" fontId="99" fillId="0" borderId="0" xfId="12" applyFont="1"/>
    <xf numFmtId="0" fontId="2" fillId="0" borderId="0" xfId="181" applyAlignment="1">
      <alignment vertical="top" wrapText="1"/>
    </xf>
    <xf numFmtId="0" fontId="55" fillId="19" borderId="0" xfId="181" applyFont="1" applyFill="1"/>
    <xf numFmtId="4" fontId="59" fillId="0" borderId="13" xfId="181" applyNumberFormat="1" applyFont="1" applyBorder="1"/>
    <xf numFmtId="4" fontId="59" fillId="0" borderId="13" xfId="2" applyNumberFormat="1" applyFont="1" applyBorder="1" applyAlignment="1">
      <alignment horizontal="right"/>
    </xf>
    <xf numFmtId="0" fontId="115" fillId="0" borderId="0" xfId="181" applyFont="1"/>
    <xf numFmtId="167" fontId="115" fillId="0" borderId="0" xfId="2" applyNumberFormat="1" applyFont="1"/>
    <xf numFmtId="9" fontId="115" fillId="0" borderId="0" xfId="12" applyNumberFormat="1" applyFont="1"/>
    <xf numFmtId="9" fontId="115" fillId="0" borderId="0" xfId="12" applyFont="1"/>
    <xf numFmtId="43" fontId="94" fillId="0" borderId="0" xfId="2" applyFont="1"/>
    <xf numFmtId="14" fontId="115" fillId="0" borderId="0" xfId="181" applyNumberFormat="1" applyFont="1"/>
    <xf numFmtId="166" fontId="115" fillId="0" borderId="0" xfId="2" applyNumberFormat="1" applyFont="1"/>
    <xf numFmtId="169" fontId="94" fillId="0" borderId="0" xfId="12" applyNumberFormat="1" applyFont="1"/>
    <xf numFmtId="43" fontId="115" fillId="0" borderId="0" xfId="2" applyFont="1" applyAlignment="1">
      <alignment horizontal="right"/>
    </xf>
    <xf numFmtId="169" fontId="94" fillId="0" borderId="0" xfId="181" applyNumberFormat="1" applyFont="1"/>
    <xf numFmtId="14" fontId="115" fillId="0" borderId="13" xfId="181" applyNumberFormat="1" applyFont="1" applyBorder="1"/>
    <xf numFmtId="43" fontId="115" fillId="0" borderId="13" xfId="2" applyFont="1" applyBorder="1"/>
    <xf numFmtId="0" fontId="115" fillId="0" borderId="13" xfId="181" applyFont="1" applyBorder="1"/>
    <xf numFmtId="14" fontId="56" fillId="0" borderId="0" xfId="181" applyNumberFormat="1" applyFont="1"/>
    <xf numFmtId="14" fontId="94" fillId="0" borderId="0" xfId="181" applyNumberFormat="1" applyFont="1"/>
    <xf numFmtId="9" fontId="94" fillId="0" borderId="0" xfId="12" applyFont="1"/>
    <xf numFmtId="9" fontId="31" fillId="13" borderId="0" xfId="12" applyFont="1" applyFill="1"/>
    <xf numFmtId="9" fontId="17" fillId="13" borderId="0" xfId="12" applyFont="1" applyFill="1"/>
    <xf numFmtId="9" fontId="31" fillId="17" borderId="0" xfId="12" applyFont="1" applyFill="1"/>
    <xf numFmtId="10" fontId="22" fillId="17" borderId="0" xfId="12" applyNumberFormat="1" applyFont="1" applyFill="1"/>
    <xf numFmtId="166" fontId="106" fillId="26" borderId="0" xfId="183" applyNumberFormat="1" applyFont="1" applyFill="1" applyBorder="1" applyAlignment="1">
      <alignment horizontal="center"/>
    </xf>
    <xf numFmtId="0" fontId="7" fillId="0" borderId="0" xfId="1" applyFont="1"/>
    <xf numFmtId="167" fontId="7" fillId="0" borderId="0" xfId="2" applyNumberFormat="1" applyFont="1"/>
    <xf numFmtId="9" fontId="7" fillId="0" borderId="0" xfId="12" applyFont="1"/>
    <xf numFmtId="169" fontId="7" fillId="0" borderId="0" xfId="12" applyNumberFormat="1" applyFont="1"/>
    <xf numFmtId="0" fontId="7" fillId="0" borderId="0" xfId="1" applyFont="1" applyAlignment="1">
      <alignment horizontal="right"/>
    </xf>
    <xf numFmtId="0" fontId="116" fillId="12" borderId="0" xfId="1" applyFont="1" applyFill="1" applyBorder="1" applyAlignment="1">
      <alignment horizontal="right"/>
    </xf>
    <xf numFmtId="167" fontId="116" fillId="12" borderId="0" xfId="1" applyNumberFormat="1" applyFont="1" applyFill="1" applyBorder="1" applyAlignment="1">
      <alignment horizontal="right"/>
    </xf>
    <xf numFmtId="0" fontId="65" fillId="2" borderId="3" xfId="1" applyFont="1" applyFill="1" applyBorder="1" applyAlignment="1">
      <alignment horizontal="left"/>
    </xf>
    <xf numFmtId="0" fontId="65" fillId="2" borderId="3" xfId="1" applyFont="1" applyFill="1" applyBorder="1" applyAlignment="1">
      <alignment horizontal="right"/>
    </xf>
    <xf numFmtId="43" fontId="7" fillId="0" borderId="0" xfId="2" applyFont="1" applyAlignment="1">
      <alignment horizontal="right"/>
    </xf>
    <xf numFmtId="167" fontId="65" fillId="5" borderId="0" xfId="2" applyNumberFormat="1" applyFont="1" applyFill="1"/>
    <xf numFmtId="0" fontId="7" fillId="5" borderId="0" xfId="1" applyFont="1" applyFill="1"/>
    <xf numFmtId="167" fontId="7" fillId="5" borderId="0" xfId="2" applyNumberFormat="1" applyFont="1" applyFill="1"/>
    <xf numFmtId="0" fontId="118" fillId="19" borderId="0" xfId="0" applyFont="1" applyFill="1" applyAlignment="1">
      <alignment horizontal="left" wrapText="1" readingOrder="1"/>
    </xf>
    <xf numFmtId="0" fontId="118" fillId="19" borderId="0" xfId="0" applyFont="1" applyFill="1" applyAlignment="1">
      <alignment horizontal="right" wrapText="1" readingOrder="1"/>
    </xf>
    <xf numFmtId="0" fontId="119" fillId="0" borderId="0" xfId="0" applyFont="1" applyAlignment="1">
      <alignment horizontal="left" wrapText="1" readingOrder="1"/>
    </xf>
    <xf numFmtId="3" fontId="119" fillId="0" borderId="0" xfId="0" applyNumberFormat="1" applyFont="1" applyAlignment="1">
      <alignment horizontal="right" wrapText="1" readingOrder="1"/>
    </xf>
    <xf numFmtId="43" fontId="119" fillId="0" borderId="0" xfId="0" applyNumberFormat="1" applyFont="1" applyAlignment="1">
      <alignment horizontal="right" wrapText="1" readingOrder="1"/>
    </xf>
    <xf numFmtId="167" fontId="7" fillId="5" borderId="0" xfId="1" applyNumberFormat="1" applyFont="1" applyFill="1"/>
    <xf numFmtId="43" fontId="119" fillId="0" borderId="0" xfId="2" applyFont="1" applyAlignment="1">
      <alignment horizontal="right" wrapText="1" readingOrder="1"/>
    </xf>
    <xf numFmtId="0" fontId="119" fillId="0" borderId="0" xfId="0" applyFont="1" applyAlignment="1">
      <alignment horizontal="right" wrapText="1" readingOrder="1"/>
    </xf>
    <xf numFmtId="43" fontId="7" fillId="0" borderId="0" xfId="1" applyNumberFormat="1" applyFont="1"/>
    <xf numFmtId="9" fontId="119" fillId="0" borderId="0" xfId="12" applyFont="1" applyAlignment="1">
      <alignment horizontal="right" wrapText="1" readingOrder="1"/>
    </xf>
    <xf numFmtId="9" fontId="119" fillId="0" borderId="0" xfId="0" applyNumberFormat="1" applyFont="1" applyAlignment="1">
      <alignment horizontal="right" wrapText="1" readingOrder="1"/>
    </xf>
    <xf numFmtId="167" fontId="120" fillId="5" borderId="0" xfId="1" applyNumberFormat="1" applyFont="1" applyFill="1" applyBorder="1"/>
    <xf numFmtId="0" fontId="117" fillId="0" borderId="0" xfId="1" applyFont="1"/>
    <xf numFmtId="0" fontId="119" fillId="0" borderId="13" xfId="0" applyFont="1" applyBorder="1" applyAlignment="1">
      <alignment horizontal="left" wrapText="1" readingOrder="1"/>
    </xf>
    <xf numFmtId="9" fontId="119" fillId="0" borderId="13" xfId="0" applyNumberFormat="1" applyFont="1" applyBorder="1" applyAlignment="1">
      <alignment horizontal="right" wrapText="1" readingOrder="1"/>
    </xf>
    <xf numFmtId="2" fontId="7" fillId="5" borderId="0" xfId="1" applyNumberFormat="1" applyFont="1" applyFill="1" applyBorder="1"/>
    <xf numFmtId="0" fontId="119" fillId="0" borderId="12" xfId="0" applyFont="1" applyBorder="1" applyAlignment="1">
      <alignment horizontal="left" wrapText="1" readingOrder="1"/>
    </xf>
    <xf numFmtId="0" fontId="7" fillId="2" borderId="0" xfId="1" applyFont="1" applyFill="1" applyBorder="1"/>
    <xf numFmtId="2" fontId="7" fillId="2" borderId="0" xfId="1" applyNumberFormat="1" applyFont="1" applyFill="1" applyBorder="1"/>
    <xf numFmtId="2" fontId="7" fillId="2" borderId="0" xfId="1" applyNumberFormat="1" applyFont="1" applyFill="1"/>
    <xf numFmtId="43" fontId="7" fillId="0" borderId="0" xfId="1" applyNumberFormat="1" applyFont="1" applyAlignment="1">
      <alignment horizontal="right"/>
    </xf>
    <xf numFmtId="2" fontId="7" fillId="0" borderId="0" xfId="1" applyNumberFormat="1" applyFont="1"/>
    <xf numFmtId="167" fontId="120" fillId="5" borderId="0" xfId="1" applyNumberFormat="1" applyFont="1" applyFill="1"/>
    <xf numFmtId="0" fontId="120" fillId="0" borderId="0" xfId="1" applyFont="1"/>
    <xf numFmtId="0" fontId="120" fillId="2" borderId="0" xfId="1" applyFont="1" applyFill="1" applyBorder="1"/>
    <xf numFmtId="167" fontId="120" fillId="2" borderId="0" xfId="1" applyNumberFormat="1" applyFont="1" applyFill="1" applyBorder="1"/>
    <xf numFmtId="167" fontId="120" fillId="2" borderId="0" xfId="2" applyNumberFormat="1" applyFont="1" applyFill="1" applyBorder="1"/>
    <xf numFmtId="0" fontId="65" fillId="2" borderId="0" xfId="1" applyFont="1" applyFill="1"/>
    <xf numFmtId="0" fontId="7" fillId="2" borderId="0" xfId="1" applyFont="1" applyFill="1"/>
    <xf numFmtId="167" fontId="7" fillId="2" borderId="0" xfId="2" applyNumberFormat="1" applyFont="1" applyFill="1"/>
    <xf numFmtId="167" fontId="7" fillId="2" borderId="0" xfId="1" applyNumberFormat="1" applyFont="1" applyFill="1"/>
    <xf numFmtId="0" fontId="117" fillId="2" borderId="0" xfId="1" applyFont="1" applyFill="1"/>
    <xf numFmtId="0" fontId="7" fillId="2" borderId="0" xfId="1" applyFont="1" applyFill="1" applyAlignment="1">
      <alignment horizontal="left" indent="1"/>
    </xf>
    <xf numFmtId="0" fontId="7" fillId="2" borderId="0" xfId="1" applyFont="1" applyFill="1" applyAlignment="1">
      <alignment horizontal="left" indent="2"/>
    </xf>
    <xf numFmtId="0" fontId="7" fillId="2" borderId="0" xfId="1" applyFont="1" applyFill="1" applyAlignment="1">
      <alignment horizontal="left"/>
    </xf>
    <xf numFmtId="3" fontId="7" fillId="2" borderId="0" xfId="1" applyNumberFormat="1" applyFont="1" applyFill="1"/>
    <xf numFmtId="167" fontId="7" fillId="0" borderId="0" xfId="1" applyNumberFormat="1" applyFont="1"/>
    <xf numFmtId="0" fontId="65" fillId="18" borderId="0" xfId="1" applyFont="1" applyFill="1"/>
    <xf numFmtId="167" fontId="65" fillId="18" borderId="0" xfId="2" applyNumberFormat="1" applyFont="1" applyFill="1"/>
    <xf numFmtId="0" fontId="7" fillId="18" borderId="0" xfId="1" applyFont="1" applyFill="1"/>
    <xf numFmtId="167" fontId="7" fillId="18" borderId="0" xfId="1" applyNumberFormat="1" applyFont="1" applyFill="1"/>
    <xf numFmtId="167" fontId="120" fillId="18" borderId="0" xfId="1" applyNumberFormat="1" applyFont="1" applyFill="1" applyBorder="1"/>
    <xf numFmtId="167" fontId="120" fillId="18" borderId="0" xfId="2" applyNumberFormat="1" applyFont="1" applyFill="1" applyBorder="1"/>
    <xf numFmtId="0" fontId="7" fillId="18" borderId="4" xfId="1" applyFont="1" applyFill="1" applyBorder="1"/>
    <xf numFmtId="2" fontId="7" fillId="18" borderId="4" xfId="1" applyNumberFormat="1" applyFont="1" applyFill="1" applyBorder="1"/>
    <xf numFmtId="0" fontId="7" fillId="18" borderId="1" xfId="1" applyFont="1" applyFill="1" applyBorder="1"/>
    <xf numFmtId="2" fontId="7" fillId="18" borderId="1" xfId="1" applyNumberFormat="1" applyFont="1" applyFill="1" applyBorder="1"/>
    <xf numFmtId="0" fontId="121" fillId="18" borderId="0" xfId="1" applyFont="1" applyFill="1"/>
    <xf numFmtId="0" fontId="7" fillId="18" borderId="0" xfId="7" applyFont="1" applyFill="1"/>
    <xf numFmtId="0" fontId="7" fillId="18" borderId="0" xfId="7" applyFont="1" applyFill="1" applyAlignment="1">
      <alignment horizontal="left" indent="1"/>
    </xf>
    <xf numFmtId="0" fontId="7" fillId="18" borderId="0" xfId="7" applyFont="1" applyFill="1" applyAlignment="1"/>
    <xf numFmtId="0" fontId="120" fillId="18" borderId="0" xfId="1" applyFont="1" applyFill="1" applyBorder="1"/>
    <xf numFmtId="0" fontId="7" fillId="18" borderId="0" xfId="1" applyFont="1" applyFill="1" applyAlignment="1">
      <alignment horizontal="left"/>
    </xf>
    <xf numFmtId="0" fontId="7" fillId="18" borderId="0" xfId="1" applyFont="1" applyFill="1" applyAlignment="1">
      <alignment horizontal="left" indent="1"/>
    </xf>
    <xf numFmtId="3" fontId="7" fillId="18" borderId="0" xfId="1" applyNumberFormat="1" applyFont="1" applyFill="1"/>
    <xf numFmtId="166" fontId="7" fillId="18" borderId="0" xfId="2" applyNumberFormat="1" applyFont="1" applyFill="1"/>
    <xf numFmtId="0" fontId="7" fillId="18" borderId="0" xfId="1" applyFont="1" applyFill="1" applyAlignment="1">
      <alignment horizontal="left" indent="2"/>
    </xf>
    <xf numFmtId="9" fontId="7" fillId="18" borderId="0" xfId="12" applyFont="1" applyFill="1" applyAlignment="1">
      <alignment horizontal="right"/>
    </xf>
    <xf numFmtId="43" fontId="7" fillId="18" borderId="0" xfId="1" applyNumberFormat="1" applyFont="1" applyFill="1" applyAlignment="1">
      <alignment horizontal="left"/>
    </xf>
    <xf numFmtId="0" fontId="7" fillId="18" borderId="2" xfId="1" applyFont="1" applyFill="1" applyBorder="1" applyAlignment="1">
      <alignment horizontal="left"/>
    </xf>
    <xf numFmtId="43" fontId="7" fillId="18" borderId="2" xfId="2" applyFont="1" applyFill="1" applyBorder="1" applyAlignment="1">
      <alignment horizontal="left"/>
    </xf>
    <xf numFmtId="43" fontId="7" fillId="0" borderId="0" xfId="2" applyFont="1"/>
    <xf numFmtId="169" fontId="7" fillId="5" borderId="0" xfId="12" applyNumberFormat="1" applyFont="1" applyFill="1"/>
    <xf numFmtId="0" fontId="17" fillId="18" borderId="0" xfId="7" applyFont="1" applyFill="1"/>
    <xf numFmtId="0" fontId="18" fillId="18" borderId="0" xfId="7" applyFont="1" applyFill="1" applyBorder="1" applyAlignment="1">
      <alignment horizontal="right"/>
    </xf>
    <xf numFmtId="167" fontId="17" fillId="18" borderId="0" xfId="2" applyNumberFormat="1" applyFont="1" applyFill="1"/>
    <xf numFmtId="167" fontId="18" fillId="18" borderId="0" xfId="2" applyNumberFormat="1" applyFont="1" applyFill="1"/>
    <xf numFmtId="0" fontId="17" fillId="18" borderId="0" xfId="7" applyFont="1" applyFill="1" applyBorder="1"/>
    <xf numFmtId="6" fontId="17" fillId="18" borderId="0" xfId="7" applyNumberFormat="1" applyFont="1" applyFill="1" applyBorder="1"/>
    <xf numFmtId="167" fontId="17" fillId="18" borderId="0" xfId="7" applyNumberFormat="1" applyFont="1" applyFill="1" applyBorder="1"/>
    <xf numFmtId="2" fontId="18" fillId="18" borderId="0" xfId="7" applyNumberFormat="1" applyFont="1" applyFill="1" applyBorder="1"/>
    <xf numFmtId="2" fontId="18" fillId="18" borderId="0" xfId="7" applyNumberFormat="1" applyFont="1" applyFill="1" applyBorder="1" applyAlignment="1">
      <alignment horizontal="right"/>
    </xf>
    <xf numFmtId="9" fontId="17" fillId="18" borderId="0" xfId="12" applyFont="1" applyFill="1" applyBorder="1"/>
    <xf numFmtId="167" fontId="17" fillId="18" borderId="0" xfId="2" applyNumberFormat="1" applyFont="1" applyFill="1" applyBorder="1"/>
    <xf numFmtId="1" fontId="17" fillId="18" borderId="0" xfId="7" applyNumberFormat="1" applyFont="1" applyFill="1" applyBorder="1"/>
    <xf numFmtId="8" fontId="17" fillId="18" borderId="0" xfId="7" applyNumberFormat="1" applyFont="1" applyFill="1" applyBorder="1"/>
    <xf numFmtId="167" fontId="18" fillId="18" borderId="0" xfId="2" applyNumberFormat="1" applyFont="1" applyFill="1" applyBorder="1"/>
    <xf numFmtId="43" fontId="17" fillId="18" borderId="0" xfId="2" applyNumberFormat="1" applyFont="1" applyFill="1" applyBorder="1"/>
    <xf numFmtId="166" fontId="17" fillId="18" borderId="0" xfId="2" applyNumberFormat="1" applyFont="1" applyFill="1" applyBorder="1"/>
    <xf numFmtId="167" fontId="26" fillId="18" borderId="0" xfId="2" applyNumberFormat="1" applyFont="1" applyFill="1" applyBorder="1"/>
    <xf numFmtId="43" fontId="17" fillId="18" borderId="0" xfId="7" applyNumberFormat="1" applyFont="1" applyFill="1" applyBorder="1"/>
    <xf numFmtId="9" fontId="17" fillId="18" borderId="0" xfId="7" applyNumberFormat="1" applyFont="1" applyFill="1" applyBorder="1"/>
    <xf numFmtId="0" fontId="18" fillId="18" borderId="0" xfId="7" applyFont="1" applyFill="1" applyBorder="1"/>
    <xf numFmtId="170" fontId="18" fillId="18" borderId="0" xfId="7" applyNumberFormat="1" applyFont="1" applyFill="1" applyBorder="1"/>
    <xf numFmtId="0" fontId="18" fillId="18" borderId="0" xfId="1" applyFont="1" applyFill="1" applyBorder="1" applyAlignment="1">
      <alignment horizontal="left"/>
    </xf>
    <xf numFmtId="0" fontId="122" fillId="19" borderId="0" xfId="0" applyFont="1" applyFill="1"/>
    <xf numFmtId="169" fontId="125" fillId="18" borderId="0" xfId="188" applyNumberFormat="1" applyFont="1" applyFill="1" applyBorder="1" applyAlignment="1">
      <alignment horizontal="right"/>
    </xf>
    <xf numFmtId="167" fontId="126" fillId="18" borderId="0" xfId="2" applyNumberFormat="1" applyFont="1" applyFill="1" applyBorder="1" applyAlignment="1">
      <alignment horizontal="right"/>
    </xf>
    <xf numFmtId="0" fontId="125" fillId="18" borderId="0" xfId="188" applyFont="1" applyFill="1" applyBorder="1" applyAlignment="1">
      <alignment horizontal="right"/>
    </xf>
    <xf numFmtId="9" fontId="125" fillId="18" borderId="0" xfId="188" applyNumberFormat="1" applyFont="1" applyFill="1" applyBorder="1" applyAlignment="1">
      <alignment horizontal="right"/>
    </xf>
    <xf numFmtId="167" fontId="125" fillId="18" borderId="0" xfId="2" applyNumberFormat="1" applyFont="1" applyFill="1" applyBorder="1"/>
    <xf numFmtId="0" fontId="125" fillId="18" borderId="0" xfId="188" applyFont="1" applyFill="1" applyBorder="1"/>
    <xf numFmtId="9" fontId="125" fillId="18" borderId="0" xfId="188" applyNumberFormat="1" applyFont="1" applyFill="1" applyBorder="1"/>
    <xf numFmtId="167" fontId="125" fillId="18" borderId="18" xfId="2" applyNumberFormat="1" applyFont="1" applyFill="1" applyBorder="1"/>
    <xf numFmtId="2" fontId="123" fillId="18" borderId="18" xfId="0" applyNumberFormat="1" applyFont="1" applyFill="1" applyBorder="1"/>
    <xf numFmtId="2" fontId="123" fillId="18" borderId="18" xfId="0" applyNumberFormat="1" applyFont="1" applyFill="1" applyBorder="1" applyAlignment="1">
      <alignment horizontal="center"/>
    </xf>
    <xf numFmtId="167" fontId="123" fillId="18" borderId="18" xfId="2" applyNumberFormat="1" applyFont="1" applyFill="1" applyBorder="1" applyAlignment="1">
      <alignment horizontal="right"/>
    </xf>
    <xf numFmtId="2" fontId="123" fillId="18" borderId="18" xfId="0" applyNumberFormat="1" applyFont="1" applyFill="1" applyBorder="1" applyAlignment="1">
      <alignment horizontal="right"/>
    </xf>
    <xf numFmtId="0" fontId="124" fillId="18" borderId="19" xfId="0" applyFont="1" applyFill="1" applyBorder="1" applyAlignment="1"/>
    <xf numFmtId="167" fontId="124" fillId="18" borderId="0" xfId="2" applyNumberFormat="1" applyFont="1" applyFill="1" applyAlignment="1">
      <alignment horizontal="right"/>
    </xf>
    <xf numFmtId="0" fontId="124" fillId="18" borderId="0" xfId="0" applyFont="1" applyFill="1" applyAlignment="1"/>
    <xf numFmtId="167" fontId="124" fillId="18" borderId="2" xfId="2" applyNumberFormat="1" applyFont="1" applyFill="1" applyBorder="1" applyAlignment="1">
      <alignment horizontal="right"/>
    </xf>
    <xf numFmtId="167" fontId="127" fillId="18" borderId="0" xfId="2" applyNumberFormat="1" applyFont="1" applyFill="1" applyAlignment="1">
      <alignment horizontal="right"/>
    </xf>
    <xf numFmtId="0" fontId="124" fillId="18" borderId="0" xfId="0" applyFont="1" applyFill="1"/>
    <xf numFmtId="169" fontId="124" fillId="18" borderId="0" xfId="0" applyNumberFormat="1" applyFont="1" applyFill="1"/>
    <xf numFmtId="169" fontId="124" fillId="18" borderId="0" xfId="0" applyNumberFormat="1" applyFont="1" applyFill="1" applyAlignment="1">
      <alignment horizontal="right"/>
    </xf>
    <xf numFmtId="167" fontId="124" fillId="18" borderId="0" xfId="38" applyNumberFormat="1" applyFont="1" applyFill="1"/>
    <xf numFmtId="10" fontId="124" fillId="18" borderId="0" xfId="0" applyNumberFormat="1" applyFont="1" applyFill="1"/>
    <xf numFmtId="167" fontId="124" fillId="18" borderId="0" xfId="0" applyNumberFormat="1" applyFont="1" applyFill="1"/>
    <xf numFmtId="9" fontId="124" fillId="18" borderId="0" xfId="12" applyFont="1" applyFill="1"/>
    <xf numFmtId="167" fontId="124" fillId="18" borderId="2" xfId="0" applyNumberFormat="1" applyFont="1" applyFill="1" applyBorder="1"/>
    <xf numFmtId="167" fontId="124" fillId="18" borderId="2" xfId="38" applyNumberFormat="1" applyFont="1" applyFill="1" applyBorder="1"/>
    <xf numFmtId="0" fontId="127" fillId="18" borderId="18" xfId="0" applyFont="1" applyFill="1" applyBorder="1" applyAlignment="1">
      <alignment horizontal="left"/>
    </xf>
    <xf numFmtId="0" fontId="124" fillId="18" borderId="18" xfId="0" applyFont="1" applyFill="1" applyBorder="1"/>
    <xf numFmtId="0" fontId="128" fillId="18" borderId="0" xfId="0" applyFont="1" applyFill="1" applyBorder="1" applyAlignment="1">
      <alignment horizontal="left"/>
    </xf>
    <xf numFmtId="0" fontId="55" fillId="19" borderId="0" xfId="188" applyFont="1" applyFill="1" applyBorder="1"/>
    <xf numFmtId="0" fontId="60" fillId="19" borderId="0" xfId="188" applyFont="1" applyFill="1" applyBorder="1"/>
    <xf numFmtId="0" fontId="7" fillId="18" borderId="0" xfId="188" applyFont="1" applyFill="1" applyBorder="1"/>
    <xf numFmtId="9" fontId="7" fillId="18" borderId="0" xfId="188" applyNumberFormat="1" applyFont="1" applyFill="1" applyBorder="1"/>
    <xf numFmtId="43" fontId="7" fillId="18" borderId="0" xfId="2" applyFont="1" applyFill="1" applyBorder="1"/>
    <xf numFmtId="169" fontId="7" fillId="18" borderId="0" xfId="188" applyNumberFormat="1" applyFont="1" applyFill="1" applyBorder="1"/>
    <xf numFmtId="0" fontId="129" fillId="18" borderId="12" xfId="188" applyFont="1" applyFill="1" applyBorder="1"/>
    <xf numFmtId="0" fontId="7" fillId="18" borderId="12" xfId="188" applyFont="1" applyFill="1" applyBorder="1"/>
    <xf numFmtId="167" fontId="7" fillId="18" borderId="2" xfId="2" applyNumberFormat="1" applyFont="1" applyFill="1" applyBorder="1"/>
    <xf numFmtId="211" fontId="0" fillId="0" borderId="0" xfId="189" applyFont="1"/>
    <xf numFmtId="167" fontId="55" fillId="19" borderId="0" xfId="2" applyNumberFormat="1" applyFont="1" applyFill="1" applyAlignment="1">
      <alignment horizontal="right"/>
    </xf>
    <xf numFmtId="43" fontId="0" fillId="0" borderId="0" xfId="2" applyFont="1"/>
    <xf numFmtId="211" fontId="4" fillId="0" borderId="0" xfId="189" applyFont="1"/>
    <xf numFmtId="2" fontId="0" fillId="0" borderId="0" xfId="189" applyNumberFormat="1" applyFont="1"/>
    <xf numFmtId="2" fontId="0" fillId="0" borderId="0" xfId="12" applyNumberFormat="1" applyFont="1"/>
    <xf numFmtId="2" fontId="0" fillId="0" borderId="0" xfId="2" applyNumberFormat="1" applyFont="1"/>
    <xf numFmtId="43" fontId="0" fillId="0" borderId="0" xfId="2" applyNumberFormat="1" applyFont="1"/>
    <xf numFmtId="0" fontId="59" fillId="18" borderId="13" xfId="1" applyFont="1" applyFill="1" applyBorder="1" applyAlignment="1">
      <alignment horizontal="right"/>
    </xf>
    <xf numFmtId="167" fontId="59" fillId="18" borderId="13" xfId="1" applyNumberFormat="1" applyFont="1" applyFill="1" applyBorder="1" applyAlignment="1">
      <alignment horizontal="right"/>
    </xf>
    <xf numFmtId="0" fontId="117" fillId="18" borderId="2" xfId="1" applyFont="1" applyFill="1" applyBorder="1"/>
    <xf numFmtId="167" fontId="117" fillId="18" borderId="0" xfId="1" applyNumberFormat="1" applyFont="1" applyFill="1" applyBorder="1"/>
    <xf numFmtId="167" fontId="117" fillId="18" borderId="2" xfId="1" applyNumberFormat="1" applyFont="1" applyFill="1" applyBorder="1"/>
    <xf numFmtId="0" fontId="117" fillId="18" borderId="0" xfId="1" applyFont="1" applyFill="1"/>
    <xf numFmtId="167" fontId="117" fillId="18" borderId="0" xfId="1" applyNumberFormat="1" applyFont="1" applyFill="1"/>
    <xf numFmtId="167" fontId="117" fillId="18" borderId="0" xfId="2" applyNumberFormat="1" applyFont="1" applyFill="1"/>
    <xf numFmtId="167" fontId="117" fillId="18" borderId="2" xfId="2" applyNumberFormat="1" applyFont="1" applyFill="1" applyBorder="1"/>
    <xf numFmtId="0" fontId="117" fillId="18" borderId="1" xfId="1" applyFont="1" applyFill="1" applyBorder="1"/>
    <xf numFmtId="167" fontId="117" fillId="18" borderId="1" xfId="1" applyNumberFormat="1" applyFont="1" applyFill="1" applyBorder="1"/>
    <xf numFmtId="167" fontId="117" fillId="18" borderId="1" xfId="2" applyNumberFormat="1" applyFont="1" applyFill="1" applyBorder="1"/>
    <xf numFmtId="0" fontId="7" fillId="19" borderId="0" xfId="0" applyFont="1" applyFill="1"/>
    <xf numFmtId="0" fontId="59" fillId="27" borderId="18" xfId="0" applyFont="1" applyFill="1" applyBorder="1" applyAlignment="1">
      <alignment wrapText="1"/>
    </xf>
    <xf numFmtId="0" fontId="59" fillId="27" borderId="18" xfId="0" applyFont="1" applyFill="1" applyBorder="1" applyAlignment="1">
      <alignment horizontal="right" wrapText="1"/>
    </xf>
    <xf numFmtId="0" fontId="119" fillId="27" borderId="0" xfId="0" applyFont="1" applyFill="1" applyAlignment="1">
      <alignment wrapText="1"/>
    </xf>
    <xf numFmtId="3" fontId="119" fillId="27" borderId="0" xfId="0" applyNumberFormat="1" applyFont="1" applyFill="1" applyAlignment="1">
      <alignment horizontal="right" wrapText="1"/>
    </xf>
    <xf numFmtId="0" fontId="119" fillId="27" borderId="0" xfId="0" applyFont="1" applyFill="1" applyAlignment="1">
      <alignment horizontal="right" wrapText="1"/>
    </xf>
    <xf numFmtId="10" fontId="119" fillId="27" borderId="0" xfId="0" applyNumberFormat="1" applyFont="1" applyFill="1" applyAlignment="1">
      <alignment horizontal="right" wrapText="1"/>
    </xf>
    <xf numFmtId="0" fontId="119" fillId="27" borderId="18" xfId="0" applyFont="1" applyFill="1" applyBorder="1" applyAlignment="1">
      <alignment wrapText="1"/>
    </xf>
    <xf numFmtId="10" fontId="119" fillId="27" borderId="18" xfId="0" applyNumberFormat="1" applyFont="1" applyFill="1" applyBorder="1" applyAlignment="1">
      <alignment horizontal="right" wrapText="1"/>
    </xf>
    <xf numFmtId="0" fontId="7" fillId="27" borderId="0" xfId="0" applyFont="1" applyFill="1"/>
    <xf numFmtId="43" fontId="59" fillId="27" borderId="18" xfId="0" applyNumberFormat="1" applyFont="1" applyFill="1" applyBorder="1" applyAlignment="1">
      <alignment horizontal="right" wrapText="1"/>
    </xf>
    <xf numFmtId="167" fontId="119" fillId="27" borderId="0" xfId="0" applyNumberFormat="1" applyFont="1" applyFill="1" applyAlignment="1">
      <alignment horizontal="right" wrapText="1"/>
    </xf>
    <xf numFmtId="2" fontId="119" fillId="27" borderId="0" xfId="0" applyNumberFormat="1" applyFont="1" applyFill="1" applyAlignment="1">
      <alignment horizontal="right" wrapText="1"/>
    </xf>
    <xf numFmtId="166" fontId="119" fillId="27" borderId="0" xfId="2" applyNumberFormat="1" applyFont="1" applyFill="1" applyAlignment="1">
      <alignment horizontal="right" wrapText="1"/>
    </xf>
    <xf numFmtId="169" fontId="119" fillId="27" borderId="0" xfId="0" applyNumberFormat="1" applyFont="1" applyFill="1" applyAlignment="1">
      <alignment horizontal="right" wrapText="1"/>
    </xf>
    <xf numFmtId="0" fontId="56" fillId="0" borderId="0" xfId="1" applyFont="1"/>
    <xf numFmtId="0" fontId="131" fillId="0" borderId="0" xfId="0" applyFont="1"/>
    <xf numFmtId="0" fontId="59" fillId="27" borderId="2" xfId="0" applyFont="1" applyFill="1" applyBorder="1" applyAlignment="1">
      <alignment wrapText="1"/>
    </xf>
    <xf numFmtId="0" fontId="59" fillId="27" borderId="2" xfId="0" applyFont="1" applyFill="1" applyBorder="1" applyAlignment="1">
      <alignment horizontal="right" wrapText="1"/>
    </xf>
    <xf numFmtId="43" fontId="59" fillId="27" borderId="2" xfId="0" applyNumberFormat="1" applyFont="1" applyFill="1" applyBorder="1" applyAlignment="1">
      <alignment horizontal="right" wrapText="1"/>
    </xf>
    <xf numFmtId="0" fontId="119" fillId="27" borderId="2" xfId="0" applyFont="1" applyFill="1" applyBorder="1" applyAlignment="1">
      <alignment wrapText="1"/>
    </xf>
    <xf numFmtId="169" fontId="119" fillId="27" borderId="2" xfId="0" applyNumberFormat="1" applyFont="1" applyFill="1" applyBorder="1" applyAlignment="1">
      <alignment horizontal="right" wrapText="1"/>
    </xf>
    <xf numFmtId="10" fontId="119" fillId="27" borderId="2" xfId="0" applyNumberFormat="1" applyFont="1" applyFill="1" applyBorder="1" applyAlignment="1">
      <alignment horizontal="right" wrapText="1"/>
    </xf>
    <xf numFmtId="43" fontId="55" fillId="19" borderId="0" xfId="2" applyNumberFormat="1" applyFont="1" applyFill="1" applyBorder="1"/>
    <xf numFmtId="0" fontId="55" fillId="19" borderId="0" xfId="10" applyFont="1" applyFill="1" applyBorder="1"/>
    <xf numFmtId="0" fontId="7" fillId="19" borderId="0" xfId="10" applyFont="1" applyFill="1" applyBorder="1"/>
    <xf numFmtId="9" fontId="7" fillId="18" borderId="0" xfId="12" applyFont="1" applyFill="1" applyBorder="1"/>
    <xf numFmtId="9" fontId="7" fillId="18" borderId="0" xfId="10" applyNumberFormat="1" applyFont="1" applyFill="1" applyBorder="1"/>
    <xf numFmtId="167" fontId="7" fillId="18" borderId="0" xfId="10" applyNumberFormat="1" applyFont="1" applyFill="1" applyBorder="1"/>
    <xf numFmtId="167" fontId="7" fillId="16" borderId="0" xfId="10" applyNumberFormat="1" applyFont="1" applyFill="1" applyBorder="1"/>
    <xf numFmtId="9" fontId="7" fillId="18" borderId="2" xfId="10" applyNumberFormat="1" applyFont="1" applyFill="1" applyBorder="1"/>
    <xf numFmtId="167" fontId="7" fillId="18" borderId="2" xfId="10" applyNumberFormat="1" applyFont="1" applyFill="1" applyBorder="1"/>
    <xf numFmtId="0" fontId="56" fillId="18" borderId="0" xfId="10" applyFont="1" applyFill="1" applyBorder="1"/>
    <xf numFmtId="0" fontId="7" fillId="18" borderId="0" xfId="10" applyFont="1" applyFill="1" applyBorder="1"/>
    <xf numFmtId="167" fontId="7" fillId="18" borderId="0" xfId="10" applyNumberFormat="1" applyFont="1" applyFill="1"/>
    <xf numFmtId="167" fontId="0" fillId="0" borderId="0" xfId="2" applyNumberFormat="1" applyFont="1"/>
    <xf numFmtId="0" fontId="56" fillId="18" borderId="0" xfId="1" applyFont="1" applyFill="1" applyAlignment="1">
      <alignment horizontal="left"/>
    </xf>
    <xf numFmtId="169" fontId="17" fillId="0" borderId="0" xfId="1" applyNumberFormat="1" applyFont="1"/>
    <xf numFmtId="9" fontId="17" fillId="5" borderId="0" xfId="2" applyNumberFormat="1" applyFont="1" applyFill="1"/>
    <xf numFmtId="9" fontId="7" fillId="5" borderId="0" xfId="12" applyFont="1" applyFill="1"/>
    <xf numFmtId="9" fontId="119" fillId="27" borderId="0" xfId="12" applyFont="1" applyFill="1" applyAlignment="1">
      <alignment horizontal="right" wrapText="1"/>
    </xf>
    <xf numFmtId="9" fontId="119" fillId="27" borderId="18" xfId="12" applyFont="1" applyFill="1" applyBorder="1" applyAlignment="1">
      <alignment horizontal="right" wrapText="1"/>
    </xf>
    <xf numFmtId="0" fontId="118" fillId="19" borderId="0" xfId="0" applyFont="1" applyFill="1" applyAlignment="1"/>
    <xf numFmtId="0" fontId="56" fillId="0" borderId="19" xfId="0" applyFont="1" applyBorder="1" applyAlignment="1"/>
    <xf numFmtId="167" fontId="127" fillId="18" borderId="18" xfId="2" applyNumberFormat="1" applyFont="1" applyFill="1" applyBorder="1"/>
    <xf numFmtId="9" fontId="7" fillId="0" borderId="0" xfId="1" applyNumberFormat="1" applyFont="1"/>
    <xf numFmtId="0" fontId="7" fillId="0" borderId="4" xfId="1" applyFont="1" applyBorder="1"/>
    <xf numFmtId="166" fontId="43" fillId="17" borderId="0" xfId="2" applyNumberFormat="1" applyFont="1" applyFill="1"/>
    <xf numFmtId="0" fontId="22" fillId="18" borderId="0" xfId="7" applyFont="1" applyFill="1"/>
    <xf numFmtId="43" fontId="22" fillId="18" borderId="0" xfId="7" applyNumberFormat="1" applyFont="1" applyFill="1"/>
    <xf numFmtId="165" fontId="25" fillId="18" borderId="0" xfId="7" applyNumberFormat="1" applyFont="1" applyFill="1" applyAlignment="1">
      <alignment horizontal="right"/>
    </xf>
    <xf numFmtId="167" fontId="22" fillId="18" borderId="0" xfId="2" applyNumberFormat="1" applyFont="1" applyFill="1"/>
    <xf numFmtId="167" fontId="35" fillId="18" borderId="0" xfId="2" applyNumberFormat="1" applyFont="1" applyFill="1"/>
    <xf numFmtId="167" fontId="25" fillId="18" borderId="0" xfId="2" applyNumberFormat="1" applyFont="1" applyFill="1"/>
    <xf numFmtId="166" fontId="22" fillId="18" borderId="0" xfId="2" applyNumberFormat="1" applyFont="1" applyFill="1"/>
    <xf numFmtId="43" fontId="22" fillId="18" borderId="0" xfId="2" applyFont="1" applyFill="1"/>
    <xf numFmtId="167" fontId="22" fillId="18" borderId="2" xfId="2" applyNumberFormat="1" applyFont="1" applyFill="1" applyBorder="1"/>
    <xf numFmtId="167" fontId="22" fillId="18" borderId="0" xfId="7" applyNumberFormat="1" applyFont="1" applyFill="1"/>
    <xf numFmtId="176" fontId="17" fillId="18" borderId="0" xfId="9" applyNumberFormat="1" applyFont="1" applyFill="1"/>
    <xf numFmtId="1" fontId="17" fillId="18" borderId="0" xfId="9" applyNumberFormat="1" applyFont="1" applyFill="1"/>
    <xf numFmtId="6" fontId="17" fillId="18" borderId="0" xfId="9" applyNumberFormat="1" applyFont="1" applyFill="1"/>
    <xf numFmtId="8" fontId="17" fillId="18" borderId="0" xfId="9" applyNumberFormat="1" applyFont="1" applyFill="1"/>
    <xf numFmtId="9" fontId="17" fillId="18" borderId="0" xfId="12" applyFont="1" applyFill="1"/>
    <xf numFmtId="2" fontId="17" fillId="18" borderId="0" xfId="9" applyNumberFormat="1" applyFont="1" applyFill="1"/>
    <xf numFmtId="10" fontId="17" fillId="0" borderId="0" xfId="2" applyNumberFormat="1" applyFont="1" applyAlignment="1">
      <alignment horizontal="right"/>
    </xf>
    <xf numFmtId="167" fontId="97" fillId="14" borderId="0" xfId="2" applyNumberFormat="1" applyFont="1" applyFill="1" applyBorder="1"/>
    <xf numFmtId="0" fontId="133" fillId="0" borderId="0" xfId="191" applyFont="1" applyAlignment="1">
      <alignment vertical="center"/>
    </xf>
    <xf numFmtId="43" fontId="134" fillId="0" borderId="0" xfId="190" applyFont="1" applyAlignment="1">
      <alignment vertical="center"/>
    </xf>
    <xf numFmtId="0" fontId="133" fillId="0" borderId="0" xfId="191" applyFont="1" applyBorder="1" applyAlignment="1">
      <alignment vertical="center"/>
    </xf>
    <xf numFmtId="43" fontId="136" fillId="0" borderId="21" xfId="190" applyFont="1" applyBorder="1" applyAlignment="1">
      <alignment horizontal="left" vertical="center"/>
    </xf>
    <xf numFmtId="43" fontId="136" fillId="0" borderId="21" xfId="190" applyFont="1" applyBorder="1" applyAlignment="1">
      <alignment horizontal="right" vertical="center"/>
    </xf>
    <xf numFmtId="43" fontId="134" fillId="28" borderId="0" xfId="190" applyFont="1" applyFill="1" applyBorder="1" applyAlignment="1">
      <alignment vertical="center"/>
    </xf>
    <xf numFmtId="167" fontId="134" fillId="28" borderId="0" xfId="190" applyNumberFormat="1" applyFont="1" applyFill="1" applyBorder="1" applyAlignment="1">
      <alignment vertical="center"/>
    </xf>
    <xf numFmtId="167" fontId="133" fillId="29" borderId="22" xfId="190" applyNumberFormat="1" applyFont="1" applyFill="1" applyBorder="1" applyAlignment="1">
      <alignment vertical="center"/>
    </xf>
    <xf numFmtId="167" fontId="134" fillId="28" borderId="23" xfId="190" applyNumberFormat="1" applyFont="1" applyFill="1" applyBorder="1" applyAlignment="1">
      <alignment vertical="center"/>
    </xf>
    <xf numFmtId="167" fontId="134" fillId="28" borderId="23" xfId="190" applyNumberFormat="1" applyFont="1" applyFill="1" applyBorder="1" applyAlignment="1">
      <alignment horizontal="right" vertical="center"/>
    </xf>
    <xf numFmtId="43" fontId="133" fillId="29" borderId="22" xfId="190" applyFont="1" applyFill="1" applyBorder="1" applyAlignment="1">
      <alignment vertical="center"/>
    </xf>
    <xf numFmtId="43" fontId="133" fillId="0" borderId="0" xfId="190" applyFont="1" applyBorder="1" applyAlignment="1">
      <alignment vertical="center"/>
    </xf>
    <xf numFmtId="166" fontId="133" fillId="0" borderId="0" xfId="190" applyNumberFormat="1" applyFont="1" applyBorder="1" applyAlignment="1">
      <alignment vertical="center"/>
    </xf>
    <xf numFmtId="167" fontId="133" fillId="0" borderId="0" xfId="190" applyNumberFormat="1" applyFont="1" applyFill="1" applyBorder="1" applyAlignment="1">
      <alignment vertical="center"/>
    </xf>
    <xf numFmtId="43" fontId="133" fillId="0" borderId="0" xfId="190" applyFont="1" applyFill="1" applyBorder="1" applyAlignment="1">
      <alignment horizontal="right" vertical="center"/>
    </xf>
    <xf numFmtId="166" fontId="133" fillId="0" borderId="0" xfId="190" applyNumberFormat="1" applyFont="1" applyFill="1" applyBorder="1" applyAlignment="1">
      <alignment vertical="center"/>
    </xf>
    <xf numFmtId="9" fontId="133" fillId="0" borderId="0" xfId="192" applyNumberFormat="1" applyFont="1" applyFill="1" applyBorder="1" applyAlignment="1">
      <alignment vertical="center"/>
    </xf>
    <xf numFmtId="169" fontId="133" fillId="0" borderId="0" xfId="192" applyNumberFormat="1" applyFont="1" applyFill="1" applyBorder="1" applyAlignment="1">
      <alignment vertical="center"/>
    </xf>
    <xf numFmtId="43" fontId="136" fillId="18" borderId="0" xfId="190" applyFont="1" applyFill="1"/>
    <xf numFmtId="167" fontId="133" fillId="18" borderId="0" xfId="190" applyNumberFormat="1" applyFont="1" applyFill="1" applyAlignment="1">
      <alignment vertical="center"/>
    </xf>
    <xf numFmtId="43" fontId="133" fillId="29" borderId="22" xfId="190" applyFont="1" applyFill="1" applyBorder="1" applyAlignment="1">
      <alignment horizontal="right" vertical="center"/>
    </xf>
    <xf numFmtId="166" fontId="133" fillId="29" borderId="22" xfId="190" applyNumberFormat="1" applyFont="1" applyFill="1" applyBorder="1" applyAlignment="1">
      <alignment vertical="center"/>
    </xf>
    <xf numFmtId="166" fontId="133" fillId="29" borderId="22" xfId="190" applyNumberFormat="1" applyFont="1" applyFill="1" applyBorder="1" applyAlignment="1">
      <alignment horizontal="right" vertical="center"/>
    </xf>
    <xf numFmtId="9" fontId="133" fillId="29" borderId="22" xfId="192" applyNumberFormat="1" applyFont="1" applyFill="1" applyBorder="1" applyAlignment="1">
      <alignment horizontal="right" vertical="center"/>
    </xf>
    <xf numFmtId="169" fontId="133" fillId="29" borderId="22" xfId="192" applyNumberFormat="1" applyFont="1" applyFill="1" applyBorder="1" applyAlignment="1">
      <alignment vertical="center"/>
    </xf>
    <xf numFmtId="167" fontId="133" fillId="18" borderId="0" xfId="190" applyNumberFormat="1" applyFont="1" applyFill="1" applyBorder="1" applyAlignment="1">
      <alignment vertical="center"/>
    </xf>
    <xf numFmtId="43" fontId="133" fillId="0" borderId="0" xfId="190" applyFont="1" applyFill="1" applyBorder="1" applyAlignment="1">
      <alignment vertical="center"/>
    </xf>
    <xf numFmtId="43" fontId="136" fillId="18" borderId="2" xfId="190" applyFont="1" applyFill="1" applyBorder="1"/>
    <xf numFmtId="167" fontId="134" fillId="0" borderId="22" xfId="190" applyNumberFormat="1" applyFont="1" applyFill="1" applyBorder="1" applyAlignment="1">
      <alignment vertical="center"/>
    </xf>
    <xf numFmtId="43" fontId="136" fillId="18" borderId="23" xfId="190" applyFont="1" applyFill="1" applyBorder="1" applyAlignment="1">
      <alignment vertical="center"/>
    </xf>
    <xf numFmtId="167" fontId="133" fillId="0" borderId="0" xfId="190" applyNumberFormat="1" applyFont="1" applyBorder="1" applyAlignment="1">
      <alignment vertical="center"/>
    </xf>
    <xf numFmtId="167" fontId="133" fillId="0" borderId="0" xfId="191" applyNumberFormat="1" applyFont="1" applyAlignment="1">
      <alignment vertical="center"/>
    </xf>
    <xf numFmtId="169" fontId="133" fillId="0" borderId="0" xfId="192" applyNumberFormat="1" applyFont="1" applyBorder="1" applyAlignment="1">
      <alignment vertical="center"/>
    </xf>
    <xf numFmtId="43" fontId="138" fillId="0" borderId="0" xfId="190" applyFont="1" applyAlignment="1">
      <alignment horizontal="left" vertical="center" wrapText="1" readingOrder="1"/>
    </xf>
    <xf numFmtId="43" fontId="138" fillId="0" borderId="0" xfId="190" applyFont="1" applyAlignment="1">
      <alignment vertical="center" wrapText="1" readingOrder="1"/>
    </xf>
    <xf numFmtId="43" fontId="133" fillId="29" borderId="22" xfId="190" applyFont="1" applyFill="1" applyBorder="1" applyAlignment="1">
      <alignment vertical="center" readingOrder="1"/>
    </xf>
    <xf numFmtId="167" fontId="139" fillId="0" borderId="0" xfId="190" applyNumberFormat="1" applyFont="1" applyFill="1" applyBorder="1" applyAlignment="1">
      <alignment vertical="center"/>
    </xf>
    <xf numFmtId="43" fontId="133" fillId="0" borderId="0" xfId="190" applyFont="1" applyAlignment="1">
      <alignment vertical="center"/>
    </xf>
    <xf numFmtId="43" fontId="133" fillId="0" borderId="20" xfId="190" applyFont="1" applyBorder="1" applyAlignment="1">
      <alignment vertical="center"/>
    </xf>
    <xf numFmtId="167" fontId="133" fillId="0" borderId="20" xfId="190" applyNumberFormat="1" applyFont="1" applyBorder="1" applyAlignment="1">
      <alignment vertical="center"/>
    </xf>
    <xf numFmtId="167" fontId="133" fillId="0" borderId="0" xfId="190" applyNumberFormat="1" applyFont="1" applyAlignment="1">
      <alignment vertical="center"/>
    </xf>
    <xf numFmtId="167" fontId="136" fillId="18" borderId="23" xfId="190" applyNumberFormat="1" applyFont="1" applyFill="1" applyBorder="1" applyAlignment="1">
      <alignment vertical="center"/>
    </xf>
    <xf numFmtId="43" fontId="133" fillId="0" borderId="0" xfId="191" applyNumberFormat="1" applyFont="1" applyAlignment="1">
      <alignment vertical="center"/>
    </xf>
    <xf numFmtId="43" fontId="133" fillId="0" borderId="0" xfId="2" applyFont="1" applyAlignment="1">
      <alignment vertical="center"/>
    </xf>
    <xf numFmtId="166" fontId="133" fillId="0" borderId="0" xfId="2" applyNumberFormat="1" applyFont="1" applyAlignment="1">
      <alignment vertical="center"/>
    </xf>
    <xf numFmtId="9" fontId="133" fillId="0" borderId="0" xfId="12" applyFont="1" applyAlignment="1">
      <alignment vertical="center"/>
    </xf>
    <xf numFmtId="9" fontId="133" fillId="0" borderId="0" xfId="12" applyFont="1" applyBorder="1" applyAlignment="1">
      <alignment vertical="center"/>
    </xf>
    <xf numFmtId="43" fontId="133" fillId="0" borderId="0" xfId="2" applyFont="1" applyBorder="1" applyAlignment="1">
      <alignment vertical="center"/>
    </xf>
    <xf numFmtId="9" fontId="133" fillId="0" borderId="0" xfId="191" applyNumberFormat="1" applyFont="1" applyAlignment="1">
      <alignment vertical="center"/>
    </xf>
    <xf numFmtId="0" fontId="140" fillId="18" borderId="4" xfId="0" applyFont="1" applyFill="1" applyBorder="1" applyAlignment="1">
      <alignment horizontal="left" vertical="center"/>
    </xf>
    <xf numFmtId="43" fontId="66" fillId="18" borderId="4" xfId="2" applyFont="1" applyFill="1" applyBorder="1" applyAlignment="1">
      <alignment vertical="center" wrapText="1"/>
    </xf>
    <xf numFmtId="0" fontId="140" fillId="18" borderId="0" xfId="0" applyFont="1" applyFill="1" applyBorder="1" applyAlignment="1">
      <alignment horizontal="left" vertical="center"/>
    </xf>
    <xf numFmtId="43" fontId="66" fillId="18" borderId="0" xfId="2" applyFont="1" applyFill="1" applyBorder="1" applyAlignment="1">
      <alignment vertical="center" wrapText="1"/>
    </xf>
    <xf numFmtId="0" fontId="140" fillId="18" borderId="2" xfId="0" applyFont="1" applyFill="1" applyBorder="1" applyAlignment="1">
      <alignment horizontal="left" vertical="center"/>
    </xf>
    <xf numFmtId="43" fontId="66" fillId="18" borderId="2" xfId="2" applyFont="1" applyFill="1" applyBorder="1" applyAlignment="1">
      <alignment vertical="center" wrapText="1"/>
    </xf>
    <xf numFmtId="167" fontId="66" fillId="18" borderId="4" xfId="2" applyNumberFormat="1" applyFont="1" applyFill="1" applyBorder="1" applyAlignment="1">
      <alignment vertical="center" wrapText="1"/>
    </xf>
    <xf numFmtId="167" fontId="66" fillId="18" borderId="0" xfId="2" applyNumberFormat="1" applyFont="1" applyFill="1" applyBorder="1" applyAlignment="1">
      <alignment vertical="center" wrapText="1"/>
    </xf>
    <xf numFmtId="167" fontId="66" fillId="18" borderId="2" xfId="2" applyNumberFormat="1" applyFont="1" applyFill="1" applyBorder="1" applyAlignment="1">
      <alignment vertical="center" wrapText="1"/>
    </xf>
    <xf numFmtId="167" fontId="66" fillId="18" borderId="0" xfId="7" applyNumberFormat="1" applyFont="1" applyFill="1" applyBorder="1"/>
    <xf numFmtId="0" fontId="66" fillId="18" borderId="0" xfId="7" applyFont="1" applyFill="1" applyBorder="1"/>
    <xf numFmtId="167" fontId="37" fillId="17" borderId="0" xfId="2" applyNumberFormat="1" applyFont="1" applyFill="1"/>
    <xf numFmtId="43" fontId="17" fillId="16" borderId="0" xfId="2" applyFont="1" applyFill="1"/>
    <xf numFmtId="43" fontId="17" fillId="16" borderId="0" xfId="2" applyFont="1" applyFill="1" applyBorder="1"/>
    <xf numFmtId="167" fontId="18" fillId="17" borderId="0" xfId="2" applyNumberFormat="1" applyFont="1" applyFill="1" applyAlignment="1">
      <alignment horizontal="left"/>
    </xf>
    <xf numFmtId="167" fontId="136" fillId="18" borderId="2" xfId="190" applyNumberFormat="1" applyFont="1" applyFill="1" applyBorder="1"/>
    <xf numFmtId="167" fontId="136" fillId="18" borderId="2" xfId="2" applyNumberFormat="1" applyFont="1" applyFill="1" applyBorder="1"/>
    <xf numFmtId="43" fontId="133" fillId="29" borderId="24" xfId="190" applyFont="1" applyFill="1" applyBorder="1" applyAlignment="1">
      <alignment vertical="center"/>
    </xf>
    <xf numFmtId="167" fontId="133" fillId="29" borderId="24" xfId="190" applyNumberFormat="1" applyFont="1" applyFill="1" applyBorder="1" applyAlignment="1">
      <alignment vertical="center"/>
    </xf>
    <xf numFmtId="43" fontId="136" fillId="0" borderId="0" xfId="190" applyFont="1" applyBorder="1" applyAlignment="1">
      <alignment horizontal="right" vertical="center"/>
    </xf>
    <xf numFmtId="167" fontId="133" fillId="0" borderId="0" xfId="2" applyNumberFormat="1" applyFont="1" applyAlignment="1">
      <alignment vertical="center"/>
    </xf>
    <xf numFmtId="0" fontId="133" fillId="0" borderId="0" xfId="190" applyNumberFormat="1" applyFont="1" applyFill="1" applyBorder="1" applyAlignment="1">
      <alignment vertical="center"/>
    </xf>
    <xf numFmtId="0" fontId="141" fillId="30" borderId="0" xfId="0" applyFont="1" applyFill="1" applyAlignment="1">
      <alignment horizontal="left" wrapText="1" readingOrder="1"/>
    </xf>
    <xf numFmtId="0" fontId="141" fillId="30" borderId="0" xfId="0" applyFont="1" applyFill="1" applyAlignment="1">
      <alignment horizontal="right" wrapText="1" readingOrder="1"/>
    </xf>
    <xf numFmtId="0" fontId="142" fillId="30" borderId="0" xfId="0" applyFont="1" applyFill="1" applyAlignment="1">
      <alignment horizontal="left" wrapText="1" readingOrder="1"/>
    </xf>
    <xf numFmtId="166" fontId="142" fillId="30" borderId="0" xfId="0" applyNumberFormat="1" applyFont="1" applyFill="1" applyAlignment="1">
      <alignment horizontal="right" wrapText="1" readingOrder="1"/>
    </xf>
    <xf numFmtId="169" fontId="142" fillId="30" borderId="0" xfId="0" applyNumberFormat="1" applyFont="1" applyFill="1" applyAlignment="1">
      <alignment horizontal="right" vertical="center" wrapText="1" readingOrder="1"/>
    </xf>
    <xf numFmtId="171" fontId="17" fillId="0" borderId="0" xfId="2" applyNumberFormat="1" applyFont="1" applyFill="1" applyAlignment="1">
      <alignment horizontal="left"/>
    </xf>
    <xf numFmtId="171" fontId="22" fillId="0" borderId="0" xfId="2" applyNumberFormat="1" applyFont="1" applyFill="1" applyAlignment="1">
      <alignment horizontal="left"/>
    </xf>
    <xf numFmtId="171" fontId="22" fillId="0" borderId="0" xfId="2" applyNumberFormat="1" applyFont="1" applyFill="1" applyAlignment="1">
      <alignment horizontal="right"/>
    </xf>
    <xf numFmtId="171" fontId="61" fillId="0" borderId="0" xfId="2" applyNumberFormat="1" applyFont="1" applyFill="1" applyAlignment="1">
      <alignment horizontal="right"/>
    </xf>
    <xf numFmtId="171" fontId="35" fillId="0" borderId="0" xfId="2" applyNumberFormat="1" applyFont="1" applyFill="1" applyAlignment="1">
      <alignment horizontal="right"/>
    </xf>
    <xf numFmtId="172" fontId="17" fillId="0" borderId="0" xfId="2" applyNumberFormat="1" applyFont="1" applyFill="1" applyBorder="1"/>
    <xf numFmtId="43" fontId="61" fillId="0" borderId="0" xfId="2" applyFont="1" applyFill="1" applyAlignment="1">
      <alignment horizontal="right"/>
    </xf>
    <xf numFmtId="213" fontId="17" fillId="0" borderId="0" xfId="2" applyNumberFormat="1" applyFont="1" applyFill="1" applyBorder="1"/>
    <xf numFmtId="171" fontId="22" fillId="14" borderId="0" xfId="2" applyNumberFormat="1" applyFont="1" applyFill="1" applyAlignment="1">
      <alignment horizontal="right"/>
    </xf>
    <xf numFmtId="171" fontId="50" fillId="0" borderId="0" xfId="2" applyNumberFormat="1" applyFont="1" applyFill="1"/>
    <xf numFmtId="213" fontId="50" fillId="0" borderId="0" xfId="2" applyNumberFormat="1" applyFont="1" applyFill="1"/>
    <xf numFmtId="43" fontId="50" fillId="0" borderId="0" xfId="2" applyNumberFormat="1" applyFont="1" applyFill="1"/>
    <xf numFmtId="172" fontId="22" fillId="0" borderId="0" xfId="2" applyNumberFormat="1" applyFont="1" applyFill="1" applyAlignment="1">
      <alignment horizontal="right"/>
    </xf>
    <xf numFmtId="213" fontId="22" fillId="0" borderId="0" xfId="2" applyNumberFormat="1" applyFont="1" applyFill="1" applyAlignment="1">
      <alignment horizontal="right"/>
    </xf>
    <xf numFmtId="173" fontId="22" fillId="0" borderId="0" xfId="2" applyNumberFormat="1" applyFont="1" applyFill="1" applyAlignment="1">
      <alignment horizontal="right"/>
    </xf>
    <xf numFmtId="171" fontId="22" fillId="13" borderId="0" xfId="2" applyNumberFormat="1" applyFont="1" applyFill="1" applyBorder="1"/>
    <xf numFmtId="43" fontId="22" fillId="13" borderId="2" xfId="2" applyNumberFormat="1" applyFont="1" applyFill="1" applyBorder="1"/>
    <xf numFmtId="43" fontId="22" fillId="0" borderId="0" xfId="2" applyNumberFormat="1" applyFont="1" applyFill="1" applyAlignment="1">
      <alignment horizontal="right"/>
    </xf>
    <xf numFmtId="43" fontId="22" fillId="0" borderId="0" xfId="2" applyNumberFormat="1" applyFont="1" applyFill="1" applyAlignment="1">
      <alignment horizontal="left"/>
    </xf>
    <xf numFmtId="213" fontId="22" fillId="14" borderId="0" xfId="2" applyNumberFormat="1" applyFont="1" applyFill="1" applyAlignment="1">
      <alignment horizontal="left"/>
    </xf>
    <xf numFmtId="43" fontId="22" fillId="13" borderId="0" xfId="2" applyNumberFormat="1" applyFont="1" applyFill="1" applyBorder="1"/>
    <xf numFmtId="0" fontId="17" fillId="5" borderId="0" xfId="7" applyNumberFormat="1" applyFont="1" applyFill="1"/>
    <xf numFmtId="9" fontId="35" fillId="5" borderId="0" xfId="12" applyNumberFormat="1" applyFont="1" applyFill="1"/>
    <xf numFmtId="0" fontId="17" fillId="5" borderId="0" xfId="12" applyNumberFormat="1" applyFont="1" applyFill="1"/>
    <xf numFmtId="43" fontId="17" fillId="5" borderId="0" xfId="7" applyNumberFormat="1" applyFont="1" applyFill="1" applyBorder="1"/>
    <xf numFmtId="167" fontId="18" fillId="5" borderId="0" xfId="7" applyNumberFormat="1" applyFont="1" applyFill="1"/>
    <xf numFmtId="0" fontId="55" fillId="19" borderId="0" xfId="0" applyFont="1" applyFill="1" applyAlignment="1">
      <alignment vertical="center"/>
    </xf>
    <xf numFmtId="43" fontId="55" fillId="19" borderId="0" xfId="2" applyFont="1" applyFill="1" applyAlignment="1">
      <alignment horizontal="right" vertical="center"/>
    </xf>
    <xf numFmtId="0" fontId="55" fillId="19" borderId="0" xfId="0" applyFont="1" applyFill="1" applyAlignment="1">
      <alignment horizontal="right" vertical="center"/>
    </xf>
    <xf numFmtId="0" fontId="7" fillId="18" borderId="0" xfId="0" applyFont="1" applyFill="1" applyAlignment="1">
      <alignment vertical="center"/>
    </xf>
    <xf numFmtId="167" fontId="7" fillId="18" borderId="0" xfId="2" applyNumberFormat="1" applyFont="1" applyFill="1" applyAlignment="1">
      <alignment horizontal="right" vertical="center"/>
    </xf>
    <xf numFmtId="9" fontId="7" fillId="18" borderId="0" xfId="12" applyFont="1" applyFill="1" applyAlignment="1">
      <alignment horizontal="right" vertical="center"/>
    </xf>
    <xf numFmtId="167" fontId="7" fillId="18" borderId="0" xfId="0" applyNumberFormat="1" applyFont="1" applyFill="1" applyAlignment="1">
      <alignment horizontal="right" vertical="center"/>
    </xf>
    <xf numFmtId="9" fontId="7" fillId="18" borderId="0" xfId="2" applyNumberFormat="1" applyFont="1" applyFill="1" applyAlignment="1">
      <alignment horizontal="right" vertical="center"/>
    </xf>
    <xf numFmtId="43" fontId="7" fillId="18" borderId="0" xfId="0" applyNumberFormat="1" applyFont="1" applyFill="1" applyAlignment="1">
      <alignment horizontal="right" vertical="center"/>
    </xf>
    <xf numFmtId="0" fontId="56" fillId="18" borderId="12" xfId="0" applyFont="1" applyFill="1" applyBorder="1" applyAlignment="1">
      <alignment vertical="center"/>
    </xf>
    <xf numFmtId="0" fontId="7" fillId="18" borderId="12" xfId="0" applyFont="1" applyFill="1" applyBorder="1" applyAlignment="1">
      <alignment vertical="center"/>
    </xf>
    <xf numFmtId="0" fontId="59" fillId="18" borderId="2" xfId="0" applyFont="1" applyFill="1" applyBorder="1" applyAlignment="1">
      <alignment vertical="center"/>
    </xf>
    <xf numFmtId="43" fontId="59" fillId="18" borderId="2" xfId="2" applyFont="1" applyFill="1" applyBorder="1" applyAlignment="1">
      <alignment horizontal="right" vertical="center"/>
    </xf>
    <xf numFmtId="0" fontId="59" fillId="18" borderId="2" xfId="0" applyFont="1" applyFill="1" applyBorder="1" applyAlignment="1">
      <alignment horizontal="right" vertical="center"/>
    </xf>
    <xf numFmtId="43" fontId="60" fillId="19" borderId="0" xfId="2" applyFont="1" applyFill="1" applyAlignment="1">
      <alignment horizontal="right" vertical="center"/>
    </xf>
    <xf numFmtId="0" fontId="60" fillId="19" borderId="0" xfId="0" applyFont="1" applyFill="1" applyAlignment="1">
      <alignment vertical="center"/>
    </xf>
    <xf numFmtId="0" fontId="59" fillId="18" borderId="13" xfId="0" applyFont="1" applyFill="1" applyBorder="1" applyAlignment="1">
      <alignment vertical="center"/>
    </xf>
    <xf numFmtId="43" fontId="59" fillId="18" borderId="13" xfId="2" applyFont="1" applyFill="1" applyBorder="1" applyAlignment="1">
      <alignment horizontal="right" vertical="center"/>
    </xf>
    <xf numFmtId="0" fontId="59" fillId="18" borderId="13" xfId="0" applyFont="1" applyFill="1" applyBorder="1" applyAlignment="1">
      <alignment horizontal="right" vertical="center"/>
    </xf>
    <xf numFmtId="167" fontId="7" fillId="18" borderId="0" xfId="2" applyNumberFormat="1" applyFont="1" applyFill="1" applyAlignment="1">
      <alignment vertical="center"/>
    </xf>
    <xf numFmtId="9" fontId="7" fillId="18" borderId="0" xfId="12" applyFont="1" applyFill="1" applyAlignment="1">
      <alignment vertical="center"/>
    </xf>
    <xf numFmtId="167" fontId="7" fillId="18" borderId="0" xfId="0" applyNumberFormat="1" applyFont="1" applyFill="1" applyAlignment="1">
      <alignment vertical="center"/>
    </xf>
    <xf numFmtId="0" fontId="7" fillId="18" borderId="2" xfId="0" applyFont="1" applyFill="1" applyBorder="1" applyAlignment="1">
      <alignment vertical="center"/>
    </xf>
    <xf numFmtId="43" fontId="7" fillId="18" borderId="2" xfId="0" applyNumberFormat="1" applyFont="1" applyFill="1" applyBorder="1" applyAlignment="1">
      <alignment vertical="center"/>
    </xf>
    <xf numFmtId="9" fontId="7" fillId="18" borderId="2" xfId="12" applyFont="1" applyFill="1" applyBorder="1" applyAlignment="1">
      <alignment vertical="center"/>
    </xf>
    <xf numFmtId="0" fontId="56" fillId="18" borderId="0" xfId="0" applyFont="1" applyFill="1" applyBorder="1" applyAlignment="1">
      <alignment vertical="center"/>
    </xf>
    <xf numFmtId="0" fontId="7" fillId="18" borderId="0" xfId="0" applyFont="1" applyFill="1" applyBorder="1" applyAlignment="1">
      <alignment vertical="center"/>
    </xf>
    <xf numFmtId="169" fontId="7" fillId="18" borderId="0" xfId="12" applyNumberFormat="1" applyFont="1" applyFill="1" applyAlignment="1">
      <alignment vertical="center"/>
    </xf>
    <xf numFmtId="175" fontId="7" fillId="18" borderId="0" xfId="12" applyNumberFormat="1" applyFont="1" applyFill="1" applyAlignment="1">
      <alignment vertical="center"/>
    </xf>
    <xf numFmtId="43" fontId="7" fillId="18" borderId="0" xfId="2" applyFont="1" applyFill="1" applyAlignment="1">
      <alignment vertical="center"/>
    </xf>
    <xf numFmtId="167" fontId="57" fillId="18" borderId="0" xfId="2" applyNumberFormat="1" applyFont="1" applyFill="1" applyAlignment="1">
      <alignment vertical="center"/>
    </xf>
    <xf numFmtId="0" fontId="57" fillId="18" borderId="0" xfId="0" applyFont="1" applyFill="1" applyAlignment="1">
      <alignment vertical="center"/>
    </xf>
    <xf numFmtId="167" fontId="58" fillId="18" borderId="0" xfId="2" applyNumberFormat="1" applyFont="1" applyFill="1" applyAlignment="1">
      <alignment vertical="center"/>
    </xf>
    <xf numFmtId="9" fontId="57" fillId="18" borderId="0" xfId="12" applyFont="1" applyFill="1" applyAlignment="1">
      <alignment vertical="center"/>
    </xf>
    <xf numFmtId="43" fontId="7" fillId="18" borderId="0" xfId="0" applyNumberFormat="1" applyFont="1" applyFill="1" applyAlignment="1">
      <alignment vertical="center"/>
    </xf>
    <xf numFmtId="169" fontId="7" fillId="18" borderId="0" xfId="12" applyNumberFormat="1" applyFont="1" applyFill="1" applyBorder="1" applyAlignment="1">
      <alignment vertical="center"/>
    </xf>
    <xf numFmtId="0" fontId="117" fillId="18" borderId="0" xfId="0" applyFont="1" applyFill="1" applyAlignment="1">
      <alignment vertical="center"/>
    </xf>
    <xf numFmtId="9" fontId="117" fillId="18" borderId="0" xfId="12" applyFont="1" applyFill="1" applyAlignment="1">
      <alignment horizontal="right" vertical="center"/>
    </xf>
    <xf numFmtId="9" fontId="117" fillId="18" borderId="0" xfId="2" applyNumberFormat="1" applyFont="1" applyFill="1" applyAlignment="1">
      <alignment horizontal="right" vertical="center"/>
    </xf>
    <xf numFmtId="166" fontId="97" fillId="14" borderId="0" xfId="2" applyNumberFormat="1" applyFont="1" applyFill="1" applyBorder="1"/>
    <xf numFmtId="213" fontId="17" fillId="5" borderId="0" xfId="2" applyNumberFormat="1" applyFont="1" applyFill="1" applyBorder="1"/>
    <xf numFmtId="43" fontId="6" fillId="26" borderId="0" xfId="4" applyNumberFormat="1" applyFill="1" applyBorder="1" applyAlignment="1" applyProtection="1">
      <alignment vertical="center"/>
    </xf>
    <xf numFmtId="0" fontId="18" fillId="18" borderId="0" xfId="7" applyFont="1" applyFill="1" applyBorder="1" applyAlignment="1">
      <alignment horizontal="right" textRotation="90"/>
    </xf>
    <xf numFmtId="0" fontId="23" fillId="11" borderId="0" xfId="1" applyFont="1" applyFill="1" applyBorder="1" applyAlignment="1">
      <alignment horizontal="left"/>
    </xf>
    <xf numFmtId="0" fontId="18" fillId="2" borderId="0" xfId="1" applyFont="1" applyFill="1" applyBorder="1" applyAlignment="1">
      <alignment horizontal="center"/>
    </xf>
    <xf numFmtId="0" fontId="65" fillId="16" borderId="0" xfId="10" applyFont="1" applyFill="1" applyBorder="1" applyAlignment="1">
      <alignment horizontal="center" textRotation="90"/>
    </xf>
    <xf numFmtId="0" fontId="65" fillId="16" borderId="2" xfId="10" applyFont="1" applyFill="1" applyBorder="1" applyAlignment="1">
      <alignment horizontal="center" textRotation="90"/>
    </xf>
    <xf numFmtId="0" fontId="65" fillId="16" borderId="0" xfId="10" applyFont="1" applyFill="1" applyBorder="1" applyAlignment="1">
      <alignment horizontal="center"/>
    </xf>
    <xf numFmtId="0" fontId="54" fillId="19" borderId="0" xfId="181" applyFont="1" applyFill="1" applyBorder="1" applyAlignment="1">
      <alignment horizontal="center" vertical="center"/>
    </xf>
    <xf numFmtId="0" fontId="108" fillId="19" borderId="0" xfId="181" applyFont="1" applyFill="1" applyBorder="1" applyAlignment="1">
      <alignment horizontal="center" vertical="center"/>
    </xf>
    <xf numFmtId="167" fontId="106" fillId="26" borderId="0" xfId="183" applyNumberFormat="1" applyFont="1" applyFill="1" applyBorder="1" applyAlignment="1">
      <alignment horizontal="right"/>
    </xf>
    <xf numFmtId="0" fontId="114" fillId="26" borderId="0" xfId="181" applyFont="1" applyFill="1" applyAlignment="1">
      <alignment horizontal="center" vertical="center"/>
    </xf>
    <xf numFmtId="0" fontId="114" fillId="26" borderId="0" xfId="181" applyFont="1" applyFill="1" applyBorder="1" applyAlignment="1">
      <alignment horizontal="center" vertical="center"/>
    </xf>
    <xf numFmtId="43" fontId="106" fillId="26" borderId="0" xfId="183" applyFont="1" applyFill="1" applyBorder="1" applyAlignment="1">
      <alignment horizontal="center"/>
    </xf>
    <xf numFmtId="166" fontId="106" fillId="26" borderId="0" xfId="183" applyNumberFormat="1" applyFont="1" applyFill="1" applyBorder="1" applyAlignment="1">
      <alignment horizontal="center"/>
    </xf>
    <xf numFmtId="167" fontId="106" fillId="26" borderId="2" xfId="183" applyNumberFormat="1" applyFont="1" applyFill="1" applyBorder="1" applyAlignment="1">
      <alignment horizontal="right"/>
    </xf>
    <xf numFmtId="167" fontId="94" fillId="26" borderId="0" xfId="183" applyNumberFormat="1" applyFont="1" applyFill="1" applyBorder="1" applyAlignment="1">
      <alignment horizontal="right"/>
    </xf>
    <xf numFmtId="43" fontId="94" fillId="26" borderId="0" xfId="183" applyFont="1" applyFill="1" applyBorder="1" applyAlignment="1">
      <alignment horizontal="center"/>
    </xf>
    <xf numFmtId="167" fontId="94" fillId="26" borderId="0" xfId="183" applyNumberFormat="1" applyFont="1" applyFill="1" applyBorder="1" applyAlignment="1">
      <alignment horizontal="center"/>
    </xf>
    <xf numFmtId="166" fontId="106" fillId="26" borderId="0" xfId="183" applyNumberFormat="1" applyFont="1" applyFill="1" applyBorder="1" applyAlignment="1">
      <alignment horizontal="right"/>
    </xf>
    <xf numFmtId="167" fontId="106" fillId="26" borderId="0" xfId="183" applyNumberFormat="1" applyFont="1" applyFill="1" applyBorder="1" applyAlignment="1">
      <alignment horizontal="center"/>
    </xf>
    <xf numFmtId="169" fontId="106" fillId="26" borderId="0" xfId="183" applyNumberFormat="1" applyFont="1" applyFill="1" applyBorder="1" applyAlignment="1">
      <alignment horizontal="right"/>
    </xf>
    <xf numFmtId="166" fontId="94" fillId="26" borderId="0" xfId="183" applyNumberFormat="1" applyFont="1" applyFill="1" applyBorder="1" applyAlignment="1">
      <alignment horizontal="center"/>
    </xf>
    <xf numFmtId="169" fontId="94" fillId="26" borderId="0" xfId="184" applyNumberFormat="1" applyFont="1" applyFill="1" applyBorder="1" applyAlignment="1">
      <alignment horizontal="right"/>
    </xf>
    <xf numFmtId="166" fontId="106" fillId="18" borderId="0" xfId="183" applyNumberFormat="1" applyFont="1" applyFill="1" applyBorder="1" applyAlignment="1">
      <alignment horizontal="right"/>
    </xf>
    <xf numFmtId="169" fontId="106" fillId="26" borderId="0" xfId="184" applyNumberFormat="1" applyFont="1" applyFill="1" applyBorder="1" applyAlignment="1">
      <alignment horizontal="right"/>
    </xf>
    <xf numFmtId="166" fontId="107" fillId="26" borderId="0" xfId="183" applyNumberFormat="1" applyFont="1" applyFill="1" applyBorder="1" applyAlignment="1">
      <alignment horizontal="center"/>
    </xf>
    <xf numFmtId="43" fontId="108" fillId="19" borderId="0" xfId="183" applyFont="1" applyFill="1" applyBorder="1" applyAlignment="1">
      <alignment horizontal="left" vertical="center"/>
    </xf>
    <xf numFmtId="0" fontId="98" fillId="0" borderId="0" xfId="182" applyNumberFormat="1" applyFont="1" applyFill="1" applyBorder="1" applyAlignment="1">
      <alignment horizontal="left"/>
    </xf>
    <xf numFmtId="0" fontId="98" fillId="0" borderId="18" xfId="182" applyNumberFormat="1" applyFont="1" applyFill="1" applyBorder="1" applyAlignment="1">
      <alignment horizontal="left"/>
    </xf>
    <xf numFmtId="0" fontId="101" fillId="0" borderId="0" xfId="182" applyNumberFormat="1" applyFont="1" applyFill="1" applyBorder="1" applyAlignment="1">
      <alignment horizontal="right"/>
    </xf>
    <xf numFmtId="0" fontId="56" fillId="18" borderId="12" xfId="0" applyFont="1" applyFill="1" applyBorder="1" applyAlignment="1">
      <alignment horizontal="left" vertical="center"/>
    </xf>
    <xf numFmtId="0" fontId="55" fillId="19" borderId="0" xfId="0" applyFont="1" applyFill="1" applyAlignment="1">
      <alignment horizontal="left" vertical="center"/>
    </xf>
    <xf numFmtId="0" fontId="137" fillId="0" borderId="0" xfId="191" applyFont="1" applyAlignment="1">
      <alignment horizontal="left" vertical="center" wrapText="1"/>
    </xf>
    <xf numFmtId="0" fontId="137" fillId="0" borderId="21" xfId="191" applyFont="1" applyBorder="1" applyAlignment="1">
      <alignment horizontal="left" vertical="center" wrapText="1"/>
    </xf>
    <xf numFmtId="43" fontId="132" fillId="14" borderId="0" xfId="190" applyFont="1" applyFill="1" applyAlignment="1">
      <alignment horizontal="center" vertical="center"/>
    </xf>
    <xf numFmtId="43" fontId="134" fillId="0" borderId="0" xfId="190" applyFont="1" applyBorder="1" applyAlignment="1">
      <alignment horizontal="left" vertical="center"/>
    </xf>
    <xf numFmtId="43" fontId="134" fillId="0" borderId="20" xfId="190" applyFont="1" applyBorder="1" applyAlignment="1">
      <alignment horizontal="left" vertical="center"/>
    </xf>
    <xf numFmtId="43" fontId="134" fillId="0" borderId="0" xfId="190" applyFont="1" applyBorder="1" applyAlignment="1">
      <alignment horizontal="center" vertical="center"/>
    </xf>
    <xf numFmtId="43" fontId="134" fillId="0" borderId="20" xfId="190" applyFont="1" applyBorder="1" applyAlignment="1">
      <alignment horizontal="center" vertical="center"/>
    </xf>
    <xf numFmtId="43" fontId="135" fillId="0" borderId="0" xfId="190" applyFont="1" applyBorder="1" applyAlignment="1">
      <alignment horizontal="center" vertical="center"/>
    </xf>
    <xf numFmtId="43" fontId="135" fillId="0" borderId="0" xfId="190" applyFont="1" applyBorder="1" applyAlignment="1">
      <alignment horizontal="left" vertical="center"/>
    </xf>
    <xf numFmtId="43" fontId="135" fillId="0" borderId="20" xfId="190" applyFont="1" applyBorder="1" applyAlignment="1">
      <alignment horizontal="left" vertical="center"/>
    </xf>
    <xf numFmtId="9" fontId="135" fillId="0" borderId="0" xfId="192" applyFont="1" applyBorder="1" applyAlignment="1">
      <alignment horizontal="left" vertical="center"/>
    </xf>
    <xf numFmtId="9" fontId="135" fillId="0" borderId="20" xfId="192" applyFont="1" applyBorder="1" applyAlignment="1">
      <alignment horizontal="left" vertical="center"/>
    </xf>
    <xf numFmtId="43" fontId="135" fillId="0" borderId="0" xfId="190" applyFont="1" applyBorder="1" applyAlignment="1">
      <alignment horizontal="right" vertical="center"/>
    </xf>
    <xf numFmtId="43" fontId="135" fillId="0" borderId="20" xfId="190" applyFont="1" applyBorder="1" applyAlignment="1">
      <alignment horizontal="right" vertical="center"/>
    </xf>
    <xf numFmtId="0" fontId="119" fillId="0" borderId="12" xfId="0" applyFont="1" applyBorder="1" applyAlignment="1">
      <alignment horizontal="left" wrapText="1" readingOrder="1"/>
    </xf>
    <xf numFmtId="0" fontId="118" fillId="19" borderId="0" xfId="0" applyFont="1" applyFill="1"/>
    <xf numFmtId="0" fontId="56" fillId="27" borderId="19" xfId="0" applyFont="1" applyFill="1" applyBorder="1" applyAlignment="1">
      <alignment wrapText="1"/>
    </xf>
    <xf numFmtId="43" fontId="18" fillId="14" borderId="0" xfId="2" applyFont="1" applyFill="1" applyAlignment="1">
      <alignment horizontal="center"/>
    </xf>
    <xf numFmtId="43" fontId="18" fillId="2" borderId="3" xfId="2" applyFont="1" applyFill="1" applyBorder="1" applyAlignment="1">
      <alignment horizontal="center"/>
    </xf>
    <xf numFmtId="0" fontId="65" fillId="18" borderId="0" xfId="13" applyFont="1" applyFill="1" applyBorder="1" applyAlignment="1">
      <alignment horizontal="center"/>
    </xf>
    <xf numFmtId="10" fontId="106" fillId="0" borderId="0" xfId="181" applyNumberFormat="1" applyFont="1" applyBorder="1"/>
    <xf numFmtId="0" fontId="94" fillId="0" borderId="0" xfId="181" applyFont="1" applyBorder="1"/>
    <xf numFmtId="0" fontId="113" fillId="0" borderId="0" xfId="181" applyFont="1" applyFill="1"/>
  </cellXfs>
  <cellStyles count="193">
    <cellStyle name="_ML - GEM OIL VALUATION " xfId="14"/>
    <cellStyle name="£ BP" xfId="16"/>
    <cellStyle name="¥ JY" xfId="17"/>
    <cellStyle name="=C:\WINNT35\SYSTEM32\COMMAND.COM" xfId="15"/>
    <cellStyle name="AFE" xfId="1"/>
    <cellStyle name="AFE 2" xfId="18"/>
    <cellStyle name="args.style" xfId="19"/>
    <cellStyle name="ÄÞ¸¶ [0]_´Ü°èº° ±¸Ãà¾È" xfId="20"/>
    <cellStyle name="ÄÞ¸¶_´Ü°èº° ±¸Ãà¾È" xfId="21"/>
    <cellStyle name="Bold/Border" xfId="22"/>
    <cellStyle name="Bullet" xfId="23"/>
    <cellStyle name="c" xfId="24"/>
    <cellStyle name="Ç¥ÁØ_´Ü°èº° ±¸Ãà¾È" xfId="25"/>
    <cellStyle name="Calc Units (2)" xfId="26"/>
    <cellStyle name="category" xfId="27"/>
    <cellStyle name="Codes" xfId="28"/>
    <cellStyle name="Comma" xfId="2" builtinId="3"/>
    <cellStyle name="Comma [00]" xfId="29"/>
    <cellStyle name="Comma 10" xfId="190"/>
    <cellStyle name="Comma 2" xfId="30"/>
    <cellStyle name="Comma 2 2" xfId="31"/>
    <cellStyle name="Comma 2 3" xfId="32"/>
    <cellStyle name="Comma 2 4" xfId="33"/>
    <cellStyle name="Comma 2 5" xfId="34"/>
    <cellStyle name="Comma 2 6" xfId="35"/>
    <cellStyle name="Comma 2 7" xfId="36"/>
    <cellStyle name="Comma 2 7 2" xfId="183"/>
    <cellStyle name="Comma 3" xfId="37"/>
    <cellStyle name="Comma 4" xfId="38"/>
    <cellStyle name="Comma 5" xfId="39"/>
    <cellStyle name="Comma 6" xfId="40"/>
    <cellStyle name="Comma 7" xfId="41"/>
    <cellStyle name="Comma 8" xfId="42"/>
    <cellStyle name="Comma 9" xfId="185"/>
    <cellStyle name="Comma[2]" xfId="43"/>
    <cellStyle name="Currency $" xfId="44"/>
    <cellStyle name="Currency [00]" xfId="45"/>
    <cellStyle name="Currency [2]" xfId="46"/>
    <cellStyle name="Currency 2" xfId="47"/>
    <cellStyle name="Currency 2 2" xfId="182"/>
    <cellStyle name="Currency[2]" xfId="48"/>
    <cellStyle name="custom" xfId="49"/>
    <cellStyle name="CustomStyle1" xfId="50"/>
    <cellStyle name="CustomStyle10" xfId="51"/>
    <cellStyle name="CustomStyle11" xfId="52"/>
    <cellStyle name="CustomStyle12" xfId="53"/>
    <cellStyle name="CustomStyle13" xfId="54"/>
    <cellStyle name="CustomStyle14" xfId="55"/>
    <cellStyle name="CustomStyle15" xfId="56"/>
    <cellStyle name="CustomStyle16" xfId="57"/>
    <cellStyle name="CustomStyle17" xfId="58"/>
    <cellStyle name="CustomStyle18" xfId="59"/>
    <cellStyle name="CustomStyle19" xfId="60"/>
    <cellStyle name="CustomStyle2" xfId="61"/>
    <cellStyle name="CustomStyle20" xfId="62"/>
    <cellStyle name="CustomStyle21" xfId="63"/>
    <cellStyle name="CustomStyle22" xfId="64"/>
    <cellStyle name="CustomStyle23" xfId="65"/>
    <cellStyle name="CustomStyle24" xfId="66"/>
    <cellStyle name="CustomStyle25" xfId="67"/>
    <cellStyle name="CustomStyle26" xfId="68"/>
    <cellStyle name="CustomStyle27" xfId="69"/>
    <cellStyle name="CustomStyle28" xfId="70"/>
    <cellStyle name="CustomStyle29" xfId="71"/>
    <cellStyle name="CustomStyle3" xfId="72"/>
    <cellStyle name="CustomStyle30" xfId="73"/>
    <cellStyle name="CustomStyle31" xfId="74"/>
    <cellStyle name="CustomStyle32" xfId="75"/>
    <cellStyle name="CustomStyle33" xfId="76"/>
    <cellStyle name="CustomStyle34" xfId="77"/>
    <cellStyle name="CustomStyle35" xfId="78"/>
    <cellStyle name="CustomStyle36" xfId="79"/>
    <cellStyle name="CustomStyle37" xfId="80"/>
    <cellStyle name="CustomStyle38" xfId="81"/>
    <cellStyle name="CustomStyle39" xfId="82"/>
    <cellStyle name="CustomStyle4" xfId="83"/>
    <cellStyle name="CustomStyle40" xfId="84"/>
    <cellStyle name="CustomStyle41" xfId="85"/>
    <cellStyle name="CustomStyle42" xfId="86"/>
    <cellStyle name="CustomStyle43" xfId="87"/>
    <cellStyle name="CustomStyle44" xfId="88"/>
    <cellStyle name="CustomStyle45" xfId="89"/>
    <cellStyle name="CustomStyle46" xfId="90"/>
    <cellStyle name="CustomStyle47" xfId="91"/>
    <cellStyle name="CustomStyle48" xfId="92"/>
    <cellStyle name="CustomStyle49" xfId="93"/>
    <cellStyle name="CustomStyle5" xfId="94"/>
    <cellStyle name="CustomStyle6" xfId="95"/>
    <cellStyle name="CustomStyle7" xfId="96"/>
    <cellStyle name="CustomStyle8" xfId="97"/>
    <cellStyle name="CustomStyle9" xfId="98"/>
    <cellStyle name="DarkBlue" xfId="99"/>
    <cellStyle name="Dash" xfId="100"/>
    <cellStyle name="Date" xfId="101"/>
    <cellStyle name="Date Short" xfId="102"/>
    <cellStyle name="Date_Mars" xfId="103"/>
    <cellStyle name="Enter Currency (0)" xfId="104"/>
    <cellStyle name="Enter Currency (2)" xfId="105"/>
    <cellStyle name="Enter Units (0)" xfId="106"/>
    <cellStyle name="Enter Units (1)" xfId="107"/>
    <cellStyle name="Enter Units (2)" xfId="108"/>
    <cellStyle name="Euro" xfId="3"/>
    <cellStyle name="Grey" xfId="109"/>
    <cellStyle name="HEADER" xfId="110"/>
    <cellStyle name="Header1" xfId="111"/>
    <cellStyle name="Header2" xfId="112"/>
    <cellStyle name="Hyperlink" xfId="4" builtinId="8"/>
    <cellStyle name="Hyperlink 2" xfId="113"/>
    <cellStyle name="Info_Main" xfId="5"/>
    <cellStyle name="Input [yellow]" xfId="114"/>
    <cellStyle name="InputBlueFont_Valuation " xfId="115"/>
    <cellStyle name="InputData" xfId="116"/>
    <cellStyle name="InputDate" xfId="117"/>
    <cellStyle name="InputInfo" xfId="118"/>
    <cellStyle name="InputPercent" xfId="119"/>
    <cellStyle name="Link Currency (0)" xfId="120"/>
    <cellStyle name="Link Currency (2)" xfId="121"/>
    <cellStyle name="Link Units (0)" xfId="122"/>
    <cellStyle name="Link Units (1)" xfId="123"/>
    <cellStyle name="Link Units (2)" xfId="124"/>
    <cellStyle name="Milliers [0]_!!!GO" xfId="125"/>
    <cellStyle name="Milliers_!!!GO" xfId="126"/>
    <cellStyle name="Model" xfId="127"/>
    <cellStyle name="Monétaire [0]_!!!GO" xfId="128"/>
    <cellStyle name="Monétaire_!!!GO" xfId="129"/>
    <cellStyle name="Normal" xfId="0" builtinId="0"/>
    <cellStyle name="Normal - Style1" xfId="6"/>
    <cellStyle name="Normal 2" xfId="13"/>
    <cellStyle name="Normal 2 2" xfId="130"/>
    <cellStyle name="Normal 2 3" xfId="131"/>
    <cellStyle name="Normal 2 4" xfId="132"/>
    <cellStyle name="Normal 2 5" xfId="133"/>
    <cellStyle name="Normal 2 6" xfId="134"/>
    <cellStyle name="Normal 2 7" xfId="135"/>
    <cellStyle name="Normal 2 7 2" xfId="181"/>
    <cellStyle name="Normal 3" xfId="136"/>
    <cellStyle name="Normal 4" xfId="137"/>
    <cellStyle name="Normal 5" xfId="138"/>
    <cellStyle name="Normal 6" xfId="139"/>
    <cellStyle name="Normal 7" xfId="186"/>
    <cellStyle name="Normal 8" xfId="189"/>
    <cellStyle name="Normal 9" xfId="191"/>
    <cellStyle name="Normal_DGKC Nov05" xfId="7"/>
    <cellStyle name="Normal_DTX EXAMPLE" xfId="8"/>
    <cellStyle name="Normal_Fauji Cement by Mansoor" xfId="188"/>
    <cellStyle name="Normal_LUCKY Final (14thSep)HW" xfId="9"/>
    <cellStyle name="Normal_Lucky Nov06" xfId="10"/>
    <cellStyle name="Normal_MLCF Nov05" xfId="11"/>
    <cellStyle name="Œ…‹æØ‚è [0.00]_!!!GO" xfId="140"/>
    <cellStyle name="Œ…‹æØ‚è_!!!GO" xfId="141"/>
    <cellStyle name="OutputPlain" xfId="142"/>
    <cellStyle name="per.style" xfId="143"/>
    <cellStyle name="Percent" xfId="12" builtinId="5"/>
    <cellStyle name="Percent [0]" xfId="144"/>
    <cellStyle name="Percent [00]" xfId="145"/>
    <cellStyle name="Percent [2]" xfId="146"/>
    <cellStyle name="Percent 2" xfId="147"/>
    <cellStyle name="Percent 2 2" xfId="148"/>
    <cellStyle name="Percent 2 3" xfId="149"/>
    <cellStyle name="Percent 2 4" xfId="150"/>
    <cellStyle name="Percent 2 5" xfId="151"/>
    <cellStyle name="Percent 2 6" xfId="152"/>
    <cellStyle name="Percent 2 7" xfId="153"/>
    <cellStyle name="Percent 2 7 2" xfId="184"/>
    <cellStyle name="Percent 3" xfId="154"/>
    <cellStyle name="Percent 4" xfId="187"/>
    <cellStyle name="Percent 5" xfId="192"/>
    <cellStyle name="Percent[0]" xfId="155"/>
    <cellStyle name="Percent[2]" xfId="156"/>
    <cellStyle name="PrePop Currency (0)" xfId="157"/>
    <cellStyle name="PrePop Currency (2)" xfId="158"/>
    <cellStyle name="PrePop Units (0)" xfId="159"/>
    <cellStyle name="PrePop Units (1)" xfId="160"/>
    <cellStyle name="PrePop Units (2)" xfId="161"/>
    <cellStyle name="PSChar" xfId="162"/>
    <cellStyle name="PSDate" xfId="163"/>
    <cellStyle name="PSDec" xfId="164"/>
    <cellStyle name="PSHeading" xfId="165"/>
    <cellStyle name="PSInt" xfId="166"/>
    <cellStyle name="PSSpacer" xfId="167"/>
    <cellStyle name="s_Valuation " xfId="168"/>
    <cellStyle name="special" xfId="169"/>
    <cellStyle name="ssp " xfId="170"/>
    <cellStyle name="STANDARD" xfId="171"/>
    <cellStyle name="Style 1" xfId="172"/>
    <cellStyle name="subhead" xfId="173"/>
    <cellStyle name="SubtotalData" xfId="174"/>
    <cellStyle name="Text Indent A" xfId="175"/>
    <cellStyle name="Text Indent B" xfId="176"/>
    <cellStyle name="Text Indent C" xfId="177"/>
    <cellStyle name="Titles - Col. Headings" xfId="178"/>
    <cellStyle name="weekly" xfId="179"/>
    <cellStyle name="YearEnd" xfId="18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externalLink" Target="externalLinks/externalLink9.xml"/><Relationship Id="rId39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4.xml"/><Relationship Id="rId34" Type="http://schemas.openxmlformats.org/officeDocument/2006/relationships/externalLink" Target="externalLinks/externalLink17.xml"/><Relationship Id="rId42" Type="http://schemas.openxmlformats.org/officeDocument/2006/relationships/externalLink" Target="externalLinks/externalLink25.xml"/><Relationship Id="rId47" Type="http://schemas.openxmlformats.org/officeDocument/2006/relationships/externalLink" Target="externalLinks/externalLink30.xml"/><Relationship Id="rId50" Type="http://schemas.openxmlformats.org/officeDocument/2006/relationships/externalLink" Target="externalLinks/externalLink33.xml"/><Relationship Id="rId55" Type="http://schemas.openxmlformats.org/officeDocument/2006/relationships/externalLink" Target="externalLinks/externalLink38.xml"/><Relationship Id="rId63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24.xml"/><Relationship Id="rId54" Type="http://schemas.openxmlformats.org/officeDocument/2006/relationships/externalLink" Target="externalLinks/externalLink37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32" Type="http://schemas.openxmlformats.org/officeDocument/2006/relationships/externalLink" Target="externalLinks/externalLink15.xml"/><Relationship Id="rId37" Type="http://schemas.openxmlformats.org/officeDocument/2006/relationships/externalLink" Target="externalLinks/externalLink20.xml"/><Relationship Id="rId40" Type="http://schemas.openxmlformats.org/officeDocument/2006/relationships/externalLink" Target="externalLinks/externalLink23.xml"/><Relationship Id="rId45" Type="http://schemas.openxmlformats.org/officeDocument/2006/relationships/externalLink" Target="externalLinks/externalLink28.xml"/><Relationship Id="rId53" Type="http://schemas.openxmlformats.org/officeDocument/2006/relationships/externalLink" Target="externalLinks/externalLink36.xml"/><Relationship Id="rId58" Type="http://schemas.openxmlformats.org/officeDocument/2006/relationships/externalLink" Target="externalLinks/externalLink4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externalLink" Target="externalLinks/externalLink11.xml"/><Relationship Id="rId36" Type="http://schemas.openxmlformats.org/officeDocument/2006/relationships/externalLink" Target="externalLinks/externalLink19.xml"/><Relationship Id="rId49" Type="http://schemas.openxmlformats.org/officeDocument/2006/relationships/externalLink" Target="externalLinks/externalLink32.xml"/><Relationship Id="rId57" Type="http://schemas.openxmlformats.org/officeDocument/2006/relationships/externalLink" Target="externalLinks/externalLink40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31" Type="http://schemas.openxmlformats.org/officeDocument/2006/relationships/externalLink" Target="externalLinks/externalLink14.xml"/><Relationship Id="rId44" Type="http://schemas.openxmlformats.org/officeDocument/2006/relationships/externalLink" Target="externalLinks/externalLink27.xml"/><Relationship Id="rId52" Type="http://schemas.openxmlformats.org/officeDocument/2006/relationships/externalLink" Target="externalLinks/externalLink35.xml"/><Relationship Id="rId60" Type="http://schemas.openxmlformats.org/officeDocument/2006/relationships/styles" Target="styles.xml"/><Relationship Id="rId65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externalLink" Target="externalLinks/externalLink10.xml"/><Relationship Id="rId30" Type="http://schemas.openxmlformats.org/officeDocument/2006/relationships/externalLink" Target="externalLinks/externalLink13.xml"/><Relationship Id="rId35" Type="http://schemas.openxmlformats.org/officeDocument/2006/relationships/externalLink" Target="externalLinks/externalLink18.xml"/><Relationship Id="rId43" Type="http://schemas.openxmlformats.org/officeDocument/2006/relationships/externalLink" Target="externalLinks/externalLink26.xml"/><Relationship Id="rId48" Type="http://schemas.openxmlformats.org/officeDocument/2006/relationships/externalLink" Target="externalLinks/externalLink31.xml"/><Relationship Id="rId56" Type="http://schemas.openxmlformats.org/officeDocument/2006/relationships/externalLink" Target="externalLinks/externalLink39.xml"/><Relationship Id="rId64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4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33" Type="http://schemas.openxmlformats.org/officeDocument/2006/relationships/externalLink" Target="externalLinks/externalLink16.xml"/><Relationship Id="rId38" Type="http://schemas.openxmlformats.org/officeDocument/2006/relationships/externalLink" Target="externalLinks/externalLink21.xml"/><Relationship Id="rId46" Type="http://schemas.openxmlformats.org/officeDocument/2006/relationships/externalLink" Target="externalLinks/externalLink29.xml"/><Relationship Id="rId59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36111111111112"/>
          <c:y val="5.3240740740740741E-2"/>
          <c:w val="0.54444444444444462"/>
          <c:h val="0.90740740740740744"/>
        </c:manualLayout>
      </c:layout>
      <c:pieChart>
        <c:varyColors val="1"/>
        <c:ser>
          <c:idx val="0"/>
          <c:order val="0"/>
          <c:dLbls>
            <c:numFmt formatCode="0.0%" sourceLinked="0"/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[27]Sheet1!$A$1:$A$4</c:f>
              <c:strCache>
                <c:ptCount val="4"/>
                <c:pt idx="0">
                  <c:v>Directors &amp; Associates</c:v>
                </c:pt>
                <c:pt idx="1">
                  <c:v>Banks &amp; Financial institutions</c:v>
                </c:pt>
                <c:pt idx="2">
                  <c:v>General Public</c:v>
                </c:pt>
                <c:pt idx="3">
                  <c:v>Others</c:v>
                </c:pt>
              </c:strCache>
            </c:strRef>
          </c:cat>
          <c:val>
            <c:numRef>
              <c:f>[27]Sheet1!$B$1:$B$4</c:f>
              <c:numCache>
                <c:formatCode>General</c:formatCode>
                <c:ptCount val="4"/>
                <c:pt idx="0">
                  <c:v>0.57399999999999995</c:v>
                </c:pt>
                <c:pt idx="1">
                  <c:v>5.7999999999999996E-3</c:v>
                </c:pt>
                <c:pt idx="2">
                  <c:v>0.39169999999999999</c:v>
                </c:pt>
                <c:pt idx="3">
                  <c:v>2.86E-2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7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24563397764859"/>
          <c:y val="5.2621427939485134E-2"/>
          <c:w val="0.76872219004485765"/>
          <c:h val="0.6443327730101156"/>
        </c:manualLayout>
      </c:layout>
      <c:lineChart>
        <c:grouping val="standard"/>
        <c:varyColors val="0"/>
        <c:ser>
          <c:idx val="0"/>
          <c:order val="0"/>
          <c:tx>
            <c:strRef>
              <c:f>[30]dgkc!$D$1</c:f>
              <c:strCache>
                <c:ptCount val="1"/>
                <c:pt idx="0">
                  <c:v>DGKC</c:v>
                </c:pt>
              </c:strCache>
            </c:strRef>
          </c:tx>
          <c:spPr>
            <a:ln w="15875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[30]dgkc!$A$2:$A$249</c:f>
              <c:numCache>
                <c:formatCode>General</c:formatCode>
                <c:ptCount val="248"/>
                <c:pt idx="0">
                  <c:v>41306</c:v>
                </c:pt>
                <c:pt idx="1">
                  <c:v>41309</c:v>
                </c:pt>
                <c:pt idx="2">
                  <c:v>41311</c:v>
                </c:pt>
                <c:pt idx="3">
                  <c:v>41312</c:v>
                </c:pt>
                <c:pt idx="4">
                  <c:v>41313</c:v>
                </c:pt>
                <c:pt idx="5">
                  <c:v>41316</c:v>
                </c:pt>
                <c:pt idx="6">
                  <c:v>41317</c:v>
                </c:pt>
                <c:pt idx="7">
                  <c:v>41318</c:v>
                </c:pt>
                <c:pt idx="8">
                  <c:v>41319</c:v>
                </c:pt>
                <c:pt idx="9">
                  <c:v>41320</c:v>
                </c:pt>
                <c:pt idx="10">
                  <c:v>41323</c:v>
                </c:pt>
                <c:pt idx="11">
                  <c:v>41324</c:v>
                </c:pt>
                <c:pt idx="12">
                  <c:v>41325</c:v>
                </c:pt>
                <c:pt idx="13">
                  <c:v>41326</c:v>
                </c:pt>
                <c:pt idx="14">
                  <c:v>41327</c:v>
                </c:pt>
                <c:pt idx="15">
                  <c:v>41330</c:v>
                </c:pt>
                <c:pt idx="16">
                  <c:v>41331</c:v>
                </c:pt>
                <c:pt idx="17">
                  <c:v>41332</c:v>
                </c:pt>
                <c:pt idx="18">
                  <c:v>41333</c:v>
                </c:pt>
                <c:pt idx="19">
                  <c:v>41334</c:v>
                </c:pt>
                <c:pt idx="20">
                  <c:v>41337</c:v>
                </c:pt>
                <c:pt idx="21">
                  <c:v>41338</c:v>
                </c:pt>
                <c:pt idx="22">
                  <c:v>41339</c:v>
                </c:pt>
                <c:pt idx="23">
                  <c:v>41340</c:v>
                </c:pt>
                <c:pt idx="24">
                  <c:v>41341</c:v>
                </c:pt>
                <c:pt idx="25">
                  <c:v>41344</c:v>
                </c:pt>
                <c:pt idx="26">
                  <c:v>41345</c:v>
                </c:pt>
                <c:pt idx="27">
                  <c:v>41346</c:v>
                </c:pt>
                <c:pt idx="28">
                  <c:v>41347</c:v>
                </c:pt>
                <c:pt idx="29">
                  <c:v>41348</c:v>
                </c:pt>
                <c:pt idx="30">
                  <c:v>41351</c:v>
                </c:pt>
                <c:pt idx="31">
                  <c:v>41352</c:v>
                </c:pt>
                <c:pt idx="32">
                  <c:v>41353</c:v>
                </c:pt>
                <c:pt idx="33">
                  <c:v>41354</c:v>
                </c:pt>
                <c:pt idx="34">
                  <c:v>41355</c:v>
                </c:pt>
                <c:pt idx="35">
                  <c:v>41358</c:v>
                </c:pt>
                <c:pt idx="36">
                  <c:v>41359</c:v>
                </c:pt>
                <c:pt idx="37">
                  <c:v>41360</c:v>
                </c:pt>
                <c:pt idx="38">
                  <c:v>41361</c:v>
                </c:pt>
                <c:pt idx="39">
                  <c:v>41362</c:v>
                </c:pt>
                <c:pt idx="40">
                  <c:v>41365</c:v>
                </c:pt>
                <c:pt idx="41">
                  <c:v>41366</c:v>
                </c:pt>
                <c:pt idx="42">
                  <c:v>41367</c:v>
                </c:pt>
                <c:pt idx="43">
                  <c:v>41368</c:v>
                </c:pt>
                <c:pt idx="44">
                  <c:v>41369</c:v>
                </c:pt>
                <c:pt idx="45">
                  <c:v>41372</c:v>
                </c:pt>
                <c:pt idx="46">
                  <c:v>41373</c:v>
                </c:pt>
                <c:pt idx="47">
                  <c:v>41374</c:v>
                </c:pt>
                <c:pt idx="48">
                  <c:v>41375</c:v>
                </c:pt>
                <c:pt idx="49">
                  <c:v>41376</c:v>
                </c:pt>
                <c:pt idx="50">
                  <c:v>41379</c:v>
                </c:pt>
                <c:pt idx="51">
                  <c:v>41380</c:v>
                </c:pt>
                <c:pt idx="52">
                  <c:v>41381</c:v>
                </c:pt>
                <c:pt idx="53">
                  <c:v>41382</c:v>
                </c:pt>
                <c:pt idx="54">
                  <c:v>41383</c:v>
                </c:pt>
                <c:pt idx="55">
                  <c:v>41386</c:v>
                </c:pt>
                <c:pt idx="56">
                  <c:v>41387</c:v>
                </c:pt>
                <c:pt idx="57">
                  <c:v>41388</c:v>
                </c:pt>
                <c:pt idx="58">
                  <c:v>41389</c:v>
                </c:pt>
                <c:pt idx="59">
                  <c:v>41390</c:v>
                </c:pt>
                <c:pt idx="60">
                  <c:v>41393</c:v>
                </c:pt>
                <c:pt idx="61">
                  <c:v>41394</c:v>
                </c:pt>
                <c:pt idx="62">
                  <c:v>41396</c:v>
                </c:pt>
                <c:pt idx="63">
                  <c:v>41397</c:v>
                </c:pt>
                <c:pt idx="64">
                  <c:v>41400</c:v>
                </c:pt>
                <c:pt idx="65">
                  <c:v>41401</c:v>
                </c:pt>
                <c:pt idx="66">
                  <c:v>41402</c:v>
                </c:pt>
                <c:pt idx="67">
                  <c:v>41403</c:v>
                </c:pt>
                <c:pt idx="68">
                  <c:v>41404</c:v>
                </c:pt>
                <c:pt idx="69">
                  <c:v>41407</c:v>
                </c:pt>
                <c:pt idx="70">
                  <c:v>41408</c:v>
                </c:pt>
                <c:pt idx="71">
                  <c:v>41409</c:v>
                </c:pt>
                <c:pt idx="72">
                  <c:v>41410</c:v>
                </c:pt>
                <c:pt idx="73">
                  <c:v>41411</c:v>
                </c:pt>
                <c:pt idx="74">
                  <c:v>41414</c:v>
                </c:pt>
                <c:pt idx="75">
                  <c:v>41415</c:v>
                </c:pt>
                <c:pt idx="76">
                  <c:v>41416</c:v>
                </c:pt>
                <c:pt idx="77">
                  <c:v>41417</c:v>
                </c:pt>
                <c:pt idx="78">
                  <c:v>41418</c:v>
                </c:pt>
                <c:pt idx="79">
                  <c:v>41421</c:v>
                </c:pt>
                <c:pt idx="80">
                  <c:v>41422</c:v>
                </c:pt>
                <c:pt idx="81">
                  <c:v>41423</c:v>
                </c:pt>
                <c:pt idx="82">
                  <c:v>41424</c:v>
                </c:pt>
                <c:pt idx="83">
                  <c:v>41425</c:v>
                </c:pt>
                <c:pt idx="84">
                  <c:v>41428</c:v>
                </c:pt>
                <c:pt idx="85">
                  <c:v>41429</c:v>
                </c:pt>
                <c:pt idx="86">
                  <c:v>41430</c:v>
                </c:pt>
                <c:pt idx="87">
                  <c:v>41431</c:v>
                </c:pt>
                <c:pt idx="88">
                  <c:v>41432</c:v>
                </c:pt>
                <c:pt idx="89">
                  <c:v>41435</c:v>
                </c:pt>
                <c:pt idx="90">
                  <c:v>41436</c:v>
                </c:pt>
                <c:pt idx="91">
                  <c:v>41437</c:v>
                </c:pt>
                <c:pt idx="92">
                  <c:v>41438</c:v>
                </c:pt>
                <c:pt idx="93">
                  <c:v>41439</c:v>
                </c:pt>
                <c:pt idx="94">
                  <c:v>41442</c:v>
                </c:pt>
                <c:pt idx="95">
                  <c:v>41443</c:v>
                </c:pt>
                <c:pt idx="96">
                  <c:v>41444</c:v>
                </c:pt>
                <c:pt idx="97">
                  <c:v>41445</c:v>
                </c:pt>
                <c:pt idx="98">
                  <c:v>41446</c:v>
                </c:pt>
                <c:pt idx="99">
                  <c:v>41449</c:v>
                </c:pt>
                <c:pt idx="100">
                  <c:v>41450</c:v>
                </c:pt>
                <c:pt idx="101">
                  <c:v>41451</c:v>
                </c:pt>
                <c:pt idx="102">
                  <c:v>41452</c:v>
                </c:pt>
                <c:pt idx="103">
                  <c:v>41453</c:v>
                </c:pt>
                <c:pt idx="104">
                  <c:v>41456</c:v>
                </c:pt>
                <c:pt idx="105">
                  <c:v>41457</c:v>
                </c:pt>
                <c:pt idx="106">
                  <c:v>41458</c:v>
                </c:pt>
                <c:pt idx="107">
                  <c:v>41459</c:v>
                </c:pt>
                <c:pt idx="108">
                  <c:v>41460</c:v>
                </c:pt>
                <c:pt idx="109">
                  <c:v>41463</c:v>
                </c:pt>
                <c:pt idx="110">
                  <c:v>41464</c:v>
                </c:pt>
                <c:pt idx="111">
                  <c:v>41465</c:v>
                </c:pt>
                <c:pt idx="112">
                  <c:v>41466</c:v>
                </c:pt>
                <c:pt idx="113">
                  <c:v>41467</c:v>
                </c:pt>
                <c:pt idx="114">
                  <c:v>41470</c:v>
                </c:pt>
                <c:pt idx="115">
                  <c:v>41471</c:v>
                </c:pt>
                <c:pt idx="116">
                  <c:v>41472</c:v>
                </c:pt>
                <c:pt idx="117">
                  <c:v>41473</c:v>
                </c:pt>
                <c:pt idx="118">
                  <c:v>41474</c:v>
                </c:pt>
                <c:pt idx="119">
                  <c:v>41477</c:v>
                </c:pt>
                <c:pt idx="120">
                  <c:v>41478</c:v>
                </c:pt>
                <c:pt idx="121">
                  <c:v>41479</c:v>
                </c:pt>
                <c:pt idx="122">
                  <c:v>41480</c:v>
                </c:pt>
                <c:pt idx="123">
                  <c:v>41481</c:v>
                </c:pt>
                <c:pt idx="124">
                  <c:v>41484</c:v>
                </c:pt>
                <c:pt idx="125">
                  <c:v>41485</c:v>
                </c:pt>
                <c:pt idx="126">
                  <c:v>41486</c:v>
                </c:pt>
                <c:pt idx="127">
                  <c:v>41487</c:v>
                </c:pt>
                <c:pt idx="128">
                  <c:v>41491</c:v>
                </c:pt>
                <c:pt idx="129">
                  <c:v>41492</c:v>
                </c:pt>
                <c:pt idx="130">
                  <c:v>41493</c:v>
                </c:pt>
                <c:pt idx="131">
                  <c:v>41498</c:v>
                </c:pt>
                <c:pt idx="132">
                  <c:v>41499</c:v>
                </c:pt>
                <c:pt idx="133">
                  <c:v>41501</c:v>
                </c:pt>
                <c:pt idx="134">
                  <c:v>41502</c:v>
                </c:pt>
                <c:pt idx="135">
                  <c:v>41505</c:v>
                </c:pt>
                <c:pt idx="136">
                  <c:v>41506</c:v>
                </c:pt>
                <c:pt idx="137">
                  <c:v>41507</c:v>
                </c:pt>
                <c:pt idx="138">
                  <c:v>41508</c:v>
                </c:pt>
                <c:pt idx="139">
                  <c:v>41509</c:v>
                </c:pt>
                <c:pt idx="140">
                  <c:v>41512</c:v>
                </c:pt>
                <c:pt idx="141">
                  <c:v>41513</c:v>
                </c:pt>
                <c:pt idx="142">
                  <c:v>41514</c:v>
                </c:pt>
                <c:pt idx="143">
                  <c:v>41515</c:v>
                </c:pt>
                <c:pt idx="144">
                  <c:v>41516</c:v>
                </c:pt>
                <c:pt idx="145">
                  <c:v>41519</c:v>
                </c:pt>
                <c:pt idx="146">
                  <c:v>41520</c:v>
                </c:pt>
                <c:pt idx="147">
                  <c:v>41521</c:v>
                </c:pt>
                <c:pt idx="148">
                  <c:v>41522</c:v>
                </c:pt>
                <c:pt idx="149">
                  <c:v>41523</c:v>
                </c:pt>
                <c:pt idx="150">
                  <c:v>41526</c:v>
                </c:pt>
                <c:pt idx="151">
                  <c:v>41527</c:v>
                </c:pt>
                <c:pt idx="152">
                  <c:v>41528</c:v>
                </c:pt>
                <c:pt idx="153">
                  <c:v>41529</c:v>
                </c:pt>
                <c:pt idx="154">
                  <c:v>41530</c:v>
                </c:pt>
                <c:pt idx="155">
                  <c:v>41533</c:v>
                </c:pt>
                <c:pt idx="156">
                  <c:v>41534</c:v>
                </c:pt>
                <c:pt idx="157">
                  <c:v>41535</c:v>
                </c:pt>
                <c:pt idx="158">
                  <c:v>41536</c:v>
                </c:pt>
                <c:pt idx="159">
                  <c:v>41537</c:v>
                </c:pt>
                <c:pt idx="160">
                  <c:v>41540</c:v>
                </c:pt>
                <c:pt idx="161">
                  <c:v>41541</c:v>
                </c:pt>
                <c:pt idx="162">
                  <c:v>41542</c:v>
                </c:pt>
                <c:pt idx="163">
                  <c:v>41543</c:v>
                </c:pt>
                <c:pt idx="164">
                  <c:v>41544</c:v>
                </c:pt>
                <c:pt idx="165">
                  <c:v>41547</c:v>
                </c:pt>
                <c:pt idx="166">
                  <c:v>41548</c:v>
                </c:pt>
                <c:pt idx="167">
                  <c:v>41549</c:v>
                </c:pt>
                <c:pt idx="168">
                  <c:v>41550</c:v>
                </c:pt>
                <c:pt idx="169">
                  <c:v>41551</c:v>
                </c:pt>
                <c:pt idx="170">
                  <c:v>41554</c:v>
                </c:pt>
                <c:pt idx="171">
                  <c:v>41555</c:v>
                </c:pt>
                <c:pt idx="172">
                  <c:v>41556</c:v>
                </c:pt>
                <c:pt idx="173">
                  <c:v>41557</c:v>
                </c:pt>
                <c:pt idx="174">
                  <c:v>41558</c:v>
                </c:pt>
                <c:pt idx="175">
                  <c:v>41561</c:v>
                </c:pt>
                <c:pt idx="176">
                  <c:v>41568</c:v>
                </c:pt>
                <c:pt idx="177">
                  <c:v>41569</c:v>
                </c:pt>
                <c:pt idx="178">
                  <c:v>41570</c:v>
                </c:pt>
                <c:pt idx="179">
                  <c:v>41571</c:v>
                </c:pt>
                <c:pt idx="180">
                  <c:v>41572</c:v>
                </c:pt>
                <c:pt idx="181">
                  <c:v>41575</c:v>
                </c:pt>
                <c:pt idx="182">
                  <c:v>41576</c:v>
                </c:pt>
                <c:pt idx="183">
                  <c:v>41577</c:v>
                </c:pt>
                <c:pt idx="184">
                  <c:v>41578</c:v>
                </c:pt>
                <c:pt idx="185">
                  <c:v>41579</c:v>
                </c:pt>
                <c:pt idx="186">
                  <c:v>41582</c:v>
                </c:pt>
                <c:pt idx="187">
                  <c:v>41583</c:v>
                </c:pt>
                <c:pt idx="188">
                  <c:v>41584</c:v>
                </c:pt>
                <c:pt idx="189">
                  <c:v>41585</c:v>
                </c:pt>
                <c:pt idx="190">
                  <c:v>41586</c:v>
                </c:pt>
                <c:pt idx="191">
                  <c:v>41589</c:v>
                </c:pt>
                <c:pt idx="192">
                  <c:v>41590</c:v>
                </c:pt>
                <c:pt idx="193">
                  <c:v>41591</c:v>
                </c:pt>
                <c:pt idx="194">
                  <c:v>41596</c:v>
                </c:pt>
                <c:pt idx="195">
                  <c:v>41597</c:v>
                </c:pt>
                <c:pt idx="196">
                  <c:v>41598</c:v>
                </c:pt>
                <c:pt idx="197">
                  <c:v>41599</c:v>
                </c:pt>
                <c:pt idx="198">
                  <c:v>41600</c:v>
                </c:pt>
                <c:pt idx="199">
                  <c:v>41603</c:v>
                </c:pt>
                <c:pt idx="200">
                  <c:v>41604</c:v>
                </c:pt>
                <c:pt idx="201">
                  <c:v>41605</c:v>
                </c:pt>
                <c:pt idx="202">
                  <c:v>41606</c:v>
                </c:pt>
                <c:pt idx="203">
                  <c:v>41607</c:v>
                </c:pt>
                <c:pt idx="204">
                  <c:v>41610</c:v>
                </c:pt>
                <c:pt idx="205">
                  <c:v>41611</c:v>
                </c:pt>
                <c:pt idx="206">
                  <c:v>41612</c:v>
                </c:pt>
                <c:pt idx="207">
                  <c:v>41613</c:v>
                </c:pt>
                <c:pt idx="208">
                  <c:v>41614</c:v>
                </c:pt>
                <c:pt idx="209">
                  <c:v>41617</c:v>
                </c:pt>
                <c:pt idx="210">
                  <c:v>41618</c:v>
                </c:pt>
                <c:pt idx="211">
                  <c:v>41619</c:v>
                </c:pt>
                <c:pt idx="212">
                  <c:v>41620</c:v>
                </c:pt>
                <c:pt idx="213">
                  <c:v>41621</c:v>
                </c:pt>
                <c:pt idx="214">
                  <c:v>41624</c:v>
                </c:pt>
                <c:pt idx="215">
                  <c:v>41625</c:v>
                </c:pt>
                <c:pt idx="216">
                  <c:v>41626</c:v>
                </c:pt>
                <c:pt idx="217">
                  <c:v>41627</c:v>
                </c:pt>
                <c:pt idx="218">
                  <c:v>41628</c:v>
                </c:pt>
                <c:pt idx="219">
                  <c:v>41631</c:v>
                </c:pt>
                <c:pt idx="220">
                  <c:v>41632</c:v>
                </c:pt>
                <c:pt idx="221">
                  <c:v>41634</c:v>
                </c:pt>
                <c:pt idx="222">
                  <c:v>41635</c:v>
                </c:pt>
                <c:pt idx="223">
                  <c:v>41638</c:v>
                </c:pt>
                <c:pt idx="224">
                  <c:v>41639</c:v>
                </c:pt>
                <c:pt idx="225">
                  <c:v>41640</c:v>
                </c:pt>
                <c:pt idx="226">
                  <c:v>41641</c:v>
                </c:pt>
                <c:pt idx="227">
                  <c:v>41642</c:v>
                </c:pt>
                <c:pt idx="228">
                  <c:v>41645</c:v>
                </c:pt>
                <c:pt idx="229">
                  <c:v>41646</c:v>
                </c:pt>
                <c:pt idx="230">
                  <c:v>41647</c:v>
                </c:pt>
                <c:pt idx="231">
                  <c:v>41648</c:v>
                </c:pt>
                <c:pt idx="232">
                  <c:v>41649</c:v>
                </c:pt>
                <c:pt idx="233">
                  <c:v>41652</c:v>
                </c:pt>
                <c:pt idx="234">
                  <c:v>41654</c:v>
                </c:pt>
                <c:pt idx="235">
                  <c:v>41655</c:v>
                </c:pt>
                <c:pt idx="236">
                  <c:v>41656</c:v>
                </c:pt>
                <c:pt idx="237">
                  <c:v>41659</c:v>
                </c:pt>
                <c:pt idx="238">
                  <c:v>41660</c:v>
                </c:pt>
                <c:pt idx="239">
                  <c:v>41661</c:v>
                </c:pt>
                <c:pt idx="240">
                  <c:v>41662</c:v>
                </c:pt>
                <c:pt idx="241">
                  <c:v>41663</c:v>
                </c:pt>
                <c:pt idx="242">
                  <c:v>41666</c:v>
                </c:pt>
                <c:pt idx="243">
                  <c:v>41667</c:v>
                </c:pt>
                <c:pt idx="244">
                  <c:v>41668</c:v>
                </c:pt>
                <c:pt idx="245">
                  <c:v>41669</c:v>
                </c:pt>
                <c:pt idx="246">
                  <c:v>41670</c:v>
                </c:pt>
                <c:pt idx="247">
                  <c:v>41673</c:v>
                </c:pt>
              </c:numCache>
            </c:numRef>
          </c:cat>
          <c:val>
            <c:numRef>
              <c:f>[30]dgkc!$D$2:$D$249</c:f>
              <c:numCache>
                <c:formatCode>General</c:formatCode>
                <c:ptCount val="248"/>
                <c:pt idx="0">
                  <c:v>1</c:v>
                </c:pt>
                <c:pt idx="1">
                  <c:v>1.0065288356909685</c:v>
                </c:pt>
                <c:pt idx="2">
                  <c:v>1.0101559666303954</c:v>
                </c:pt>
                <c:pt idx="3">
                  <c:v>1.0165034457743924</c:v>
                </c:pt>
                <c:pt idx="4">
                  <c:v>1.0157780195865069</c:v>
                </c:pt>
                <c:pt idx="5">
                  <c:v>1.006347479143997</c:v>
                </c:pt>
                <c:pt idx="6">
                  <c:v>1.0226695683714182</c:v>
                </c:pt>
                <c:pt idx="7">
                  <c:v>1.0371780921291258</c:v>
                </c:pt>
                <c:pt idx="8">
                  <c:v>1.0324628219078709</c:v>
                </c:pt>
                <c:pt idx="9">
                  <c:v>1.0498730504171201</c:v>
                </c:pt>
                <c:pt idx="10">
                  <c:v>1.1021037359448675</c:v>
                </c:pt>
                <c:pt idx="11">
                  <c:v>1.0819731592310482</c:v>
                </c:pt>
                <c:pt idx="12">
                  <c:v>1.1256800870511425</c:v>
                </c:pt>
                <c:pt idx="13">
                  <c:v>1.1104461371055494</c:v>
                </c:pt>
                <c:pt idx="14">
                  <c:v>1.1371055495103373</c:v>
                </c:pt>
                <c:pt idx="15">
                  <c:v>1.1240478781284005</c:v>
                </c:pt>
                <c:pt idx="16">
                  <c:v>1.1118969894813202</c:v>
                </c:pt>
                <c:pt idx="17">
                  <c:v>1.1325716358360538</c:v>
                </c:pt>
                <c:pt idx="18">
                  <c:v>1.142727602466449</c:v>
                </c:pt>
                <c:pt idx="19">
                  <c:v>1.1510700036271309</c:v>
                </c:pt>
                <c:pt idx="20">
                  <c:v>1.1501632208922743</c:v>
                </c:pt>
                <c:pt idx="21">
                  <c:v>1.1695683714182081</c:v>
                </c:pt>
                <c:pt idx="22">
                  <c:v>1.1548784911135292</c:v>
                </c:pt>
                <c:pt idx="23">
                  <c:v>1.1702937976060936</c:v>
                </c:pt>
                <c:pt idx="24">
                  <c:v>1.1581429089590134</c:v>
                </c:pt>
                <c:pt idx="25">
                  <c:v>1.112803772216177</c:v>
                </c:pt>
                <c:pt idx="26">
                  <c:v>1.1468988030467899</c:v>
                </c:pt>
                <c:pt idx="27">
                  <c:v>1.1338411316648531</c:v>
                </c:pt>
                <c:pt idx="28">
                  <c:v>1.1459920203119331</c:v>
                </c:pt>
                <c:pt idx="29">
                  <c:v>1.1481682988755895</c:v>
                </c:pt>
                <c:pt idx="30">
                  <c:v>1.1445411679361626</c:v>
                </c:pt>
                <c:pt idx="31">
                  <c:v>1.1784548422198042</c:v>
                </c:pt>
                <c:pt idx="32">
                  <c:v>1.226151614073268</c:v>
                </c:pt>
                <c:pt idx="33">
                  <c:v>1.2506347479143995</c:v>
                </c:pt>
                <c:pt idx="34">
                  <c:v>1.2560754443235402</c:v>
                </c:pt>
                <c:pt idx="35">
                  <c:v>1.2675009067827347</c:v>
                </c:pt>
                <c:pt idx="36">
                  <c:v>1.2524483133841131</c:v>
                </c:pt>
                <c:pt idx="37">
                  <c:v>1.2361262241566919</c:v>
                </c:pt>
                <c:pt idx="38">
                  <c:v>1.2383025027203483</c:v>
                </c:pt>
                <c:pt idx="39">
                  <c:v>1.2562568008705113</c:v>
                </c:pt>
                <c:pt idx="40">
                  <c:v>1.2899891186071817</c:v>
                </c:pt>
                <c:pt idx="41">
                  <c:v>1.3086688429452302</c:v>
                </c:pt>
                <c:pt idx="42">
                  <c:v>1.3317011244105914</c:v>
                </c:pt>
                <c:pt idx="43">
                  <c:v>1.3135654697134567</c:v>
                </c:pt>
                <c:pt idx="44">
                  <c:v>1.3112078346028291</c:v>
                </c:pt>
                <c:pt idx="45">
                  <c:v>1.3248095756256799</c:v>
                </c:pt>
                <c:pt idx="46">
                  <c:v>1.3219078708741385</c:v>
                </c:pt>
                <c:pt idx="47">
                  <c:v>1.321545157780196</c:v>
                </c:pt>
                <c:pt idx="48">
                  <c:v>1.3244468625317374</c:v>
                </c:pt>
                <c:pt idx="49">
                  <c:v>1.3182807399347116</c:v>
                </c:pt>
                <c:pt idx="50">
                  <c:v>1.2925281102647805</c:v>
                </c:pt>
                <c:pt idx="51">
                  <c:v>1.2700398984403336</c:v>
                </c:pt>
                <c:pt idx="52">
                  <c:v>1.269133115705477</c:v>
                </c:pt>
                <c:pt idx="53">
                  <c:v>1.280195865070729</c:v>
                </c:pt>
                <c:pt idx="54">
                  <c:v>1.2622415669205658</c:v>
                </c:pt>
                <c:pt idx="55">
                  <c:v>1.2377584330794342</c:v>
                </c:pt>
                <c:pt idx="56">
                  <c:v>1.2482771128037722</c:v>
                </c:pt>
                <c:pt idx="57">
                  <c:v>1.2540805223068554</c:v>
                </c:pt>
                <c:pt idx="58">
                  <c:v>1.2626042800145085</c:v>
                </c:pt>
                <c:pt idx="59">
                  <c:v>1.2520856002901706</c:v>
                </c:pt>
                <c:pt idx="60">
                  <c:v>1.2332245194051505</c:v>
                </c:pt>
                <c:pt idx="61">
                  <c:v>1.2323177366702938</c:v>
                </c:pt>
                <c:pt idx="62">
                  <c:v>1.2285092491838954</c:v>
                </c:pt>
                <c:pt idx="63">
                  <c:v>1.232499093217265</c:v>
                </c:pt>
                <c:pt idx="64">
                  <c:v>1.2348567283278926</c:v>
                </c:pt>
                <c:pt idx="65">
                  <c:v>1.2321363801233225</c:v>
                </c:pt>
                <c:pt idx="66">
                  <c:v>1.2912586144359812</c:v>
                </c:pt>
                <c:pt idx="67">
                  <c:v>1.2983315197678638</c:v>
                </c:pt>
                <c:pt idx="68">
                  <c:v>1.3030467899891185</c:v>
                </c:pt>
                <c:pt idx="69">
                  <c:v>1.3594486760972069</c:v>
                </c:pt>
                <c:pt idx="70">
                  <c:v>1.339499455930359</c:v>
                </c:pt>
                <c:pt idx="71">
                  <c:v>1.350018135654697</c:v>
                </c:pt>
                <c:pt idx="72">
                  <c:v>1.3396808124773305</c:v>
                </c:pt>
                <c:pt idx="73">
                  <c:v>1.3686978599927457</c:v>
                </c:pt>
                <c:pt idx="74">
                  <c:v>1.3792165397170837</c:v>
                </c:pt>
                <c:pt idx="75">
                  <c:v>1.4040623866521582</c:v>
                </c:pt>
                <c:pt idx="76">
                  <c:v>1.4261878853826624</c:v>
                </c:pt>
                <c:pt idx="77">
                  <c:v>1.3875589408777658</c:v>
                </c:pt>
                <c:pt idx="78">
                  <c:v>1.3873775843307943</c:v>
                </c:pt>
                <c:pt idx="79">
                  <c:v>1.3725063474791441</c:v>
                </c:pt>
                <c:pt idx="80">
                  <c:v>1.4250997461008341</c:v>
                </c:pt>
                <c:pt idx="81">
                  <c:v>1.4212912586144359</c:v>
                </c:pt>
                <c:pt idx="82">
                  <c:v>1.417120058034095</c:v>
                </c:pt>
                <c:pt idx="83">
                  <c:v>1.4236488937250635</c:v>
                </c:pt>
                <c:pt idx="84">
                  <c:v>1.4579252811026477</c:v>
                </c:pt>
                <c:pt idx="85">
                  <c:v>1.470620239390642</c:v>
                </c:pt>
                <c:pt idx="86">
                  <c:v>1.4515778019586507</c:v>
                </c:pt>
                <c:pt idx="87">
                  <c:v>1.4818643453028653</c:v>
                </c:pt>
                <c:pt idx="88">
                  <c:v>1.4902067464635473</c:v>
                </c:pt>
                <c:pt idx="89">
                  <c:v>1.487486398258977</c:v>
                </c:pt>
                <c:pt idx="90">
                  <c:v>1.4840406238665216</c:v>
                </c:pt>
                <c:pt idx="91">
                  <c:v>1.4597388465723611</c:v>
                </c:pt>
                <c:pt idx="92">
                  <c:v>1.5326441784548424</c:v>
                </c:pt>
                <c:pt idx="93">
                  <c:v>1.6071817192600653</c:v>
                </c:pt>
                <c:pt idx="94">
                  <c:v>1.5585781646717447</c:v>
                </c:pt>
                <c:pt idx="95">
                  <c:v>1.522669568371418</c:v>
                </c:pt>
                <c:pt idx="96">
                  <c:v>1.575625680087051</c:v>
                </c:pt>
                <c:pt idx="97">
                  <c:v>1.5529561117156327</c:v>
                </c:pt>
                <c:pt idx="98">
                  <c:v>1.5437069278200943</c:v>
                </c:pt>
                <c:pt idx="99">
                  <c:v>1.5190424374319913</c:v>
                </c:pt>
                <c:pt idx="100">
                  <c:v>1.5103373231773667</c:v>
                </c:pt>
                <c:pt idx="101">
                  <c:v>1.5021762785636561</c:v>
                </c:pt>
                <c:pt idx="102">
                  <c:v>1.504715270221255</c:v>
                </c:pt>
                <c:pt idx="103">
                  <c:v>1.5177729416031918</c:v>
                </c:pt>
                <c:pt idx="104">
                  <c:v>1.5554951033732316</c:v>
                </c:pt>
                <c:pt idx="105">
                  <c:v>1.5992020311933262</c:v>
                </c:pt>
                <c:pt idx="106">
                  <c:v>1.589227421109902</c:v>
                </c:pt>
                <c:pt idx="107">
                  <c:v>1.6026478055857818</c:v>
                </c:pt>
                <c:pt idx="108">
                  <c:v>1.5952121871599563</c:v>
                </c:pt>
                <c:pt idx="109">
                  <c:v>1.6271309394269133</c:v>
                </c:pt>
                <c:pt idx="110">
                  <c:v>1.6592310482408414</c:v>
                </c:pt>
                <c:pt idx="111">
                  <c:v>1.6768226332970619</c:v>
                </c:pt>
                <c:pt idx="112">
                  <c:v>1.6405513239027927</c:v>
                </c:pt>
                <c:pt idx="113">
                  <c:v>1.6594124047878129</c:v>
                </c:pt>
                <c:pt idx="114">
                  <c:v>1.6737395719985493</c:v>
                </c:pt>
                <c:pt idx="115">
                  <c:v>1.67791077257889</c:v>
                </c:pt>
                <c:pt idx="116">
                  <c:v>1.6467174464998187</c:v>
                </c:pt>
                <c:pt idx="117">
                  <c:v>1.6617700398984403</c:v>
                </c:pt>
                <c:pt idx="118">
                  <c:v>1.6998549147624229</c:v>
                </c:pt>
                <c:pt idx="119">
                  <c:v>1.7013057671381937</c:v>
                </c:pt>
                <c:pt idx="120">
                  <c:v>1.7163583605368153</c:v>
                </c:pt>
                <c:pt idx="121">
                  <c:v>1.7384838592673195</c:v>
                </c:pt>
                <c:pt idx="122">
                  <c:v>1.7252448313384112</c:v>
                </c:pt>
                <c:pt idx="123">
                  <c:v>1.720348204570185</c:v>
                </c:pt>
                <c:pt idx="124">
                  <c:v>1.6628581791802683</c:v>
                </c:pt>
                <c:pt idx="125">
                  <c:v>1.6712005803409504</c:v>
                </c:pt>
                <c:pt idx="126">
                  <c:v>1.6626768226332971</c:v>
                </c:pt>
                <c:pt idx="127">
                  <c:v>1.6320275661951396</c:v>
                </c:pt>
                <c:pt idx="128">
                  <c:v>1.5805223068552776</c:v>
                </c:pt>
                <c:pt idx="129">
                  <c:v>1.5398984403336959</c:v>
                </c:pt>
                <c:pt idx="130">
                  <c:v>1.5701849836779107</c:v>
                </c:pt>
                <c:pt idx="131">
                  <c:v>1.5836053681537903</c:v>
                </c:pt>
                <c:pt idx="132">
                  <c:v>1.5667392092854553</c:v>
                </c:pt>
                <c:pt idx="133">
                  <c:v>1.5239390642002177</c:v>
                </c:pt>
                <c:pt idx="134">
                  <c:v>1.5500544069640914</c:v>
                </c:pt>
                <c:pt idx="135">
                  <c:v>1.5030830612985129</c:v>
                </c:pt>
                <c:pt idx="136">
                  <c:v>1.5096118969894812</c:v>
                </c:pt>
                <c:pt idx="137">
                  <c:v>1.4844033369604641</c:v>
                </c:pt>
                <c:pt idx="138">
                  <c:v>1.4678998911860717</c:v>
                </c:pt>
                <c:pt idx="139">
                  <c:v>1.4639100471527022</c:v>
                </c:pt>
                <c:pt idx="140">
                  <c:v>1.536271309394269</c:v>
                </c:pt>
                <c:pt idx="141">
                  <c:v>1.4838592673195501</c:v>
                </c:pt>
                <c:pt idx="142">
                  <c:v>1.4686253173739572</c:v>
                </c:pt>
                <c:pt idx="143">
                  <c:v>1.406057308668843</c:v>
                </c:pt>
                <c:pt idx="144">
                  <c:v>1.4274573812114617</c:v>
                </c:pt>
                <c:pt idx="145">
                  <c:v>1.392455567645992</c:v>
                </c:pt>
                <c:pt idx="146">
                  <c:v>1.3465723612622416</c:v>
                </c:pt>
                <c:pt idx="147">
                  <c:v>1.3275299238302503</c:v>
                </c:pt>
                <c:pt idx="148">
                  <c:v>1.3922742110990205</c:v>
                </c:pt>
                <c:pt idx="149">
                  <c:v>1.4169387014871235</c:v>
                </c:pt>
                <c:pt idx="150">
                  <c:v>1.4067827348567281</c:v>
                </c:pt>
                <c:pt idx="151">
                  <c:v>1.4691693870148712</c:v>
                </c:pt>
                <c:pt idx="152">
                  <c:v>1.4510337323177367</c:v>
                </c:pt>
                <c:pt idx="153">
                  <c:v>1.3835690968443961</c:v>
                </c:pt>
                <c:pt idx="154">
                  <c:v>1.4064200217627856</c:v>
                </c:pt>
                <c:pt idx="155">
                  <c:v>1.4036996735582155</c:v>
                </c:pt>
                <c:pt idx="156">
                  <c:v>1.3837504533913674</c:v>
                </c:pt>
                <c:pt idx="157">
                  <c:v>1.3628944504896627</c:v>
                </c:pt>
                <c:pt idx="158">
                  <c:v>1.3895538628944506</c:v>
                </c:pt>
                <c:pt idx="159">
                  <c:v>1.4252811026478056</c:v>
                </c:pt>
                <c:pt idx="160">
                  <c:v>1.4198404062386654</c:v>
                </c:pt>
                <c:pt idx="161">
                  <c:v>1.3638012332245195</c:v>
                </c:pt>
                <c:pt idx="162">
                  <c:v>1.3460282916213275</c:v>
                </c:pt>
                <c:pt idx="163">
                  <c:v>1.3159231048240843</c:v>
                </c:pt>
                <c:pt idx="164">
                  <c:v>1.3128400435255714</c:v>
                </c:pt>
                <c:pt idx="165">
                  <c:v>1.2490025389916577</c:v>
                </c:pt>
                <c:pt idx="166">
                  <c:v>1.2916213275299238</c:v>
                </c:pt>
                <c:pt idx="167">
                  <c:v>1.3028654334421472</c:v>
                </c:pt>
                <c:pt idx="168">
                  <c:v>1.3253536452665942</c:v>
                </c:pt>
                <c:pt idx="169">
                  <c:v>1.3066739209285454</c:v>
                </c:pt>
                <c:pt idx="170">
                  <c:v>1.2985128763148348</c:v>
                </c:pt>
                <c:pt idx="171">
                  <c:v>1.3099383387740298</c:v>
                </c:pt>
                <c:pt idx="172">
                  <c:v>1.302684076895176</c:v>
                </c:pt>
                <c:pt idx="173">
                  <c:v>1.3059484947406603</c:v>
                </c:pt>
                <c:pt idx="174">
                  <c:v>1.3115705476967716</c:v>
                </c:pt>
                <c:pt idx="175">
                  <c:v>1.2419296336597752</c:v>
                </c:pt>
                <c:pt idx="176">
                  <c:v>1.2990569459557488</c:v>
                </c:pt>
                <c:pt idx="177">
                  <c:v>1.3019586507072907</c:v>
                </c:pt>
                <c:pt idx="178">
                  <c:v>1.2905331882480957</c:v>
                </c:pt>
                <c:pt idx="179">
                  <c:v>1.295973884657236</c:v>
                </c:pt>
                <c:pt idx="180">
                  <c:v>1.2756619513964456</c:v>
                </c:pt>
                <c:pt idx="181">
                  <c:v>1.243561842582517</c:v>
                </c:pt>
                <c:pt idx="182">
                  <c:v>1.2384838592673197</c:v>
                </c:pt>
                <c:pt idx="183">
                  <c:v>1.2635110627493653</c:v>
                </c:pt>
                <c:pt idx="184">
                  <c:v>1.2976060935799782</c:v>
                </c:pt>
                <c:pt idx="185">
                  <c:v>1.2807399347116433</c:v>
                </c:pt>
                <c:pt idx="186">
                  <c:v>1.2419296336597752</c:v>
                </c:pt>
                <c:pt idx="187">
                  <c:v>1.2537178092129124</c:v>
                </c:pt>
                <c:pt idx="188">
                  <c:v>1.3057671381936888</c:v>
                </c:pt>
                <c:pt idx="189">
                  <c:v>1.3157417482771128</c:v>
                </c:pt>
                <c:pt idx="190">
                  <c:v>1.3070366340224882</c:v>
                </c:pt>
                <c:pt idx="191">
                  <c:v>1.3139281828073994</c:v>
                </c:pt>
                <c:pt idx="192">
                  <c:v>1.2881755531374683</c:v>
                </c:pt>
                <c:pt idx="193">
                  <c:v>1.28436706565107</c:v>
                </c:pt>
                <c:pt idx="194">
                  <c:v>1.3242655059847659</c:v>
                </c:pt>
                <c:pt idx="195">
                  <c:v>1.3371418208197317</c:v>
                </c:pt>
                <c:pt idx="196">
                  <c:v>1.3686978599927457</c:v>
                </c:pt>
                <c:pt idx="197">
                  <c:v>1.3841131664853099</c:v>
                </c:pt>
                <c:pt idx="198">
                  <c:v>1.3743199129488575</c:v>
                </c:pt>
                <c:pt idx="199">
                  <c:v>1.3746826260428</c:v>
                </c:pt>
                <c:pt idx="200">
                  <c:v>1.3612622415669207</c:v>
                </c:pt>
                <c:pt idx="201">
                  <c:v>1.358360536815379</c:v>
                </c:pt>
                <c:pt idx="202">
                  <c:v>1.4017047515415308</c:v>
                </c:pt>
                <c:pt idx="203">
                  <c:v>1.4131302140007254</c:v>
                </c:pt>
                <c:pt idx="204">
                  <c:v>1.4038810301051867</c:v>
                </c:pt>
                <c:pt idx="205">
                  <c:v>1.3908233587232499</c:v>
                </c:pt>
                <c:pt idx="206">
                  <c:v>1.3900979325353646</c:v>
                </c:pt>
                <c:pt idx="207">
                  <c:v>1.4133115705476968</c:v>
                </c:pt>
                <c:pt idx="208">
                  <c:v>1.4029742473703299</c:v>
                </c:pt>
                <c:pt idx="209">
                  <c:v>1.4017047515415308</c:v>
                </c:pt>
                <c:pt idx="210">
                  <c:v>1.4049691693870148</c:v>
                </c:pt>
                <c:pt idx="211">
                  <c:v>1.4285455204932898</c:v>
                </c:pt>
                <c:pt idx="212">
                  <c:v>1.4637286906057307</c:v>
                </c:pt>
                <c:pt idx="213">
                  <c:v>1.4738846572361262</c:v>
                </c:pt>
                <c:pt idx="214">
                  <c:v>1.475335509611897</c:v>
                </c:pt>
                <c:pt idx="215">
                  <c:v>1.5054406964091405</c:v>
                </c:pt>
                <c:pt idx="216">
                  <c:v>1.5217627856365614</c:v>
                </c:pt>
                <c:pt idx="217">
                  <c:v>1.5090678273485671</c:v>
                </c:pt>
                <c:pt idx="218">
                  <c:v>1.5079796880667393</c:v>
                </c:pt>
                <c:pt idx="219">
                  <c:v>1.522669568371418</c:v>
                </c:pt>
                <c:pt idx="220">
                  <c:v>1.5322814653608994</c:v>
                </c:pt>
                <c:pt idx="221">
                  <c:v>1.5457018498367792</c:v>
                </c:pt>
                <c:pt idx="222">
                  <c:v>1.5469713456655785</c:v>
                </c:pt>
                <c:pt idx="223">
                  <c:v>1.5602103735944868</c:v>
                </c:pt>
                <c:pt idx="224">
                  <c:v>1.5547696771853465</c:v>
                </c:pt>
                <c:pt idx="225">
                  <c:v>1.6289445048966267</c:v>
                </c:pt>
                <c:pt idx="226">
                  <c:v>1.6367428364163945</c:v>
                </c:pt>
                <c:pt idx="227">
                  <c:v>1.6815379035183169</c:v>
                </c:pt>
                <c:pt idx="228">
                  <c:v>1.6648531011969532</c:v>
                </c:pt>
                <c:pt idx="229">
                  <c:v>1.6690243017772941</c:v>
                </c:pt>
                <c:pt idx="230">
                  <c:v>1.6621327529923831</c:v>
                </c:pt>
                <c:pt idx="231">
                  <c:v>1.6434530286543345</c:v>
                </c:pt>
                <c:pt idx="232">
                  <c:v>1.6240478781284005</c:v>
                </c:pt>
                <c:pt idx="233">
                  <c:v>1.632208922742111</c:v>
                </c:pt>
                <c:pt idx="234">
                  <c:v>1.6354733405875954</c:v>
                </c:pt>
                <c:pt idx="235">
                  <c:v>1.6514327167210736</c:v>
                </c:pt>
                <c:pt idx="236">
                  <c:v>1.6592310482408414</c:v>
                </c:pt>
                <c:pt idx="237">
                  <c:v>1.6652158142908957</c:v>
                </c:pt>
                <c:pt idx="238">
                  <c:v>1.6706565107000364</c:v>
                </c:pt>
                <c:pt idx="239">
                  <c:v>1.6924192963365976</c:v>
                </c:pt>
                <c:pt idx="240">
                  <c:v>1.7343126586869786</c:v>
                </c:pt>
                <c:pt idx="241">
                  <c:v>1.7085600290170473</c:v>
                </c:pt>
                <c:pt idx="242">
                  <c:v>1.6621327529923831</c:v>
                </c:pt>
                <c:pt idx="243">
                  <c:v>1.6568734131302141</c:v>
                </c:pt>
                <c:pt idx="244">
                  <c:v>1.6566920565832426</c:v>
                </c:pt>
                <c:pt idx="245">
                  <c:v>1.6592310482408414</c:v>
                </c:pt>
                <c:pt idx="246">
                  <c:v>1.7354007979688066</c:v>
                </c:pt>
                <c:pt idx="247">
                  <c:v>1.7473703300689154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[30]dgkc!$E$1</c:f>
              <c:strCache>
                <c:ptCount val="1"/>
                <c:pt idx="0">
                  <c:v>KSE100</c:v>
                </c:pt>
              </c:strCache>
            </c:strRef>
          </c:tx>
          <c:spPr>
            <a:ln w="15875">
              <a:solidFill>
                <a:srgbClr val="4F81BD">
                  <a:lumMod val="60000"/>
                  <a:lumOff val="40000"/>
                </a:srgbClr>
              </a:solidFill>
            </a:ln>
          </c:spPr>
          <c:marker>
            <c:symbol val="none"/>
          </c:marker>
          <c:cat>
            <c:numRef>
              <c:f>[30]dgkc!$A$2:$A$249</c:f>
              <c:numCache>
                <c:formatCode>General</c:formatCode>
                <c:ptCount val="248"/>
                <c:pt idx="0">
                  <c:v>41306</c:v>
                </c:pt>
                <c:pt idx="1">
                  <c:v>41309</c:v>
                </c:pt>
                <c:pt idx="2">
                  <c:v>41311</c:v>
                </c:pt>
                <c:pt idx="3">
                  <c:v>41312</c:v>
                </c:pt>
                <c:pt idx="4">
                  <c:v>41313</c:v>
                </c:pt>
                <c:pt idx="5">
                  <c:v>41316</c:v>
                </c:pt>
                <c:pt idx="6">
                  <c:v>41317</c:v>
                </c:pt>
                <c:pt idx="7">
                  <c:v>41318</c:v>
                </c:pt>
                <c:pt idx="8">
                  <c:v>41319</c:v>
                </c:pt>
                <c:pt idx="9">
                  <c:v>41320</c:v>
                </c:pt>
                <c:pt idx="10">
                  <c:v>41323</c:v>
                </c:pt>
                <c:pt idx="11">
                  <c:v>41324</c:v>
                </c:pt>
                <c:pt idx="12">
                  <c:v>41325</c:v>
                </c:pt>
                <c:pt idx="13">
                  <c:v>41326</c:v>
                </c:pt>
                <c:pt idx="14">
                  <c:v>41327</c:v>
                </c:pt>
                <c:pt idx="15">
                  <c:v>41330</c:v>
                </c:pt>
                <c:pt idx="16">
                  <c:v>41331</c:v>
                </c:pt>
                <c:pt idx="17">
                  <c:v>41332</c:v>
                </c:pt>
                <c:pt idx="18">
                  <c:v>41333</c:v>
                </c:pt>
                <c:pt idx="19">
                  <c:v>41334</c:v>
                </c:pt>
                <c:pt idx="20">
                  <c:v>41337</c:v>
                </c:pt>
                <c:pt idx="21">
                  <c:v>41338</c:v>
                </c:pt>
                <c:pt idx="22">
                  <c:v>41339</c:v>
                </c:pt>
                <c:pt idx="23">
                  <c:v>41340</c:v>
                </c:pt>
                <c:pt idx="24">
                  <c:v>41341</c:v>
                </c:pt>
                <c:pt idx="25">
                  <c:v>41344</c:v>
                </c:pt>
                <c:pt idx="26">
                  <c:v>41345</c:v>
                </c:pt>
                <c:pt idx="27">
                  <c:v>41346</c:v>
                </c:pt>
                <c:pt idx="28">
                  <c:v>41347</c:v>
                </c:pt>
                <c:pt idx="29">
                  <c:v>41348</c:v>
                </c:pt>
                <c:pt idx="30">
                  <c:v>41351</c:v>
                </c:pt>
                <c:pt idx="31">
                  <c:v>41352</c:v>
                </c:pt>
                <c:pt idx="32">
                  <c:v>41353</c:v>
                </c:pt>
                <c:pt idx="33">
                  <c:v>41354</c:v>
                </c:pt>
                <c:pt idx="34">
                  <c:v>41355</c:v>
                </c:pt>
                <c:pt idx="35">
                  <c:v>41358</c:v>
                </c:pt>
                <c:pt idx="36">
                  <c:v>41359</c:v>
                </c:pt>
                <c:pt idx="37">
                  <c:v>41360</c:v>
                </c:pt>
                <c:pt idx="38">
                  <c:v>41361</c:v>
                </c:pt>
                <c:pt idx="39">
                  <c:v>41362</c:v>
                </c:pt>
                <c:pt idx="40">
                  <c:v>41365</c:v>
                </c:pt>
                <c:pt idx="41">
                  <c:v>41366</c:v>
                </c:pt>
                <c:pt idx="42">
                  <c:v>41367</c:v>
                </c:pt>
                <c:pt idx="43">
                  <c:v>41368</c:v>
                </c:pt>
                <c:pt idx="44">
                  <c:v>41369</c:v>
                </c:pt>
                <c:pt idx="45">
                  <c:v>41372</c:v>
                </c:pt>
                <c:pt idx="46">
                  <c:v>41373</c:v>
                </c:pt>
                <c:pt idx="47">
                  <c:v>41374</c:v>
                </c:pt>
                <c:pt idx="48">
                  <c:v>41375</c:v>
                </c:pt>
                <c:pt idx="49">
                  <c:v>41376</c:v>
                </c:pt>
                <c:pt idx="50">
                  <c:v>41379</c:v>
                </c:pt>
                <c:pt idx="51">
                  <c:v>41380</c:v>
                </c:pt>
                <c:pt idx="52">
                  <c:v>41381</c:v>
                </c:pt>
                <c:pt idx="53">
                  <c:v>41382</c:v>
                </c:pt>
                <c:pt idx="54">
                  <c:v>41383</c:v>
                </c:pt>
                <c:pt idx="55">
                  <c:v>41386</c:v>
                </c:pt>
                <c:pt idx="56">
                  <c:v>41387</c:v>
                </c:pt>
                <c:pt idx="57">
                  <c:v>41388</c:v>
                </c:pt>
                <c:pt idx="58">
                  <c:v>41389</c:v>
                </c:pt>
                <c:pt idx="59">
                  <c:v>41390</c:v>
                </c:pt>
                <c:pt idx="60">
                  <c:v>41393</c:v>
                </c:pt>
                <c:pt idx="61">
                  <c:v>41394</c:v>
                </c:pt>
                <c:pt idx="62">
                  <c:v>41396</c:v>
                </c:pt>
                <c:pt idx="63">
                  <c:v>41397</c:v>
                </c:pt>
                <c:pt idx="64">
                  <c:v>41400</c:v>
                </c:pt>
                <c:pt idx="65">
                  <c:v>41401</c:v>
                </c:pt>
                <c:pt idx="66">
                  <c:v>41402</c:v>
                </c:pt>
                <c:pt idx="67">
                  <c:v>41403</c:v>
                </c:pt>
                <c:pt idx="68">
                  <c:v>41404</c:v>
                </c:pt>
                <c:pt idx="69">
                  <c:v>41407</c:v>
                </c:pt>
                <c:pt idx="70">
                  <c:v>41408</c:v>
                </c:pt>
                <c:pt idx="71">
                  <c:v>41409</c:v>
                </c:pt>
                <c:pt idx="72">
                  <c:v>41410</c:v>
                </c:pt>
                <c:pt idx="73">
                  <c:v>41411</c:v>
                </c:pt>
                <c:pt idx="74">
                  <c:v>41414</c:v>
                </c:pt>
                <c:pt idx="75">
                  <c:v>41415</c:v>
                </c:pt>
                <c:pt idx="76">
                  <c:v>41416</c:v>
                </c:pt>
                <c:pt idx="77">
                  <c:v>41417</c:v>
                </c:pt>
                <c:pt idx="78">
                  <c:v>41418</c:v>
                </c:pt>
                <c:pt idx="79">
                  <c:v>41421</c:v>
                </c:pt>
                <c:pt idx="80">
                  <c:v>41422</c:v>
                </c:pt>
                <c:pt idx="81">
                  <c:v>41423</c:v>
                </c:pt>
                <c:pt idx="82">
                  <c:v>41424</c:v>
                </c:pt>
                <c:pt idx="83">
                  <c:v>41425</c:v>
                </c:pt>
                <c:pt idx="84">
                  <c:v>41428</c:v>
                </c:pt>
                <c:pt idx="85">
                  <c:v>41429</c:v>
                </c:pt>
                <c:pt idx="86">
                  <c:v>41430</c:v>
                </c:pt>
                <c:pt idx="87">
                  <c:v>41431</c:v>
                </c:pt>
                <c:pt idx="88">
                  <c:v>41432</c:v>
                </c:pt>
                <c:pt idx="89">
                  <c:v>41435</c:v>
                </c:pt>
                <c:pt idx="90">
                  <c:v>41436</c:v>
                </c:pt>
                <c:pt idx="91">
                  <c:v>41437</c:v>
                </c:pt>
                <c:pt idx="92">
                  <c:v>41438</c:v>
                </c:pt>
                <c:pt idx="93">
                  <c:v>41439</c:v>
                </c:pt>
                <c:pt idx="94">
                  <c:v>41442</c:v>
                </c:pt>
                <c:pt idx="95">
                  <c:v>41443</c:v>
                </c:pt>
                <c:pt idx="96">
                  <c:v>41444</c:v>
                </c:pt>
                <c:pt idx="97">
                  <c:v>41445</c:v>
                </c:pt>
                <c:pt idx="98">
                  <c:v>41446</c:v>
                </c:pt>
                <c:pt idx="99">
                  <c:v>41449</c:v>
                </c:pt>
                <c:pt idx="100">
                  <c:v>41450</c:v>
                </c:pt>
                <c:pt idx="101">
                  <c:v>41451</c:v>
                </c:pt>
                <c:pt idx="102">
                  <c:v>41452</c:v>
                </c:pt>
                <c:pt idx="103">
                  <c:v>41453</c:v>
                </c:pt>
                <c:pt idx="104">
                  <c:v>41456</c:v>
                </c:pt>
                <c:pt idx="105">
                  <c:v>41457</c:v>
                </c:pt>
                <c:pt idx="106">
                  <c:v>41458</c:v>
                </c:pt>
                <c:pt idx="107">
                  <c:v>41459</c:v>
                </c:pt>
                <c:pt idx="108">
                  <c:v>41460</c:v>
                </c:pt>
                <c:pt idx="109">
                  <c:v>41463</c:v>
                </c:pt>
                <c:pt idx="110">
                  <c:v>41464</c:v>
                </c:pt>
                <c:pt idx="111">
                  <c:v>41465</c:v>
                </c:pt>
                <c:pt idx="112">
                  <c:v>41466</c:v>
                </c:pt>
                <c:pt idx="113">
                  <c:v>41467</c:v>
                </c:pt>
                <c:pt idx="114">
                  <c:v>41470</c:v>
                </c:pt>
                <c:pt idx="115">
                  <c:v>41471</c:v>
                </c:pt>
                <c:pt idx="116">
                  <c:v>41472</c:v>
                </c:pt>
                <c:pt idx="117">
                  <c:v>41473</c:v>
                </c:pt>
                <c:pt idx="118">
                  <c:v>41474</c:v>
                </c:pt>
                <c:pt idx="119">
                  <c:v>41477</c:v>
                </c:pt>
                <c:pt idx="120">
                  <c:v>41478</c:v>
                </c:pt>
                <c:pt idx="121">
                  <c:v>41479</c:v>
                </c:pt>
                <c:pt idx="122">
                  <c:v>41480</c:v>
                </c:pt>
                <c:pt idx="123">
                  <c:v>41481</c:v>
                </c:pt>
                <c:pt idx="124">
                  <c:v>41484</c:v>
                </c:pt>
                <c:pt idx="125">
                  <c:v>41485</c:v>
                </c:pt>
                <c:pt idx="126">
                  <c:v>41486</c:v>
                </c:pt>
                <c:pt idx="127">
                  <c:v>41487</c:v>
                </c:pt>
                <c:pt idx="128">
                  <c:v>41491</c:v>
                </c:pt>
                <c:pt idx="129">
                  <c:v>41492</c:v>
                </c:pt>
                <c:pt idx="130">
                  <c:v>41493</c:v>
                </c:pt>
                <c:pt idx="131">
                  <c:v>41498</c:v>
                </c:pt>
                <c:pt idx="132">
                  <c:v>41499</c:v>
                </c:pt>
                <c:pt idx="133">
                  <c:v>41501</c:v>
                </c:pt>
                <c:pt idx="134">
                  <c:v>41502</c:v>
                </c:pt>
                <c:pt idx="135">
                  <c:v>41505</c:v>
                </c:pt>
                <c:pt idx="136">
                  <c:v>41506</c:v>
                </c:pt>
                <c:pt idx="137">
                  <c:v>41507</c:v>
                </c:pt>
                <c:pt idx="138">
                  <c:v>41508</c:v>
                </c:pt>
                <c:pt idx="139">
                  <c:v>41509</c:v>
                </c:pt>
                <c:pt idx="140">
                  <c:v>41512</c:v>
                </c:pt>
                <c:pt idx="141">
                  <c:v>41513</c:v>
                </c:pt>
                <c:pt idx="142">
                  <c:v>41514</c:v>
                </c:pt>
                <c:pt idx="143">
                  <c:v>41515</c:v>
                </c:pt>
                <c:pt idx="144">
                  <c:v>41516</c:v>
                </c:pt>
                <c:pt idx="145">
                  <c:v>41519</c:v>
                </c:pt>
                <c:pt idx="146">
                  <c:v>41520</c:v>
                </c:pt>
                <c:pt idx="147">
                  <c:v>41521</c:v>
                </c:pt>
                <c:pt idx="148">
                  <c:v>41522</c:v>
                </c:pt>
                <c:pt idx="149">
                  <c:v>41523</c:v>
                </c:pt>
                <c:pt idx="150">
                  <c:v>41526</c:v>
                </c:pt>
                <c:pt idx="151">
                  <c:v>41527</c:v>
                </c:pt>
                <c:pt idx="152">
                  <c:v>41528</c:v>
                </c:pt>
                <c:pt idx="153">
                  <c:v>41529</c:v>
                </c:pt>
                <c:pt idx="154">
                  <c:v>41530</c:v>
                </c:pt>
                <c:pt idx="155">
                  <c:v>41533</c:v>
                </c:pt>
                <c:pt idx="156">
                  <c:v>41534</c:v>
                </c:pt>
                <c:pt idx="157">
                  <c:v>41535</c:v>
                </c:pt>
                <c:pt idx="158">
                  <c:v>41536</c:v>
                </c:pt>
                <c:pt idx="159">
                  <c:v>41537</c:v>
                </c:pt>
                <c:pt idx="160">
                  <c:v>41540</c:v>
                </c:pt>
                <c:pt idx="161">
                  <c:v>41541</c:v>
                </c:pt>
                <c:pt idx="162">
                  <c:v>41542</c:v>
                </c:pt>
                <c:pt idx="163">
                  <c:v>41543</c:v>
                </c:pt>
                <c:pt idx="164">
                  <c:v>41544</c:v>
                </c:pt>
                <c:pt idx="165">
                  <c:v>41547</c:v>
                </c:pt>
                <c:pt idx="166">
                  <c:v>41548</c:v>
                </c:pt>
                <c:pt idx="167">
                  <c:v>41549</c:v>
                </c:pt>
                <c:pt idx="168">
                  <c:v>41550</c:v>
                </c:pt>
                <c:pt idx="169">
                  <c:v>41551</c:v>
                </c:pt>
                <c:pt idx="170">
                  <c:v>41554</c:v>
                </c:pt>
                <c:pt idx="171">
                  <c:v>41555</c:v>
                </c:pt>
                <c:pt idx="172">
                  <c:v>41556</c:v>
                </c:pt>
                <c:pt idx="173">
                  <c:v>41557</c:v>
                </c:pt>
                <c:pt idx="174">
                  <c:v>41558</c:v>
                </c:pt>
                <c:pt idx="175">
                  <c:v>41561</c:v>
                </c:pt>
                <c:pt idx="176">
                  <c:v>41568</c:v>
                </c:pt>
                <c:pt idx="177">
                  <c:v>41569</c:v>
                </c:pt>
                <c:pt idx="178">
                  <c:v>41570</c:v>
                </c:pt>
                <c:pt idx="179">
                  <c:v>41571</c:v>
                </c:pt>
                <c:pt idx="180">
                  <c:v>41572</c:v>
                </c:pt>
                <c:pt idx="181">
                  <c:v>41575</c:v>
                </c:pt>
                <c:pt idx="182">
                  <c:v>41576</c:v>
                </c:pt>
                <c:pt idx="183">
                  <c:v>41577</c:v>
                </c:pt>
                <c:pt idx="184">
                  <c:v>41578</c:v>
                </c:pt>
                <c:pt idx="185">
                  <c:v>41579</c:v>
                </c:pt>
                <c:pt idx="186">
                  <c:v>41582</c:v>
                </c:pt>
                <c:pt idx="187">
                  <c:v>41583</c:v>
                </c:pt>
                <c:pt idx="188">
                  <c:v>41584</c:v>
                </c:pt>
                <c:pt idx="189">
                  <c:v>41585</c:v>
                </c:pt>
                <c:pt idx="190">
                  <c:v>41586</c:v>
                </c:pt>
                <c:pt idx="191">
                  <c:v>41589</c:v>
                </c:pt>
                <c:pt idx="192">
                  <c:v>41590</c:v>
                </c:pt>
                <c:pt idx="193">
                  <c:v>41591</c:v>
                </c:pt>
                <c:pt idx="194">
                  <c:v>41596</c:v>
                </c:pt>
                <c:pt idx="195">
                  <c:v>41597</c:v>
                </c:pt>
                <c:pt idx="196">
                  <c:v>41598</c:v>
                </c:pt>
                <c:pt idx="197">
                  <c:v>41599</c:v>
                </c:pt>
                <c:pt idx="198">
                  <c:v>41600</c:v>
                </c:pt>
                <c:pt idx="199">
                  <c:v>41603</c:v>
                </c:pt>
                <c:pt idx="200">
                  <c:v>41604</c:v>
                </c:pt>
                <c:pt idx="201">
                  <c:v>41605</c:v>
                </c:pt>
                <c:pt idx="202">
                  <c:v>41606</c:v>
                </c:pt>
                <c:pt idx="203">
                  <c:v>41607</c:v>
                </c:pt>
                <c:pt idx="204">
                  <c:v>41610</c:v>
                </c:pt>
                <c:pt idx="205">
                  <c:v>41611</c:v>
                </c:pt>
                <c:pt idx="206">
                  <c:v>41612</c:v>
                </c:pt>
                <c:pt idx="207">
                  <c:v>41613</c:v>
                </c:pt>
                <c:pt idx="208">
                  <c:v>41614</c:v>
                </c:pt>
                <c:pt idx="209">
                  <c:v>41617</c:v>
                </c:pt>
                <c:pt idx="210">
                  <c:v>41618</c:v>
                </c:pt>
                <c:pt idx="211">
                  <c:v>41619</c:v>
                </c:pt>
                <c:pt idx="212">
                  <c:v>41620</c:v>
                </c:pt>
                <c:pt idx="213">
                  <c:v>41621</c:v>
                </c:pt>
                <c:pt idx="214">
                  <c:v>41624</c:v>
                </c:pt>
                <c:pt idx="215">
                  <c:v>41625</c:v>
                </c:pt>
                <c:pt idx="216">
                  <c:v>41626</c:v>
                </c:pt>
                <c:pt idx="217">
                  <c:v>41627</c:v>
                </c:pt>
                <c:pt idx="218">
                  <c:v>41628</c:v>
                </c:pt>
                <c:pt idx="219">
                  <c:v>41631</c:v>
                </c:pt>
                <c:pt idx="220">
                  <c:v>41632</c:v>
                </c:pt>
                <c:pt idx="221">
                  <c:v>41634</c:v>
                </c:pt>
                <c:pt idx="222">
                  <c:v>41635</c:v>
                </c:pt>
                <c:pt idx="223">
                  <c:v>41638</c:v>
                </c:pt>
                <c:pt idx="224">
                  <c:v>41639</c:v>
                </c:pt>
                <c:pt idx="225">
                  <c:v>41640</c:v>
                </c:pt>
                <c:pt idx="226">
                  <c:v>41641</c:v>
                </c:pt>
                <c:pt idx="227">
                  <c:v>41642</c:v>
                </c:pt>
                <c:pt idx="228">
                  <c:v>41645</c:v>
                </c:pt>
                <c:pt idx="229">
                  <c:v>41646</c:v>
                </c:pt>
                <c:pt idx="230">
                  <c:v>41647</c:v>
                </c:pt>
                <c:pt idx="231">
                  <c:v>41648</c:v>
                </c:pt>
                <c:pt idx="232">
                  <c:v>41649</c:v>
                </c:pt>
                <c:pt idx="233">
                  <c:v>41652</c:v>
                </c:pt>
                <c:pt idx="234">
                  <c:v>41654</c:v>
                </c:pt>
                <c:pt idx="235">
                  <c:v>41655</c:v>
                </c:pt>
                <c:pt idx="236">
                  <c:v>41656</c:v>
                </c:pt>
                <c:pt idx="237">
                  <c:v>41659</c:v>
                </c:pt>
                <c:pt idx="238">
                  <c:v>41660</c:v>
                </c:pt>
                <c:pt idx="239">
                  <c:v>41661</c:v>
                </c:pt>
                <c:pt idx="240">
                  <c:v>41662</c:v>
                </c:pt>
                <c:pt idx="241">
                  <c:v>41663</c:v>
                </c:pt>
                <c:pt idx="242">
                  <c:v>41666</c:v>
                </c:pt>
                <c:pt idx="243">
                  <c:v>41667</c:v>
                </c:pt>
                <c:pt idx="244">
                  <c:v>41668</c:v>
                </c:pt>
                <c:pt idx="245">
                  <c:v>41669</c:v>
                </c:pt>
                <c:pt idx="246">
                  <c:v>41670</c:v>
                </c:pt>
                <c:pt idx="247">
                  <c:v>41673</c:v>
                </c:pt>
              </c:numCache>
            </c:numRef>
          </c:cat>
          <c:val>
            <c:numRef>
              <c:f>[30]dgkc!$E$2:$E$249</c:f>
              <c:numCache>
                <c:formatCode>General</c:formatCode>
                <c:ptCount val="248"/>
                <c:pt idx="0">
                  <c:v>1</c:v>
                </c:pt>
                <c:pt idx="1">
                  <c:v>1.0012648968535691</c:v>
                </c:pt>
                <c:pt idx="2">
                  <c:v>1.0082409420006568</c:v>
                </c:pt>
                <c:pt idx="3">
                  <c:v>1.0067814456311539</c:v>
                </c:pt>
                <c:pt idx="4">
                  <c:v>1.0122615069995013</c:v>
                </c:pt>
                <c:pt idx="5">
                  <c:v>1.0163504134950132</c:v>
                </c:pt>
                <c:pt idx="6">
                  <c:v>1.0199910461056063</c:v>
                </c:pt>
                <c:pt idx="7">
                  <c:v>1.0249168463526781</c:v>
                </c:pt>
                <c:pt idx="8">
                  <c:v>1.0289345155253926</c:v>
                </c:pt>
                <c:pt idx="9">
                  <c:v>1.0307530943350112</c:v>
                </c:pt>
                <c:pt idx="10">
                  <c:v>1.0347140053155786</c:v>
                </c:pt>
                <c:pt idx="11">
                  <c:v>1.0319398038830712</c:v>
                </c:pt>
                <c:pt idx="12">
                  <c:v>1.0394318852465187</c:v>
                </c:pt>
                <c:pt idx="13">
                  <c:v>1.0379231598328067</c:v>
                </c:pt>
                <c:pt idx="14">
                  <c:v>1.0467988669211519</c:v>
                </c:pt>
                <c:pt idx="15">
                  <c:v>1.0436846955009866</c:v>
                </c:pt>
                <c:pt idx="16">
                  <c:v>1.0364098010972864</c:v>
                </c:pt>
                <c:pt idx="17">
                  <c:v>1.0471828534659855</c:v>
                </c:pt>
                <c:pt idx="18">
                  <c:v>1.0525557692675238</c:v>
                </c:pt>
                <c:pt idx="19">
                  <c:v>1.0532229676078679</c:v>
                </c:pt>
                <c:pt idx="20">
                  <c:v>1.049839484357616</c:v>
                </c:pt>
                <c:pt idx="21">
                  <c:v>1.0455855157726961</c:v>
                </c:pt>
                <c:pt idx="22">
                  <c:v>1.0425234692228704</c:v>
                </c:pt>
                <c:pt idx="23">
                  <c:v>1.0420867786424715</c:v>
                </c:pt>
                <c:pt idx="24">
                  <c:v>1.0404228369481932</c:v>
                </c:pt>
                <c:pt idx="25">
                  <c:v>1.0148457422378829</c:v>
                </c:pt>
                <c:pt idx="26">
                  <c:v>1.0351333209391975</c:v>
                </c:pt>
                <c:pt idx="27">
                  <c:v>1.0286229246338083</c:v>
                </c:pt>
                <c:pt idx="28">
                  <c:v>1.0274790733124717</c:v>
                </c:pt>
                <c:pt idx="29">
                  <c:v>1.0230855259080878</c:v>
                </c:pt>
                <c:pt idx="30">
                  <c:v>1.0130758133072477</c:v>
                </c:pt>
                <c:pt idx="31">
                  <c:v>1.0247384634630721</c:v>
                </c:pt>
                <c:pt idx="32">
                  <c:v>1.0282482047325909</c:v>
                </c:pt>
                <c:pt idx="33">
                  <c:v>1.0374945775655715</c:v>
                </c:pt>
                <c:pt idx="34">
                  <c:v>1.0403608662690118</c:v>
                </c:pt>
                <c:pt idx="35">
                  <c:v>1.0402913664418927</c:v>
                </c:pt>
                <c:pt idx="36">
                  <c:v>1.0350927793733782</c:v>
                </c:pt>
                <c:pt idx="37">
                  <c:v>1.038219692428515</c:v>
                </c:pt>
                <c:pt idx="38">
                  <c:v>1.0394718476471123</c:v>
                </c:pt>
                <c:pt idx="39">
                  <c:v>1.0450057713814771</c:v>
                </c:pt>
                <c:pt idx="40">
                  <c:v>1.0582570717522009</c:v>
                </c:pt>
                <c:pt idx="41">
                  <c:v>1.0625214653111885</c:v>
                </c:pt>
                <c:pt idx="42">
                  <c:v>1.0758503738221952</c:v>
                </c:pt>
                <c:pt idx="43">
                  <c:v>1.0780257184110253</c:v>
                </c:pt>
                <c:pt idx="44">
                  <c:v>1.079334052656544</c:v>
                </c:pt>
                <c:pt idx="45">
                  <c:v>1.0803203710364104</c:v>
                </c:pt>
                <c:pt idx="46">
                  <c:v>1.0838272164797991</c:v>
                </c:pt>
                <c:pt idx="47">
                  <c:v>1.0843913234099163</c:v>
                </c:pt>
                <c:pt idx="48">
                  <c:v>1.0867774841410083</c:v>
                </c:pt>
                <c:pt idx="49">
                  <c:v>1.0838660205499404</c:v>
                </c:pt>
                <c:pt idx="50">
                  <c:v>1.0728746228910422</c:v>
                </c:pt>
                <c:pt idx="51">
                  <c:v>1.0634556588207154</c:v>
                </c:pt>
                <c:pt idx="52">
                  <c:v>1.0653234666745433</c:v>
                </c:pt>
                <c:pt idx="53">
                  <c:v>1.0780790016118169</c:v>
                </c:pt>
                <c:pt idx="54">
                  <c:v>1.0790548950176153</c:v>
                </c:pt>
                <c:pt idx="55">
                  <c:v>1.0775687570477168</c:v>
                </c:pt>
                <c:pt idx="56">
                  <c:v>1.0799861927010124</c:v>
                </c:pt>
                <c:pt idx="57">
                  <c:v>1.087652602797484</c:v>
                </c:pt>
                <c:pt idx="58">
                  <c:v>1.0937888583668816</c:v>
                </c:pt>
                <c:pt idx="59">
                  <c:v>1.0956479787423195</c:v>
                </c:pt>
                <c:pt idx="60">
                  <c:v>1.0901540174085482</c:v>
                </c:pt>
                <c:pt idx="61">
                  <c:v>1.0993957569197212</c:v>
                </c:pt>
                <c:pt idx="62">
                  <c:v>1.1024137869123716</c:v>
                </c:pt>
                <c:pt idx="63">
                  <c:v>1.1135395509037005</c:v>
                </c:pt>
                <c:pt idx="64">
                  <c:v>1.1152811007382619</c:v>
                </c:pt>
                <c:pt idx="65">
                  <c:v>1.115630916534762</c:v>
                </c:pt>
                <c:pt idx="66">
                  <c:v>1.1277823821413244</c:v>
                </c:pt>
                <c:pt idx="67">
                  <c:v>1.1387233924255613</c:v>
                </c:pt>
                <c:pt idx="68">
                  <c:v>1.1534811015490933</c:v>
                </c:pt>
                <c:pt idx="69">
                  <c:v>1.1725095750490988</c:v>
                </c:pt>
                <c:pt idx="70">
                  <c:v>1.1858187919424217</c:v>
                </c:pt>
                <c:pt idx="71">
                  <c:v>1.1911511661781407</c:v>
                </c:pt>
                <c:pt idx="72">
                  <c:v>1.1824584753012093</c:v>
                </c:pt>
                <c:pt idx="73">
                  <c:v>1.189433362117845</c:v>
                </c:pt>
                <c:pt idx="74">
                  <c:v>1.2054826096953417</c:v>
                </c:pt>
                <c:pt idx="75">
                  <c:v>1.2259769503823359</c:v>
                </c:pt>
                <c:pt idx="76">
                  <c:v>1.2428248668064772</c:v>
                </c:pt>
                <c:pt idx="77">
                  <c:v>1.2360920710543066</c:v>
                </c:pt>
                <c:pt idx="78">
                  <c:v>1.2326819462036589</c:v>
                </c:pt>
                <c:pt idx="79">
                  <c:v>1.2138642888459148</c:v>
                </c:pt>
                <c:pt idx="80">
                  <c:v>1.2453048523041801</c:v>
                </c:pt>
                <c:pt idx="81">
                  <c:v>1.2417951110346612</c:v>
                </c:pt>
                <c:pt idx="82">
                  <c:v>1.2504559478241632</c:v>
                </c:pt>
                <c:pt idx="83">
                  <c:v>1.2639151685110184</c:v>
                </c:pt>
                <c:pt idx="84">
                  <c:v>1.2788460480371222</c:v>
                </c:pt>
                <c:pt idx="85">
                  <c:v>1.2900621618037058</c:v>
                </c:pt>
                <c:pt idx="86">
                  <c:v>1.2795161422035961</c:v>
                </c:pt>
                <c:pt idx="87">
                  <c:v>1.2901889989881985</c:v>
                </c:pt>
                <c:pt idx="88">
                  <c:v>1.294953212137218</c:v>
                </c:pt>
                <c:pt idx="89">
                  <c:v>1.2828938338015885</c:v>
                </c:pt>
                <c:pt idx="90">
                  <c:v>1.2862721045648067</c:v>
                </c:pt>
                <c:pt idx="91">
                  <c:v>1.2929614629250277</c:v>
                </c:pt>
                <c:pt idx="92">
                  <c:v>1.3180480046889218</c:v>
                </c:pt>
                <c:pt idx="93">
                  <c:v>1.3055334024856613</c:v>
                </c:pt>
                <c:pt idx="94">
                  <c:v>1.2867001076668154</c:v>
                </c:pt>
                <c:pt idx="95">
                  <c:v>1.2695081670984343</c:v>
                </c:pt>
                <c:pt idx="96">
                  <c:v>1.2820239276321468</c:v>
                </c:pt>
                <c:pt idx="97">
                  <c:v>1.2750345616848613</c:v>
                </c:pt>
                <c:pt idx="98">
                  <c:v>1.2566929781428835</c:v>
                </c:pt>
                <c:pt idx="99">
                  <c:v>1.219031600992226</c:v>
                </c:pt>
                <c:pt idx="100">
                  <c:v>1.2226374836892593</c:v>
                </c:pt>
                <c:pt idx="101">
                  <c:v>1.216395820048731</c:v>
                </c:pt>
                <c:pt idx="102">
                  <c:v>1.2171354140423243</c:v>
                </c:pt>
                <c:pt idx="103">
                  <c:v>1.2165765195992408</c:v>
                </c:pt>
                <c:pt idx="104">
                  <c:v>1.2372799389328186</c:v>
                </c:pt>
                <c:pt idx="105">
                  <c:v>1.2535550609484525</c:v>
                </c:pt>
                <c:pt idx="106">
                  <c:v>1.2627458339197382</c:v>
                </c:pt>
                <c:pt idx="107">
                  <c:v>1.2722499352782859</c:v>
                </c:pt>
                <c:pt idx="108">
                  <c:v>1.2844923298253297</c:v>
                </c:pt>
                <c:pt idx="109">
                  <c:v>1.2953447278299897</c:v>
                </c:pt>
                <c:pt idx="110">
                  <c:v>1.3159340516140468</c:v>
                </c:pt>
                <c:pt idx="111">
                  <c:v>1.3312077969539384</c:v>
                </c:pt>
                <c:pt idx="112">
                  <c:v>1.317434668714595</c:v>
                </c:pt>
                <c:pt idx="113">
                  <c:v>1.3342414644076905</c:v>
                </c:pt>
                <c:pt idx="114">
                  <c:v>1.3420619324542764</c:v>
                </c:pt>
                <c:pt idx="115">
                  <c:v>1.3413982091052883</c:v>
                </c:pt>
                <c:pt idx="116">
                  <c:v>1.3317742205449599</c:v>
                </c:pt>
                <c:pt idx="117">
                  <c:v>1.3387386823875276</c:v>
                </c:pt>
                <c:pt idx="118">
                  <c:v>1.3569221538228091</c:v>
                </c:pt>
                <c:pt idx="119">
                  <c:v>1.3701780875153406</c:v>
                </c:pt>
                <c:pt idx="120">
                  <c:v>1.3716526421807194</c:v>
                </c:pt>
                <c:pt idx="121">
                  <c:v>1.3770359829563259</c:v>
                </c:pt>
                <c:pt idx="122">
                  <c:v>1.3653055704690602</c:v>
                </c:pt>
                <c:pt idx="123">
                  <c:v>1.3608685856727265</c:v>
                </c:pt>
                <c:pt idx="124">
                  <c:v>1.3503324118814588</c:v>
                </c:pt>
                <c:pt idx="125">
                  <c:v>1.3485752245857956</c:v>
                </c:pt>
                <c:pt idx="126">
                  <c:v>1.3501945705576726</c:v>
                </c:pt>
                <c:pt idx="127">
                  <c:v>1.3374002315502573</c:v>
                </c:pt>
                <c:pt idx="128">
                  <c:v>1.3147803544838683</c:v>
                </c:pt>
                <c:pt idx="129">
                  <c:v>1.3101835200851606</c:v>
                </c:pt>
                <c:pt idx="130">
                  <c:v>1.345817239779616</c:v>
                </c:pt>
                <c:pt idx="131">
                  <c:v>1.357446877517559</c:v>
                </c:pt>
                <c:pt idx="132">
                  <c:v>1.3675944314421853</c:v>
                </c:pt>
                <c:pt idx="133">
                  <c:v>1.3719202165151281</c:v>
                </c:pt>
                <c:pt idx="134">
                  <c:v>1.3710752144504041</c:v>
                </c:pt>
                <c:pt idx="135">
                  <c:v>1.366843254144072</c:v>
                </c:pt>
                <c:pt idx="136">
                  <c:v>1.3602986870903493</c:v>
                </c:pt>
                <c:pt idx="137">
                  <c:v>1.3329644050843756</c:v>
                </c:pt>
                <c:pt idx="138">
                  <c:v>1.3155344276081113</c:v>
                </c:pt>
                <c:pt idx="139">
                  <c:v>1.3155552775562471</c:v>
                </c:pt>
                <c:pt idx="140">
                  <c:v>1.3275764309869613</c:v>
                </c:pt>
                <c:pt idx="141">
                  <c:v>1.3044949592354556</c:v>
                </c:pt>
                <c:pt idx="142">
                  <c:v>1.2878509089708641</c:v>
                </c:pt>
                <c:pt idx="143">
                  <c:v>1.2865999120827187</c:v>
                </c:pt>
                <c:pt idx="144">
                  <c:v>1.2834793698450675</c:v>
                </c:pt>
                <c:pt idx="145">
                  <c:v>1.2582179201829236</c:v>
                </c:pt>
                <c:pt idx="146">
                  <c:v>1.2630713247767462</c:v>
                </c:pt>
                <c:pt idx="147">
                  <c:v>1.2669720025738105</c:v>
                </c:pt>
                <c:pt idx="148">
                  <c:v>1.300310490477655</c:v>
                </c:pt>
                <c:pt idx="149">
                  <c:v>1.3185200243481061</c:v>
                </c:pt>
                <c:pt idx="150">
                  <c:v>1.3227461930021782</c:v>
                </c:pt>
                <c:pt idx="151">
                  <c:v>1.3316265334123314</c:v>
                </c:pt>
                <c:pt idx="152">
                  <c:v>1.3454981197400939</c:v>
                </c:pt>
                <c:pt idx="153">
                  <c:v>1.3449496502710783</c:v>
                </c:pt>
                <c:pt idx="154">
                  <c:v>1.3418123122418735</c:v>
                </c:pt>
                <c:pt idx="155">
                  <c:v>1.3461352014886863</c:v>
                </c:pt>
                <c:pt idx="156">
                  <c:v>1.3359314685371386</c:v>
                </c:pt>
                <c:pt idx="157">
                  <c:v>1.3280293381936881</c:v>
                </c:pt>
                <c:pt idx="158">
                  <c:v>1.3585467122817199</c:v>
                </c:pt>
                <c:pt idx="159">
                  <c:v>1.3665756798096631</c:v>
                </c:pt>
                <c:pt idx="160">
                  <c:v>1.3691448567521689</c:v>
                </c:pt>
                <c:pt idx="161">
                  <c:v>1.3372050528690977</c:v>
                </c:pt>
                <c:pt idx="162">
                  <c:v>1.3356071360105826</c:v>
                </c:pt>
                <c:pt idx="163">
                  <c:v>1.3193858763609658</c:v>
                </c:pt>
                <c:pt idx="164">
                  <c:v>1.2965951455529088</c:v>
                </c:pt>
                <c:pt idx="165">
                  <c:v>1.2644729046236498</c:v>
                </c:pt>
                <c:pt idx="166">
                  <c:v>1.2730294916724727</c:v>
                </c:pt>
                <c:pt idx="167">
                  <c:v>1.2851485240263798</c:v>
                </c:pt>
                <c:pt idx="168">
                  <c:v>1.2829870794029732</c:v>
                </c:pt>
                <c:pt idx="169">
                  <c:v>1.2791420014676047</c:v>
                </c:pt>
                <c:pt idx="170">
                  <c:v>1.2663360791556697</c:v>
                </c:pt>
                <c:pt idx="171">
                  <c:v>1.2788240397585344</c:v>
                </c:pt>
                <c:pt idx="172">
                  <c:v>1.2543108715683737</c:v>
                </c:pt>
                <c:pt idx="173">
                  <c:v>1.2553394690097375</c:v>
                </c:pt>
                <c:pt idx="174">
                  <c:v>1.261154867043935</c:v>
                </c:pt>
                <c:pt idx="175">
                  <c:v>1.2509841465102689</c:v>
                </c:pt>
                <c:pt idx="176">
                  <c:v>1.259971053322005</c:v>
                </c:pt>
                <c:pt idx="177">
                  <c:v>1.287509201487528</c:v>
                </c:pt>
                <c:pt idx="178">
                  <c:v>1.2942773263184841</c:v>
                </c:pt>
                <c:pt idx="179">
                  <c:v>1.2950626743649307</c:v>
                </c:pt>
                <c:pt idx="180">
                  <c:v>1.299970520489997</c:v>
                </c:pt>
                <c:pt idx="181">
                  <c:v>1.2946196129670462</c:v>
                </c:pt>
                <c:pt idx="182">
                  <c:v>1.2901861031620685</c:v>
                </c:pt>
                <c:pt idx="183">
                  <c:v>1.2921517899390893</c:v>
                </c:pt>
                <c:pt idx="184">
                  <c:v>1.3190980312436473</c:v>
                </c:pt>
                <c:pt idx="185">
                  <c:v>1.311756532838958</c:v>
                </c:pt>
                <c:pt idx="186">
                  <c:v>1.2960460969186673</c:v>
                </c:pt>
                <c:pt idx="187">
                  <c:v>1.3199580916042473</c:v>
                </c:pt>
                <c:pt idx="188">
                  <c:v>1.3416484084829172</c:v>
                </c:pt>
                <c:pt idx="189">
                  <c:v>1.3448338172258796</c:v>
                </c:pt>
                <c:pt idx="190">
                  <c:v>1.3533440710566234</c:v>
                </c:pt>
                <c:pt idx="191">
                  <c:v>1.3541508482164319</c:v>
                </c:pt>
                <c:pt idx="192">
                  <c:v>1.3495974512096733</c:v>
                </c:pt>
                <c:pt idx="193">
                  <c:v>1.3487055367616441</c:v>
                </c:pt>
                <c:pt idx="194">
                  <c:v>1.3674809150578906</c:v>
                </c:pt>
                <c:pt idx="195">
                  <c:v>1.3795385558978424</c:v>
                </c:pt>
                <c:pt idx="196">
                  <c:v>1.3784694168906588</c:v>
                </c:pt>
                <c:pt idx="197">
                  <c:v>1.3774969984762164</c:v>
                </c:pt>
                <c:pt idx="198">
                  <c:v>1.3811683268437871</c:v>
                </c:pt>
                <c:pt idx="199">
                  <c:v>1.3887391746779698</c:v>
                </c:pt>
                <c:pt idx="200">
                  <c:v>1.3783379463843584</c:v>
                </c:pt>
                <c:pt idx="201">
                  <c:v>1.3765801799234691</c:v>
                </c:pt>
                <c:pt idx="202">
                  <c:v>1.4004498955475517</c:v>
                </c:pt>
                <c:pt idx="203">
                  <c:v>1.4074983363478883</c:v>
                </c:pt>
                <c:pt idx="204">
                  <c:v>1.4132540803638085</c:v>
                </c:pt>
                <c:pt idx="205">
                  <c:v>1.4240786784376209</c:v>
                </c:pt>
                <c:pt idx="206">
                  <c:v>1.4157914032188845</c:v>
                </c:pt>
                <c:pt idx="207">
                  <c:v>1.4363697228636476</c:v>
                </c:pt>
                <c:pt idx="208">
                  <c:v>1.4404157711324359</c:v>
                </c:pt>
                <c:pt idx="209">
                  <c:v>1.4478487776428324</c:v>
                </c:pt>
                <c:pt idx="210">
                  <c:v>1.4408866324611684</c:v>
                </c:pt>
                <c:pt idx="211">
                  <c:v>1.4463435272204761</c:v>
                </c:pt>
                <c:pt idx="212">
                  <c:v>1.4520830546100683</c:v>
                </c:pt>
                <c:pt idx="213">
                  <c:v>1.462779657168936</c:v>
                </c:pt>
                <c:pt idx="214">
                  <c:v>1.4651907220047458</c:v>
                </c:pt>
                <c:pt idx="215">
                  <c:v>1.4681954311971983</c:v>
                </c:pt>
                <c:pt idx="216">
                  <c:v>1.478287964425355</c:v>
                </c:pt>
                <c:pt idx="217">
                  <c:v>1.4752867302242585</c:v>
                </c:pt>
                <c:pt idx="218">
                  <c:v>1.4814658440203798</c:v>
                </c:pt>
                <c:pt idx="219">
                  <c:v>1.4721007423160704</c:v>
                </c:pt>
                <c:pt idx="220">
                  <c:v>1.4691504746548609</c:v>
                </c:pt>
                <c:pt idx="221">
                  <c:v>1.4693439158403427</c:v>
                </c:pt>
                <c:pt idx="222">
                  <c:v>1.4628584236396711</c:v>
                </c:pt>
                <c:pt idx="223">
                  <c:v>1.4643590407402194</c:v>
                </c:pt>
                <c:pt idx="224">
                  <c:v>1.4630373856945031</c:v>
                </c:pt>
                <c:pt idx="225">
                  <c:v>1.4831755397675115</c:v>
                </c:pt>
                <c:pt idx="226">
                  <c:v>1.5036391846975281</c:v>
                </c:pt>
                <c:pt idx="227">
                  <c:v>1.5085348683528483</c:v>
                </c:pt>
                <c:pt idx="228">
                  <c:v>1.5156655506152763</c:v>
                </c:pt>
                <c:pt idx="229">
                  <c:v>1.5208629793533388</c:v>
                </c:pt>
                <c:pt idx="230">
                  <c:v>1.5255837551104092</c:v>
                </c:pt>
                <c:pt idx="231">
                  <c:v>1.5274463504772033</c:v>
                </c:pt>
                <c:pt idx="232">
                  <c:v>1.5341113838979326</c:v>
                </c:pt>
                <c:pt idx="233">
                  <c:v>1.5400402983164245</c:v>
                </c:pt>
                <c:pt idx="234">
                  <c:v>1.5499492361679417</c:v>
                </c:pt>
                <c:pt idx="235">
                  <c:v>1.5481225490451593</c:v>
                </c:pt>
                <c:pt idx="236">
                  <c:v>1.5587566017596197</c:v>
                </c:pt>
                <c:pt idx="237">
                  <c:v>1.5638011308780204</c:v>
                </c:pt>
                <c:pt idx="238">
                  <c:v>1.5698099700976995</c:v>
                </c:pt>
                <c:pt idx="239">
                  <c:v>1.5646218080032526</c:v>
                </c:pt>
                <c:pt idx="240">
                  <c:v>1.5674724592455911</c:v>
                </c:pt>
                <c:pt idx="241">
                  <c:v>1.5639134889318629</c:v>
                </c:pt>
                <c:pt idx="242">
                  <c:v>1.544668407637336</c:v>
                </c:pt>
                <c:pt idx="243">
                  <c:v>1.5436913559010856</c:v>
                </c:pt>
                <c:pt idx="244">
                  <c:v>1.5403264059380652</c:v>
                </c:pt>
                <c:pt idx="245">
                  <c:v>1.5410219833744829</c:v>
                </c:pt>
                <c:pt idx="246">
                  <c:v>1.5512558329177824</c:v>
                </c:pt>
                <c:pt idx="247">
                  <c:v>1.5606244096134476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882752"/>
        <c:axId val="147884288"/>
      </c:lineChart>
      <c:catAx>
        <c:axId val="1478827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lang="en-US"/>
            </a:pPr>
            <a:endParaRPr lang="en-US"/>
          </a:p>
        </c:txPr>
        <c:crossAx val="1478842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884288"/>
        <c:scaling>
          <c:orientation val="minMax"/>
          <c:max val="2"/>
          <c:min val="0.8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47882752"/>
        <c:crosses val="autoZero"/>
        <c:crossBetween val="between"/>
        <c:majorUnit val="0.2"/>
        <c:minorUnit val="4.0000000000000022E-2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6122305968148063"/>
          <c:y val="4.5808487422218901E-2"/>
          <c:w val="0.62465995200120961"/>
          <c:h val="8.5037600636999028E-2"/>
        </c:manualLayout>
      </c:layout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7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63232118921141"/>
          <c:y val="0.21603597018727638"/>
          <c:w val="0.78987051618549886"/>
          <c:h val="0.625580916309530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Summary!$AF$37</c:f>
              <c:strCache>
                <c:ptCount val="1"/>
                <c:pt idx="0">
                  <c:v>EPS</c:v>
                </c:pt>
              </c:strCache>
            </c:strRef>
          </c:tx>
          <c:invertIfNegative val="0"/>
          <c:cat>
            <c:strRef>
              <c:f>Summary!$AG$36:$AK$36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Summary!$AG$37:$AK$37</c:f>
              <c:numCache>
                <c:formatCode>0.00</c:formatCode>
                <c:ptCount val="5"/>
                <c:pt idx="0">
                  <c:v>0.39021572211398442</c:v>
                </c:pt>
                <c:pt idx="1">
                  <c:v>9.3767130041322062</c:v>
                </c:pt>
                <c:pt idx="2">
                  <c:v>12.558611902879393</c:v>
                </c:pt>
                <c:pt idx="3">
                  <c:v>13.616152864334634</c:v>
                </c:pt>
                <c:pt idx="4">
                  <c:v>15.625345227258054</c:v>
                </c:pt>
              </c:numCache>
            </c:numRef>
          </c:val>
        </c:ser>
        <c:ser>
          <c:idx val="1"/>
          <c:order val="1"/>
          <c:tx>
            <c:strRef>
              <c:f>Summary!$AF$38</c:f>
              <c:strCache>
                <c:ptCount val="1"/>
                <c:pt idx="0">
                  <c:v>DPS</c:v>
                </c:pt>
              </c:strCache>
            </c:strRef>
          </c:tx>
          <c:invertIfNegative val="0"/>
          <c:cat>
            <c:strRef>
              <c:f>Summary!$AG$36:$AK$36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Summary!$AG$38:$AK$38</c:f>
              <c:numCache>
                <c:formatCode>0.00</c:formatCode>
                <c:ptCount val="5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740928"/>
        <c:axId val="147755008"/>
      </c:barChart>
      <c:lineChart>
        <c:grouping val="standard"/>
        <c:varyColors val="0"/>
        <c:ser>
          <c:idx val="2"/>
          <c:order val="2"/>
          <c:tx>
            <c:strRef>
              <c:f>Summary!$AF$39</c:f>
              <c:strCache>
                <c:ptCount val="1"/>
                <c:pt idx="0">
                  <c:v>Gross Margins</c:v>
                </c:pt>
              </c:strCache>
            </c:strRef>
          </c:tx>
          <c:marker>
            <c:symbol val="none"/>
          </c:marker>
          <c:cat>
            <c:strRef>
              <c:f>Summary!$AG$36:$AK$36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Summary!$AG$39:$AK$39</c:f>
              <c:numCache>
                <c:formatCode>0%</c:formatCode>
                <c:ptCount val="5"/>
                <c:pt idx="0">
                  <c:v>0.23604038671493952</c:v>
                </c:pt>
                <c:pt idx="1">
                  <c:v>0.327093816243616</c:v>
                </c:pt>
                <c:pt idx="2">
                  <c:v>0.37429906271988944</c:v>
                </c:pt>
                <c:pt idx="3">
                  <c:v>0.34878270174081882</c:v>
                </c:pt>
                <c:pt idx="4">
                  <c:v>0.38914889561523991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Summary!$AF$40</c:f>
              <c:strCache>
                <c:ptCount val="1"/>
                <c:pt idx="0">
                  <c:v>Net Margins</c:v>
                </c:pt>
              </c:strCache>
            </c:strRef>
          </c:tx>
          <c:marker>
            <c:symbol val="none"/>
          </c:marker>
          <c:cat>
            <c:strRef>
              <c:f>Summary!$AG$36:$AK$36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Summary!$AG$40:$AK$40</c:f>
              <c:numCache>
                <c:formatCode>0.0%</c:formatCode>
                <c:ptCount val="5"/>
                <c:pt idx="0">
                  <c:v>9.2027333723848533E-3</c:v>
                </c:pt>
                <c:pt idx="1">
                  <c:v>0.17900410952523307</c:v>
                </c:pt>
                <c:pt idx="2">
                  <c:v>0.22082941816647045</c:v>
                </c:pt>
                <c:pt idx="3">
                  <c:v>0.2247526034558375</c:v>
                </c:pt>
                <c:pt idx="4">
                  <c:v>0.23486253804124851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758080"/>
        <c:axId val="147756544"/>
      </c:lineChart>
      <c:catAx>
        <c:axId val="14774092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47755008"/>
        <c:crosses val="autoZero"/>
        <c:auto val="1"/>
        <c:lblAlgn val="ctr"/>
        <c:lblOffset val="100"/>
        <c:noMultiLvlLbl val="0"/>
      </c:catAx>
      <c:valAx>
        <c:axId val="147755008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47740928"/>
        <c:crosses val="autoZero"/>
        <c:crossBetween val="between"/>
      </c:valAx>
      <c:valAx>
        <c:axId val="14775654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47758080"/>
        <c:crosses val="max"/>
        <c:crossBetween val="between"/>
      </c:valAx>
      <c:catAx>
        <c:axId val="147758080"/>
        <c:scaling>
          <c:orientation val="minMax"/>
        </c:scaling>
        <c:delete val="1"/>
        <c:axPos val="b"/>
        <c:majorTickMark val="out"/>
        <c:minorTickMark val="none"/>
        <c:tickLblPos val="none"/>
        <c:crossAx val="147756544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12810228996604783"/>
          <c:y val="0.10213894149307302"/>
          <c:w val="0.78210560850946265"/>
          <c:h val="0.19304194118592657"/>
        </c:manualLayout>
      </c:layout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1232" l="0.70000000000000062" r="0.70000000000000062" t="0.7500000000000123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41907261592897"/>
          <c:y val="0.20869240303295444"/>
          <c:w val="0.66278000964165262"/>
          <c:h val="0.6548221055701376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rgbClr val="002060"/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0.16369775206670595"/>
                  <c:y val="-0.15249240903711697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lang="en-US"/>
                  </a:pPr>
                  <a:endParaRPr lang="en-US"/>
                </a:p>
              </c:txPr>
            </c:trendlineLbl>
          </c:trendline>
          <c:xVal>
            <c:numRef>
              <c:f>Coal!$C$2:$C$267</c:f>
              <c:numCache>
                <c:formatCode>_(* #,##0.00_);_(* \(#,##0.00\);_(* "-"??_);_(@_)</c:formatCode>
                <c:ptCount val="266"/>
                <c:pt idx="0">
                  <c:v>97.84</c:v>
                </c:pt>
                <c:pt idx="1">
                  <c:v>99.56</c:v>
                </c:pt>
                <c:pt idx="2">
                  <c:v>98.33</c:v>
                </c:pt>
                <c:pt idx="3">
                  <c:v>98.88</c:v>
                </c:pt>
                <c:pt idx="4">
                  <c:v>101.78</c:v>
                </c:pt>
                <c:pt idx="5">
                  <c:v>99</c:v>
                </c:pt>
                <c:pt idx="6">
                  <c:v>99.83</c:v>
                </c:pt>
                <c:pt idx="7">
                  <c:v>93.98</c:v>
                </c:pt>
                <c:pt idx="8">
                  <c:v>99.75</c:v>
                </c:pt>
                <c:pt idx="9">
                  <c:v>101.22</c:v>
                </c:pt>
                <c:pt idx="10">
                  <c:v>97.03</c:v>
                </c:pt>
                <c:pt idx="11">
                  <c:v>97.62</c:v>
                </c:pt>
                <c:pt idx="12">
                  <c:v>98.63</c:v>
                </c:pt>
                <c:pt idx="13">
                  <c:v>94.09</c:v>
                </c:pt>
                <c:pt idx="14">
                  <c:v>93.09</c:v>
                </c:pt>
                <c:pt idx="15">
                  <c:v>87.69</c:v>
                </c:pt>
                <c:pt idx="16">
                  <c:v>87.31</c:v>
                </c:pt>
                <c:pt idx="17">
                  <c:v>83.43</c:v>
                </c:pt>
                <c:pt idx="18">
                  <c:v>79.8</c:v>
                </c:pt>
                <c:pt idx="19">
                  <c:v>81</c:v>
                </c:pt>
                <c:pt idx="20">
                  <c:v>89.27</c:v>
                </c:pt>
                <c:pt idx="21">
                  <c:v>88.43</c:v>
                </c:pt>
                <c:pt idx="22">
                  <c:v>88.03</c:v>
                </c:pt>
                <c:pt idx="23">
                  <c:v>87.28</c:v>
                </c:pt>
                <c:pt idx="24">
                  <c:v>84.47</c:v>
                </c:pt>
                <c:pt idx="25">
                  <c:v>87.6</c:v>
                </c:pt>
                <c:pt idx="26">
                  <c:v>89.75</c:v>
                </c:pt>
                <c:pt idx="27">
                  <c:v>98.34</c:v>
                </c:pt>
                <c:pt idx="28">
                  <c:v>101.9</c:v>
                </c:pt>
                <c:pt idx="29">
                  <c:v>100.34</c:v>
                </c:pt>
                <c:pt idx="30">
                  <c:v>99.57</c:v>
                </c:pt>
                <c:pt idx="31">
                  <c:v>98.53</c:v>
                </c:pt>
                <c:pt idx="32">
                  <c:v>94.64</c:v>
                </c:pt>
                <c:pt idx="33">
                  <c:v>95.94</c:v>
                </c:pt>
                <c:pt idx="34">
                  <c:v>102.27</c:v>
                </c:pt>
                <c:pt idx="35">
                  <c:v>103.16</c:v>
                </c:pt>
                <c:pt idx="36">
                  <c:v>102.96</c:v>
                </c:pt>
                <c:pt idx="37">
                  <c:v>101.37</c:v>
                </c:pt>
                <c:pt idx="38">
                  <c:v>101.04</c:v>
                </c:pt>
                <c:pt idx="39">
                  <c:v>98.47</c:v>
                </c:pt>
                <c:pt idx="40">
                  <c:v>114.16</c:v>
                </c:pt>
                <c:pt idx="41">
                  <c:v>112.4</c:v>
                </c:pt>
                <c:pt idx="42">
                  <c:v>110.6</c:v>
                </c:pt>
                <c:pt idx="43">
                  <c:v>113.4</c:v>
                </c:pt>
                <c:pt idx="44">
                  <c:v>108.67</c:v>
                </c:pt>
                <c:pt idx="45">
                  <c:v>106.41</c:v>
                </c:pt>
                <c:pt idx="46">
                  <c:v>103.16</c:v>
                </c:pt>
                <c:pt idx="47">
                  <c:v>103.74</c:v>
                </c:pt>
                <c:pt idx="48">
                  <c:v>105.85</c:v>
                </c:pt>
                <c:pt idx="49">
                  <c:v>101.84</c:v>
                </c:pt>
                <c:pt idx="50">
                  <c:v>98.4</c:v>
                </c:pt>
                <c:pt idx="51">
                  <c:v>98.45</c:v>
                </c:pt>
                <c:pt idx="52">
                  <c:v>99.14</c:v>
                </c:pt>
                <c:pt idx="53">
                  <c:v>98.11</c:v>
                </c:pt>
                <c:pt idx="54">
                  <c:v>95.65</c:v>
                </c:pt>
                <c:pt idx="55">
                  <c:v>96.61</c:v>
                </c:pt>
                <c:pt idx="56">
                  <c:v>93.06</c:v>
                </c:pt>
                <c:pt idx="57">
                  <c:v>94.19</c:v>
                </c:pt>
                <c:pt idx="58">
                  <c:v>93.55</c:v>
                </c:pt>
                <c:pt idx="59">
                  <c:v>91.22</c:v>
                </c:pt>
                <c:pt idx="60">
                  <c:v>89.48</c:v>
                </c:pt>
                <c:pt idx="61">
                  <c:v>89.85</c:v>
                </c:pt>
                <c:pt idx="62">
                  <c:v>87.22</c:v>
                </c:pt>
                <c:pt idx="63">
                  <c:v>85.56</c:v>
                </c:pt>
                <c:pt idx="64">
                  <c:v>88.65</c:v>
                </c:pt>
                <c:pt idx="65">
                  <c:v>90.84</c:v>
                </c:pt>
                <c:pt idx="66">
                  <c:v>86.2</c:v>
                </c:pt>
                <c:pt idx="67">
                  <c:v>86.52</c:v>
                </c:pt>
                <c:pt idx="68">
                  <c:v>86.64</c:v>
                </c:pt>
                <c:pt idx="69">
                  <c:v>88.12</c:v>
                </c:pt>
                <c:pt idx="70">
                  <c:v>87.88</c:v>
                </c:pt>
                <c:pt idx="71">
                  <c:v>83.71</c:v>
                </c:pt>
                <c:pt idx="72">
                  <c:v>83.69</c:v>
                </c:pt>
                <c:pt idx="73">
                  <c:v>83.71</c:v>
                </c:pt>
                <c:pt idx="74">
                  <c:v>83.5</c:v>
                </c:pt>
                <c:pt idx="75">
                  <c:v>83.49</c:v>
                </c:pt>
                <c:pt idx="76">
                  <c:v>80.41</c:v>
                </c:pt>
                <c:pt idx="77">
                  <c:v>81.540000000000006</c:v>
                </c:pt>
                <c:pt idx="78">
                  <c:v>86.58</c:v>
                </c:pt>
                <c:pt idx="79">
                  <c:v>84.66</c:v>
                </c:pt>
                <c:pt idx="80">
                  <c:v>83.92</c:v>
                </c:pt>
                <c:pt idx="81">
                  <c:v>81.400000000000006</c:v>
                </c:pt>
                <c:pt idx="82">
                  <c:v>81.7</c:v>
                </c:pt>
                <c:pt idx="83">
                  <c:v>77.66</c:v>
                </c:pt>
                <c:pt idx="84">
                  <c:v>83.89</c:v>
                </c:pt>
                <c:pt idx="85">
                  <c:v>84.48</c:v>
                </c:pt>
                <c:pt idx="86">
                  <c:v>82.96</c:v>
                </c:pt>
                <c:pt idx="87">
                  <c:v>80.760000000000005</c:v>
                </c:pt>
                <c:pt idx="88">
                  <c:v>82.06</c:v>
                </c:pt>
                <c:pt idx="89">
                  <c:v>78.47</c:v>
                </c:pt>
                <c:pt idx="90">
                  <c:v>84.85</c:v>
                </c:pt>
                <c:pt idx="91">
                  <c:v>86.82</c:v>
                </c:pt>
                <c:pt idx="92">
                  <c:v>93.82</c:v>
                </c:pt>
                <c:pt idx="93">
                  <c:v>92.9</c:v>
                </c:pt>
                <c:pt idx="94">
                  <c:v>91.22</c:v>
                </c:pt>
                <c:pt idx="95">
                  <c:v>90.24</c:v>
                </c:pt>
                <c:pt idx="96">
                  <c:v>87.88</c:v>
                </c:pt>
                <c:pt idx="97">
                  <c:v>83.91</c:v>
                </c:pt>
                <c:pt idx="98">
                  <c:v>84.52</c:v>
                </c:pt>
                <c:pt idx="99">
                  <c:v>85.32</c:v>
                </c:pt>
                <c:pt idx="100">
                  <c:v>86.45</c:v>
                </c:pt>
                <c:pt idx="101">
                  <c:v>84.36</c:v>
                </c:pt>
                <c:pt idx="102">
                  <c:v>84.78</c:v>
                </c:pt>
                <c:pt idx="103">
                  <c:v>81.81</c:v>
                </c:pt>
                <c:pt idx="104">
                  <c:v>79.05</c:v>
                </c:pt>
                <c:pt idx="105">
                  <c:v>81.41</c:v>
                </c:pt>
                <c:pt idx="106">
                  <c:v>83.05</c:v>
                </c:pt>
                <c:pt idx="107">
                  <c:v>87.01</c:v>
                </c:pt>
                <c:pt idx="108">
                  <c:v>90.88</c:v>
                </c:pt>
                <c:pt idx="109">
                  <c:v>87.36</c:v>
                </c:pt>
                <c:pt idx="110">
                  <c:v>86.6</c:v>
                </c:pt>
                <c:pt idx="111">
                  <c:v>84.82</c:v>
                </c:pt>
                <c:pt idx="112">
                  <c:v>83.48</c:v>
                </c:pt>
                <c:pt idx="113">
                  <c:v>88.6</c:v>
                </c:pt>
                <c:pt idx="114">
                  <c:v>87.57</c:v>
                </c:pt>
                <c:pt idx="115">
                  <c:v>87.48</c:v>
                </c:pt>
                <c:pt idx="116">
                  <c:v>85.57</c:v>
                </c:pt>
                <c:pt idx="117">
                  <c:v>85.75</c:v>
                </c:pt>
                <c:pt idx="118">
                  <c:v>85</c:v>
                </c:pt>
                <c:pt idx="119">
                  <c:v>87.92</c:v>
                </c:pt>
                <c:pt idx="120">
                  <c:v>85.69</c:v>
                </c:pt>
                <c:pt idx="121">
                  <c:v>80.87</c:v>
                </c:pt>
                <c:pt idx="122">
                  <c:v>78.010000000000005</c:v>
                </c:pt>
                <c:pt idx="123">
                  <c:v>75.150000000000006</c:v>
                </c:pt>
                <c:pt idx="124">
                  <c:v>80.61</c:v>
                </c:pt>
                <c:pt idx="125">
                  <c:v>77.58</c:v>
                </c:pt>
                <c:pt idx="126">
                  <c:v>76.510000000000005</c:v>
                </c:pt>
                <c:pt idx="127">
                  <c:v>81.25</c:v>
                </c:pt>
                <c:pt idx="128">
                  <c:v>82.58</c:v>
                </c:pt>
                <c:pt idx="129">
                  <c:v>80.67</c:v>
                </c:pt>
                <c:pt idx="130">
                  <c:v>82.41</c:v>
                </c:pt>
                <c:pt idx="131">
                  <c:v>80.91</c:v>
                </c:pt>
                <c:pt idx="132">
                  <c:v>81.72</c:v>
                </c:pt>
                <c:pt idx="133">
                  <c:v>77.09</c:v>
                </c:pt>
                <c:pt idx="134">
                  <c:v>73.400000000000006</c:v>
                </c:pt>
                <c:pt idx="135">
                  <c:v>77.58</c:v>
                </c:pt>
                <c:pt idx="136">
                  <c:v>79.36</c:v>
                </c:pt>
                <c:pt idx="137">
                  <c:v>80.37</c:v>
                </c:pt>
                <c:pt idx="138">
                  <c:v>82.15</c:v>
                </c:pt>
                <c:pt idx="139">
                  <c:v>80.89</c:v>
                </c:pt>
                <c:pt idx="140">
                  <c:v>75.72</c:v>
                </c:pt>
                <c:pt idx="141">
                  <c:v>72.83</c:v>
                </c:pt>
                <c:pt idx="142">
                  <c:v>70.16</c:v>
                </c:pt>
                <c:pt idx="143">
                  <c:v>72.87</c:v>
                </c:pt>
                <c:pt idx="144">
                  <c:v>70.78</c:v>
                </c:pt>
                <c:pt idx="145">
                  <c:v>68.52</c:v>
                </c:pt>
                <c:pt idx="146">
                  <c:v>70.52</c:v>
                </c:pt>
                <c:pt idx="147">
                  <c:v>72.63</c:v>
                </c:pt>
                <c:pt idx="148">
                  <c:v>72.78</c:v>
                </c:pt>
                <c:pt idx="149">
                  <c:v>71.27</c:v>
                </c:pt>
                <c:pt idx="150">
                  <c:v>71.34</c:v>
                </c:pt>
                <c:pt idx="151">
                  <c:v>62.95</c:v>
                </c:pt>
                <c:pt idx="152">
                  <c:v>61.47</c:v>
                </c:pt>
                <c:pt idx="153">
                  <c:v>63.26</c:v>
                </c:pt>
                <c:pt idx="154">
                  <c:v>61.76</c:v>
                </c:pt>
                <c:pt idx="155">
                  <c:v>64.91</c:v>
                </c:pt>
                <c:pt idx="156">
                  <c:v>65.760000000000005</c:v>
                </c:pt>
                <c:pt idx="157">
                  <c:v>63.84</c:v>
                </c:pt>
                <c:pt idx="158">
                  <c:v>65.13</c:v>
                </c:pt>
                <c:pt idx="159">
                  <c:v>68.75</c:v>
                </c:pt>
                <c:pt idx="160">
                  <c:v>69.97</c:v>
                </c:pt>
                <c:pt idx="161">
                  <c:v>71.33</c:v>
                </c:pt>
                <c:pt idx="162">
                  <c:v>64.66</c:v>
                </c:pt>
                <c:pt idx="163">
                  <c:v>66.680000000000007</c:v>
                </c:pt>
                <c:pt idx="164">
                  <c:v>70.62</c:v>
                </c:pt>
                <c:pt idx="165">
                  <c:v>70.86</c:v>
                </c:pt>
                <c:pt idx="166">
                  <c:v>79.42</c:v>
                </c:pt>
                <c:pt idx="167">
                  <c:v>76.540000000000006</c:v>
                </c:pt>
                <c:pt idx="168">
                  <c:v>79.31</c:v>
                </c:pt>
                <c:pt idx="169">
                  <c:v>82.79</c:v>
                </c:pt>
                <c:pt idx="170">
                  <c:v>85.77</c:v>
                </c:pt>
                <c:pt idx="171">
                  <c:v>80.44</c:v>
                </c:pt>
                <c:pt idx="172">
                  <c:v>84.25</c:v>
                </c:pt>
                <c:pt idx="173">
                  <c:v>87.69</c:v>
                </c:pt>
                <c:pt idx="174">
                  <c:v>97.78</c:v>
                </c:pt>
                <c:pt idx="175">
                  <c:v>109.44</c:v>
                </c:pt>
                <c:pt idx="176">
                  <c:v>104.76</c:v>
                </c:pt>
                <c:pt idx="177">
                  <c:v>105.72</c:v>
                </c:pt>
                <c:pt idx="178">
                  <c:v>109.64</c:v>
                </c:pt>
                <c:pt idx="179">
                  <c:v>116.96</c:v>
                </c:pt>
                <c:pt idx="180">
                  <c:v>115.8</c:v>
                </c:pt>
                <c:pt idx="181">
                  <c:v>113.07</c:v>
                </c:pt>
                <c:pt idx="182">
                  <c:v>112.32</c:v>
                </c:pt>
                <c:pt idx="183">
                  <c:v>122.24</c:v>
                </c:pt>
                <c:pt idx="184">
                  <c:v>120.83</c:v>
                </c:pt>
                <c:pt idx="185">
                  <c:v>129.1</c:v>
                </c:pt>
                <c:pt idx="186">
                  <c:v>140.77000000000001</c:v>
                </c:pt>
                <c:pt idx="187">
                  <c:v>141.84</c:v>
                </c:pt>
                <c:pt idx="188">
                  <c:v>135.87</c:v>
                </c:pt>
                <c:pt idx="189">
                  <c:v>132.63999999999999</c:v>
                </c:pt>
                <c:pt idx="190">
                  <c:v>134.26</c:v>
                </c:pt>
                <c:pt idx="191">
                  <c:v>130.91</c:v>
                </c:pt>
                <c:pt idx="192">
                  <c:v>124.02</c:v>
                </c:pt>
                <c:pt idx="193">
                  <c:v>129.63999999999999</c:v>
                </c:pt>
                <c:pt idx="194">
                  <c:v>124</c:v>
                </c:pt>
                <c:pt idx="195">
                  <c:v>118.91</c:v>
                </c:pt>
                <c:pt idx="196">
                  <c:v>107.3</c:v>
                </c:pt>
                <c:pt idx="197">
                  <c:v>106.71</c:v>
                </c:pt>
                <c:pt idx="198">
                  <c:v>105.63</c:v>
                </c:pt>
                <c:pt idx="199">
                  <c:v>99.65</c:v>
                </c:pt>
                <c:pt idx="200">
                  <c:v>95.79</c:v>
                </c:pt>
                <c:pt idx="201">
                  <c:v>96.18</c:v>
                </c:pt>
                <c:pt idx="202">
                  <c:v>95.67</c:v>
                </c:pt>
                <c:pt idx="203">
                  <c:v>100.16</c:v>
                </c:pt>
                <c:pt idx="204">
                  <c:v>96.98</c:v>
                </c:pt>
                <c:pt idx="205">
                  <c:v>97.06</c:v>
                </c:pt>
                <c:pt idx="206">
                  <c:v>92.41</c:v>
                </c:pt>
                <c:pt idx="207">
                  <c:v>90.11</c:v>
                </c:pt>
                <c:pt idx="208">
                  <c:v>87.61</c:v>
                </c:pt>
                <c:pt idx="209">
                  <c:v>87.2</c:v>
                </c:pt>
                <c:pt idx="210">
                  <c:v>86.46</c:v>
                </c:pt>
                <c:pt idx="211">
                  <c:v>85.06</c:v>
                </c:pt>
                <c:pt idx="212">
                  <c:v>85.38</c:v>
                </c:pt>
                <c:pt idx="213">
                  <c:v>88.84</c:v>
                </c:pt>
                <c:pt idx="214">
                  <c:v>85.59</c:v>
                </c:pt>
                <c:pt idx="215">
                  <c:v>85.71</c:v>
                </c:pt>
                <c:pt idx="216">
                  <c:v>85.88</c:v>
                </c:pt>
                <c:pt idx="217">
                  <c:v>84.47</c:v>
                </c:pt>
                <c:pt idx="218">
                  <c:v>83.11</c:v>
                </c:pt>
                <c:pt idx="219">
                  <c:v>85.24</c:v>
                </c:pt>
                <c:pt idx="220">
                  <c:v>82.07</c:v>
                </c:pt>
                <c:pt idx="221">
                  <c:v>82.59</c:v>
                </c:pt>
                <c:pt idx="222">
                  <c:v>81.319999999999993</c:v>
                </c:pt>
                <c:pt idx="223">
                  <c:v>78.31</c:v>
                </c:pt>
                <c:pt idx="224">
                  <c:v>75.31</c:v>
                </c:pt>
                <c:pt idx="225">
                  <c:v>74.41</c:v>
                </c:pt>
                <c:pt idx="226">
                  <c:v>73.34</c:v>
                </c:pt>
                <c:pt idx="227">
                  <c:v>71.260000000000005</c:v>
                </c:pt>
                <c:pt idx="228">
                  <c:v>71.59</c:v>
                </c:pt>
                <c:pt idx="229">
                  <c:v>69.400000000000006</c:v>
                </c:pt>
                <c:pt idx="230">
                  <c:v>69.069999999999993</c:v>
                </c:pt>
                <c:pt idx="231">
                  <c:v>68.06</c:v>
                </c:pt>
                <c:pt idx="232">
                  <c:v>68.400000000000006</c:v>
                </c:pt>
                <c:pt idx="233">
                  <c:v>68.28</c:v>
                </c:pt>
                <c:pt idx="234">
                  <c:v>69.63</c:v>
                </c:pt>
                <c:pt idx="235">
                  <c:v>71.849999999999994</c:v>
                </c:pt>
                <c:pt idx="236">
                  <c:v>70.58</c:v>
                </c:pt>
                <c:pt idx="237">
                  <c:v>70.75</c:v>
                </c:pt>
                <c:pt idx="238">
                  <c:v>73.14</c:v>
                </c:pt>
                <c:pt idx="239">
                  <c:v>72</c:v>
                </c:pt>
                <c:pt idx="240">
                  <c:v>71.02</c:v>
                </c:pt>
                <c:pt idx="241">
                  <c:v>70.900000000000006</c:v>
                </c:pt>
                <c:pt idx="242">
                  <c:v>71.569999999999993</c:v>
                </c:pt>
                <c:pt idx="243">
                  <c:v>69</c:v>
                </c:pt>
                <c:pt idx="244">
                  <c:v>69.510000000000005</c:v>
                </c:pt>
                <c:pt idx="245">
                  <c:v>69.040000000000006</c:v>
                </c:pt>
                <c:pt idx="246">
                  <c:v>68.23</c:v>
                </c:pt>
                <c:pt idx="247">
                  <c:v>67.790000000000006</c:v>
                </c:pt>
                <c:pt idx="248">
                  <c:v>67.77</c:v>
                </c:pt>
                <c:pt idx="249">
                  <c:v>68.680000000000007</c:v>
                </c:pt>
                <c:pt idx="250">
                  <c:v>67.44</c:v>
                </c:pt>
                <c:pt idx="251">
                  <c:v>68.52</c:v>
                </c:pt>
                <c:pt idx="252">
                  <c:v>66.069999999999993</c:v>
                </c:pt>
                <c:pt idx="253">
                  <c:v>66.58</c:v>
                </c:pt>
                <c:pt idx="254">
                  <c:v>65.03</c:v>
                </c:pt>
                <c:pt idx="255">
                  <c:v>65.66</c:v>
                </c:pt>
                <c:pt idx="256">
                  <c:v>66.31</c:v>
                </c:pt>
                <c:pt idx="257">
                  <c:v>66</c:v>
                </c:pt>
                <c:pt idx="258">
                  <c:v>62.59</c:v>
                </c:pt>
                <c:pt idx="259">
                  <c:v>64.17</c:v>
                </c:pt>
                <c:pt idx="260">
                  <c:v>64.22</c:v>
                </c:pt>
                <c:pt idx="261">
                  <c:v>60.9</c:v>
                </c:pt>
                <c:pt idx="262">
                  <c:v>60.46</c:v>
                </c:pt>
                <c:pt idx="263">
                  <c:v>60.82</c:v>
                </c:pt>
                <c:pt idx="264">
                  <c:v>62.25</c:v>
                </c:pt>
                <c:pt idx="265">
                  <c:v>65.459999999999994</c:v>
                </c:pt>
              </c:numCache>
            </c:numRef>
          </c:xVal>
          <c:yVal>
            <c:numRef>
              <c:f>Coal!$B$2:$B$267</c:f>
              <c:numCache>
                <c:formatCode>_(* #,##0.00_);_(* \(#,##0.00\);_(* "-"??_);_(@_)</c:formatCode>
                <c:ptCount val="266"/>
                <c:pt idx="0">
                  <c:v>105.72</c:v>
                </c:pt>
                <c:pt idx="1">
                  <c:v>107.17</c:v>
                </c:pt>
                <c:pt idx="2">
                  <c:v>103.91</c:v>
                </c:pt>
                <c:pt idx="3">
                  <c:v>105.89</c:v>
                </c:pt>
                <c:pt idx="4">
                  <c:v>106.65</c:v>
                </c:pt>
                <c:pt idx="5">
                  <c:v>105.74</c:v>
                </c:pt>
                <c:pt idx="6">
                  <c:v>105.95</c:v>
                </c:pt>
                <c:pt idx="7">
                  <c:v>102.22</c:v>
                </c:pt>
                <c:pt idx="8">
                  <c:v>103.18</c:v>
                </c:pt>
                <c:pt idx="9">
                  <c:v>102.52</c:v>
                </c:pt>
                <c:pt idx="10">
                  <c:v>102.3</c:v>
                </c:pt>
                <c:pt idx="11">
                  <c:v>105.88</c:v>
                </c:pt>
                <c:pt idx="12">
                  <c:v>106.3</c:v>
                </c:pt>
                <c:pt idx="13">
                  <c:v>108.13</c:v>
                </c:pt>
                <c:pt idx="14">
                  <c:v>109.44</c:v>
                </c:pt>
                <c:pt idx="15">
                  <c:v>110.15</c:v>
                </c:pt>
                <c:pt idx="16">
                  <c:v>112.07</c:v>
                </c:pt>
                <c:pt idx="17">
                  <c:v>111.61</c:v>
                </c:pt>
                <c:pt idx="18">
                  <c:v>113.42</c:v>
                </c:pt>
                <c:pt idx="19">
                  <c:v>114.2</c:v>
                </c:pt>
                <c:pt idx="20">
                  <c:v>115.59</c:v>
                </c:pt>
                <c:pt idx="21">
                  <c:v>117.55</c:v>
                </c:pt>
                <c:pt idx="22">
                  <c:v>118.08</c:v>
                </c:pt>
                <c:pt idx="23">
                  <c:v>117.63</c:v>
                </c:pt>
                <c:pt idx="24">
                  <c:v>118.6</c:v>
                </c:pt>
                <c:pt idx="25">
                  <c:v>117.53</c:v>
                </c:pt>
                <c:pt idx="26">
                  <c:v>118.32</c:v>
                </c:pt>
                <c:pt idx="27">
                  <c:v>117.46</c:v>
                </c:pt>
                <c:pt idx="28">
                  <c:v>115.7</c:v>
                </c:pt>
                <c:pt idx="29">
                  <c:v>115.09</c:v>
                </c:pt>
                <c:pt idx="30">
                  <c:v>116.65</c:v>
                </c:pt>
                <c:pt idx="31">
                  <c:v>117.06</c:v>
                </c:pt>
                <c:pt idx="32">
                  <c:v>117.7</c:v>
                </c:pt>
                <c:pt idx="33">
                  <c:v>118.83</c:v>
                </c:pt>
                <c:pt idx="34">
                  <c:v>120.37</c:v>
                </c:pt>
                <c:pt idx="35">
                  <c:v>118.49</c:v>
                </c:pt>
                <c:pt idx="36">
                  <c:v>118.29</c:v>
                </c:pt>
                <c:pt idx="37">
                  <c:v>119.74</c:v>
                </c:pt>
                <c:pt idx="38">
                  <c:v>120.9</c:v>
                </c:pt>
                <c:pt idx="39">
                  <c:v>123.93</c:v>
                </c:pt>
                <c:pt idx="40">
                  <c:v>123.6</c:v>
                </c:pt>
                <c:pt idx="41">
                  <c:v>123.16</c:v>
                </c:pt>
                <c:pt idx="42">
                  <c:v>124.36</c:v>
                </c:pt>
                <c:pt idx="43">
                  <c:v>124.74</c:v>
                </c:pt>
                <c:pt idx="44">
                  <c:v>120.74</c:v>
                </c:pt>
                <c:pt idx="45">
                  <c:v>122.57</c:v>
                </c:pt>
                <c:pt idx="46">
                  <c:v>123.64</c:v>
                </c:pt>
                <c:pt idx="47">
                  <c:v>119.89</c:v>
                </c:pt>
                <c:pt idx="48">
                  <c:v>119.51</c:v>
                </c:pt>
                <c:pt idx="49">
                  <c:v>118.73</c:v>
                </c:pt>
                <c:pt idx="50">
                  <c:v>116.84</c:v>
                </c:pt>
                <c:pt idx="51">
                  <c:v>114.89</c:v>
                </c:pt>
                <c:pt idx="52">
                  <c:v>120.91</c:v>
                </c:pt>
                <c:pt idx="53">
                  <c:v>116.44</c:v>
                </c:pt>
                <c:pt idx="54">
                  <c:v>120.83</c:v>
                </c:pt>
                <c:pt idx="55">
                  <c:v>128.62</c:v>
                </c:pt>
                <c:pt idx="56">
                  <c:v>126.39</c:v>
                </c:pt>
                <c:pt idx="57">
                  <c:v>129.75</c:v>
                </c:pt>
                <c:pt idx="58">
                  <c:v>128.1</c:v>
                </c:pt>
                <c:pt idx="59">
                  <c:v>112.37</c:v>
                </c:pt>
                <c:pt idx="60">
                  <c:v>110</c:v>
                </c:pt>
                <c:pt idx="61">
                  <c:v>107.11</c:v>
                </c:pt>
                <c:pt idx="62">
                  <c:v>103.31</c:v>
                </c:pt>
                <c:pt idx="63">
                  <c:v>105.78</c:v>
                </c:pt>
                <c:pt idx="64">
                  <c:v>102.73</c:v>
                </c:pt>
                <c:pt idx="65">
                  <c:v>100.3</c:v>
                </c:pt>
                <c:pt idx="66">
                  <c:v>96.45</c:v>
                </c:pt>
                <c:pt idx="67">
                  <c:v>92.97</c:v>
                </c:pt>
                <c:pt idx="68">
                  <c:v>89.03</c:v>
                </c:pt>
                <c:pt idx="69">
                  <c:v>88.59</c:v>
                </c:pt>
                <c:pt idx="70">
                  <c:v>87.85</c:v>
                </c:pt>
                <c:pt idx="71">
                  <c:v>84.94</c:v>
                </c:pt>
                <c:pt idx="72">
                  <c:v>84.8</c:v>
                </c:pt>
                <c:pt idx="73">
                  <c:v>85.56</c:v>
                </c:pt>
                <c:pt idx="74">
                  <c:v>88.04</c:v>
                </c:pt>
                <c:pt idx="75">
                  <c:v>87.78</c:v>
                </c:pt>
                <c:pt idx="76">
                  <c:v>86.34</c:v>
                </c:pt>
                <c:pt idx="77">
                  <c:v>86.88</c:v>
                </c:pt>
                <c:pt idx="78">
                  <c:v>90.21</c:v>
                </c:pt>
                <c:pt idx="79">
                  <c:v>89.55</c:v>
                </c:pt>
                <c:pt idx="80">
                  <c:v>90.3</c:v>
                </c:pt>
                <c:pt idx="81">
                  <c:v>90.79</c:v>
                </c:pt>
                <c:pt idx="82">
                  <c:v>90.53</c:v>
                </c:pt>
                <c:pt idx="83">
                  <c:v>91.53</c:v>
                </c:pt>
                <c:pt idx="84">
                  <c:v>91.51</c:v>
                </c:pt>
                <c:pt idx="85">
                  <c:v>93.62</c:v>
                </c:pt>
                <c:pt idx="86">
                  <c:v>93.29</c:v>
                </c:pt>
                <c:pt idx="87">
                  <c:v>92.41</c:v>
                </c:pt>
                <c:pt idx="88">
                  <c:v>92.82</c:v>
                </c:pt>
                <c:pt idx="89">
                  <c:v>88.18</c:v>
                </c:pt>
                <c:pt idx="90">
                  <c:v>88.87</c:v>
                </c:pt>
                <c:pt idx="91">
                  <c:v>93.23</c:v>
                </c:pt>
                <c:pt idx="92">
                  <c:v>95.75</c:v>
                </c:pt>
                <c:pt idx="93">
                  <c:v>90.8</c:v>
                </c:pt>
                <c:pt idx="94">
                  <c:v>85.6</c:v>
                </c:pt>
                <c:pt idx="95">
                  <c:v>86.95</c:v>
                </c:pt>
                <c:pt idx="96">
                  <c:v>83.85</c:v>
                </c:pt>
                <c:pt idx="97">
                  <c:v>81.67</c:v>
                </c:pt>
                <c:pt idx="98">
                  <c:v>83.3</c:v>
                </c:pt>
                <c:pt idx="99">
                  <c:v>82.95</c:v>
                </c:pt>
                <c:pt idx="100">
                  <c:v>84.1</c:v>
                </c:pt>
                <c:pt idx="101">
                  <c:v>84.05</c:v>
                </c:pt>
                <c:pt idx="102">
                  <c:v>81.95</c:v>
                </c:pt>
                <c:pt idx="103">
                  <c:v>81.400000000000006</c:v>
                </c:pt>
                <c:pt idx="104">
                  <c:v>84.6</c:v>
                </c:pt>
                <c:pt idx="105">
                  <c:v>83.4</c:v>
                </c:pt>
                <c:pt idx="106">
                  <c:v>86.75</c:v>
                </c:pt>
                <c:pt idx="107">
                  <c:v>87.1</c:v>
                </c:pt>
                <c:pt idx="108">
                  <c:v>91.15</c:v>
                </c:pt>
                <c:pt idx="109">
                  <c:v>81.2</c:v>
                </c:pt>
                <c:pt idx="110">
                  <c:v>77.45</c:v>
                </c:pt>
                <c:pt idx="111">
                  <c:v>72.849999999999994</c:v>
                </c:pt>
                <c:pt idx="112">
                  <c:v>68.45</c:v>
                </c:pt>
                <c:pt idx="113">
                  <c:v>67.489999999999995</c:v>
                </c:pt>
                <c:pt idx="114">
                  <c:v>66.900000000000006</c:v>
                </c:pt>
                <c:pt idx="115">
                  <c:v>65.900000000000006</c:v>
                </c:pt>
                <c:pt idx="116">
                  <c:v>65.75</c:v>
                </c:pt>
                <c:pt idx="117">
                  <c:v>66.55</c:v>
                </c:pt>
                <c:pt idx="118">
                  <c:v>65.05</c:v>
                </c:pt>
                <c:pt idx="119">
                  <c:v>65.400000000000006</c:v>
                </c:pt>
                <c:pt idx="120">
                  <c:v>64.05</c:v>
                </c:pt>
                <c:pt idx="121">
                  <c:v>63.6</c:v>
                </c:pt>
                <c:pt idx="122">
                  <c:v>61.4</c:v>
                </c:pt>
                <c:pt idx="123">
                  <c:v>60.8</c:v>
                </c:pt>
                <c:pt idx="124">
                  <c:v>60.59</c:v>
                </c:pt>
                <c:pt idx="125">
                  <c:v>60.9</c:v>
                </c:pt>
                <c:pt idx="126">
                  <c:v>61.15</c:v>
                </c:pt>
                <c:pt idx="127">
                  <c:v>64.05</c:v>
                </c:pt>
                <c:pt idx="128">
                  <c:v>64</c:v>
                </c:pt>
                <c:pt idx="129">
                  <c:v>64.099999999999994</c:v>
                </c:pt>
                <c:pt idx="130">
                  <c:v>64.849999999999994</c:v>
                </c:pt>
                <c:pt idx="131">
                  <c:v>63.1</c:v>
                </c:pt>
                <c:pt idx="132">
                  <c:v>61.25</c:v>
                </c:pt>
                <c:pt idx="133">
                  <c:v>62.25</c:v>
                </c:pt>
                <c:pt idx="134">
                  <c:v>60.15</c:v>
                </c:pt>
                <c:pt idx="135">
                  <c:v>59.25</c:v>
                </c:pt>
                <c:pt idx="136">
                  <c:v>57.4</c:v>
                </c:pt>
                <c:pt idx="137">
                  <c:v>57.9</c:v>
                </c:pt>
                <c:pt idx="138">
                  <c:v>65.3</c:v>
                </c:pt>
                <c:pt idx="139">
                  <c:v>60.6</c:v>
                </c:pt>
                <c:pt idx="140">
                  <c:v>59.2</c:v>
                </c:pt>
                <c:pt idx="141">
                  <c:v>57.3</c:v>
                </c:pt>
                <c:pt idx="142">
                  <c:v>56.15</c:v>
                </c:pt>
                <c:pt idx="143">
                  <c:v>58.8</c:v>
                </c:pt>
                <c:pt idx="144">
                  <c:v>58.5</c:v>
                </c:pt>
                <c:pt idx="145">
                  <c:v>61.5</c:v>
                </c:pt>
                <c:pt idx="146">
                  <c:v>62.8</c:v>
                </c:pt>
                <c:pt idx="147">
                  <c:v>63.35</c:v>
                </c:pt>
                <c:pt idx="148">
                  <c:v>62</c:v>
                </c:pt>
                <c:pt idx="149">
                  <c:v>61.9</c:v>
                </c:pt>
                <c:pt idx="150">
                  <c:v>59.1</c:v>
                </c:pt>
                <c:pt idx="151">
                  <c:v>55.85</c:v>
                </c:pt>
                <c:pt idx="152">
                  <c:v>57</c:v>
                </c:pt>
                <c:pt idx="153">
                  <c:v>59.6</c:v>
                </c:pt>
                <c:pt idx="154">
                  <c:v>68.349999999999994</c:v>
                </c:pt>
                <c:pt idx="155">
                  <c:v>74.2</c:v>
                </c:pt>
                <c:pt idx="156">
                  <c:v>73.75</c:v>
                </c:pt>
                <c:pt idx="157">
                  <c:v>75.2</c:v>
                </c:pt>
                <c:pt idx="158">
                  <c:v>70.7</c:v>
                </c:pt>
                <c:pt idx="159">
                  <c:v>73.099999999999994</c:v>
                </c:pt>
                <c:pt idx="160">
                  <c:v>83.7</c:v>
                </c:pt>
                <c:pt idx="161">
                  <c:v>79.5</c:v>
                </c:pt>
                <c:pt idx="162">
                  <c:v>78.3</c:v>
                </c:pt>
                <c:pt idx="163">
                  <c:v>77.400000000000006</c:v>
                </c:pt>
                <c:pt idx="164">
                  <c:v>73.75</c:v>
                </c:pt>
                <c:pt idx="165">
                  <c:v>73.599999999999994</c:v>
                </c:pt>
                <c:pt idx="166">
                  <c:v>78</c:v>
                </c:pt>
                <c:pt idx="167">
                  <c:v>78.150000000000006</c:v>
                </c:pt>
                <c:pt idx="168">
                  <c:v>91.9</c:v>
                </c:pt>
                <c:pt idx="169">
                  <c:v>105.85</c:v>
                </c:pt>
                <c:pt idx="170">
                  <c:v>98.4</c:v>
                </c:pt>
                <c:pt idx="171">
                  <c:v>96</c:v>
                </c:pt>
                <c:pt idx="172">
                  <c:v>104.9</c:v>
                </c:pt>
                <c:pt idx="173">
                  <c:v>119.1</c:v>
                </c:pt>
                <c:pt idx="174">
                  <c:v>132.80000000000001</c:v>
                </c:pt>
                <c:pt idx="175">
                  <c:v>145.80000000000001</c:v>
                </c:pt>
                <c:pt idx="176">
                  <c:v>136.44999999999999</c:v>
                </c:pt>
                <c:pt idx="177">
                  <c:v>152.5</c:v>
                </c:pt>
                <c:pt idx="178">
                  <c:v>159.25</c:v>
                </c:pt>
                <c:pt idx="179">
                  <c:v>162.94999999999999</c:v>
                </c:pt>
                <c:pt idx="180">
                  <c:v>161.15</c:v>
                </c:pt>
                <c:pt idx="181">
                  <c:v>157.75</c:v>
                </c:pt>
                <c:pt idx="182">
                  <c:v>152.5</c:v>
                </c:pt>
                <c:pt idx="183">
                  <c:v>153.5</c:v>
                </c:pt>
                <c:pt idx="184">
                  <c:v>149.15</c:v>
                </c:pt>
                <c:pt idx="185">
                  <c:v>170.4</c:v>
                </c:pt>
                <c:pt idx="186">
                  <c:v>174</c:v>
                </c:pt>
                <c:pt idx="187">
                  <c:v>176.8</c:v>
                </c:pt>
                <c:pt idx="188">
                  <c:v>159</c:v>
                </c:pt>
                <c:pt idx="189">
                  <c:v>146.5</c:v>
                </c:pt>
                <c:pt idx="190">
                  <c:v>135.5</c:v>
                </c:pt>
                <c:pt idx="191">
                  <c:v>129.15</c:v>
                </c:pt>
                <c:pt idx="192">
                  <c:v>133.5</c:v>
                </c:pt>
                <c:pt idx="193">
                  <c:v>122.95</c:v>
                </c:pt>
                <c:pt idx="194">
                  <c:v>115.75</c:v>
                </c:pt>
                <c:pt idx="195">
                  <c:v>113.05</c:v>
                </c:pt>
                <c:pt idx="196">
                  <c:v>111.6</c:v>
                </c:pt>
                <c:pt idx="197">
                  <c:v>112.15</c:v>
                </c:pt>
                <c:pt idx="198">
                  <c:v>111.4</c:v>
                </c:pt>
                <c:pt idx="199">
                  <c:v>107.1</c:v>
                </c:pt>
                <c:pt idx="200">
                  <c:v>103.9</c:v>
                </c:pt>
                <c:pt idx="201">
                  <c:v>104.75</c:v>
                </c:pt>
                <c:pt idx="202">
                  <c:v>107</c:v>
                </c:pt>
                <c:pt idx="203">
                  <c:v>114.3</c:v>
                </c:pt>
                <c:pt idx="204">
                  <c:v>114.9</c:v>
                </c:pt>
                <c:pt idx="205">
                  <c:v>118.85</c:v>
                </c:pt>
                <c:pt idx="206">
                  <c:v>113.85</c:v>
                </c:pt>
                <c:pt idx="207">
                  <c:v>115.9</c:v>
                </c:pt>
                <c:pt idx="208">
                  <c:v>110.2</c:v>
                </c:pt>
                <c:pt idx="209">
                  <c:v>111.3</c:v>
                </c:pt>
                <c:pt idx="210">
                  <c:v>99.1</c:v>
                </c:pt>
                <c:pt idx="211">
                  <c:v>101.4</c:v>
                </c:pt>
                <c:pt idx="212">
                  <c:v>100.9</c:v>
                </c:pt>
                <c:pt idx="213">
                  <c:v>99.35</c:v>
                </c:pt>
                <c:pt idx="214">
                  <c:v>95.85</c:v>
                </c:pt>
                <c:pt idx="215">
                  <c:v>95.7</c:v>
                </c:pt>
                <c:pt idx="216">
                  <c:v>93.75</c:v>
                </c:pt>
                <c:pt idx="217">
                  <c:v>91.25</c:v>
                </c:pt>
                <c:pt idx="218">
                  <c:v>100.25</c:v>
                </c:pt>
                <c:pt idx="219">
                  <c:v>95.1</c:v>
                </c:pt>
                <c:pt idx="220">
                  <c:v>85</c:v>
                </c:pt>
                <c:pt idx="221">
                  <c:v>84.1</c:v>
                </c:pt>
                <c:pt idx="222">
                  <c:v>82.25</c:v>
                </c:pt>
                <c:pt idx="223">
                  <c:v>80.349999999999994</c:v>
                </c:pt>
                <c:pt idx="224">
                  <c:v>75.900000000000006</c:v>
                </c:pt>
                <c:pt idx="225">
                  <c:v>69.3</c:v>
                </c:pt>
                <c:pt idx="226">
                  <c:v>66.55</c:v>
                </c:pt>
                <c:pt idx="227">
                  <c:v>65.099999999999994</c:v>
                </c:pt>
                <c:pt idx="228">
                  <c:v>64.05</c:v>
                </c:pt>
                <c:pt idx="229">
                  <c:v>61</c:v>
                </c:pt>
                <c:pt idx="230">
                  <c:v>60.55</c:v>
                </c:pt>
                <c:pt idx="231">
                  <c:v>60.3</c:v>
                </c:pt>
                <c:pt idx="232">
                  <c:v>60</c:v>
                </c:pt>
                <c:pt idx="233">
                  <c:v>60.1</c:v>
                </c:pt>
                <c:pt idx="234">
                  <c:v>60.35</c:v>
                </c:pt>
                <c:pt idx="235">
                  <c:v>59.74</c:v>
                </c:pt>
                <c:pt idx="236">
                  <c:v>58.2</c:v>
                </c:pt>
                <c:pt idx="237">
                  <c:v>58.7</c:v>
                </c:pt>
                <c:pt idx="238">
                  <c:v>57.85</c:v>
                </c:pt>
                <c:pt idx="239">
                  <c:v>56.9</c:v>
                </c:pt>
                <c:pt idx="240">
                  <c:v>59.2</c:v>
                </c:pt>
                <c:pt idx="241">
                  <c:v>58.7</c:v>
                </c:pt>
                <c:pt idx="242">
                  <c:v>57.55</c:v>
                </c:pt>
                <c:pt idx="243">
                  <c:v>54.6</c:v>
                </c:pt>
                <c:pt idx="244">
                  <c:v>53.35</c:v>
                </c:pt>
                <c:pt idx="245">
                  <c:v>52.05</c:v>
                </c:pt>
                <c:pt idx="246">
                  <c:v>49.35</c:v>
                </c:pt>
                <c:pt idx="247">
                  <c:v>48.75</c:v>
                </c:pt>
                <c:pt idx="248">
                  <c:v>50.5</c:v>
                </c:pt>
                <c:pt idx="249">
                  <c:v>51.3</c:v>
                </c:pt>
                <c:pt idx="250">
                  <c:v>51.1</c:v>
                </c:pt>
                <c:pt idx="251">
                  <c:v>51</c:v>
                </c:pt>
                <c:pt idx="252">
                  <c:v>54.15</c:v>
                </c:pt>
                <c:pt idx="253">
                  <c:v>54.35</c:v>
                </c:pt>
                <c:pt idx="254">
                  <c:v>53.8</c:v>
                </c:pt>
                <c:pt idx="255">
                  <c:v>53.45</c:v>
                </c:pt>
                <c:pt idx="256">
                  <c:v>51.2</c:v>
                </c:pt>
                <c:pt idx="257">
                  <c:v>50.1</c:v>
                </c:pt>
                <c:pt idx="258">
                  <c:v>51.25</c:v>
                </c:pt>
                <c:pt idx="259">
                  <c:v>50.6</c:v>
                </c:pt>
                <c:pt idx="260">
                  <c:v>49.6</c:v>
                </c:pt>
                <c:pt idx="261">
                  <c:v>49.46</c:v>
                </c:pt>
                <c:pt idx="262">
                  <c:v>51.06</c:v>
                </c:pt>
                <c:pt idx="263">
                  <c:v>50.63</c:v>
                </c:pt>
                <c:pt idx="264">
                  <c:v>50.67</c:v>
                </c:pt>
                <c:pt idx="265">
                  <c:v>47.9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53600"/>
        <c:axId val="41763584"/>
      </c:scatterChart>
      <c:valAx>
        <c:axId val="41753600"/>
        <c:scaling>
          <c:orientation val="minMax"/>
          <c:min val="45"/>
        </c:scaling>
        <c:delete val="0"/>
        <c:axPos val="b"/>
        <c:numFmt formatCode="_(* #,##0.00_);_(* \(#,##0.0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1763584"/>
        <c:crosses val="autoZero"/>
        <c:crossBetween val="midCat"/>
      </c:valAx>
      <c:valAx>
        <c:axId val="41763584"/>
        <c:scaling>
          <c:orientation val="minMax"/>
        </c:scaling>
        <c:delete val="0"/>
        <c:axPos val="l"/>
        <c:numFmt formatCode="_-* #,##0_-;\-* #,##0_-;_-* &quot;-&quot;_-;_-@_-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175360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7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Coal!$E$30:$E$89</c:f>
              <c:numCache>
                <c:formatCode>m/d/yyyy</c:formatCode>
                <c:ptCount val="60"/>
                <c:pt idx="0">
                  <c:v>40963</c:v>
                </c:pt>
                <c:pt idx="1">
                  <c:v>40956</c:v>
                </c:pt>
                <c:pt idx="2">
                  <c:v>40949</c:v>
                </c:pt>
                <c:pt idx="3">
                  <c:v>40942</c:v>
                </c:pt>
                <c:pt idx="4">
                  <c:v>40935</c:v>
                </c:pt>
                <c:pt idx="5">
                  <c:v>40928</c:v>
                </c:pt>
                <c:pt idx="6">
                  <c:v>40921</c:v>
                </c:pt>
                <c:pt idx="7">
                  <c:v>40914</c:v>
                </c:pt>
                <c:pt idx="8">
                  <c:v>40907</c:v>
                </c:pt>
                <c:pt idx="9">
                  <c:v>40900</c:v>
                </c:pt>
                <c:pt idx="10">
                  <c:v>40893</c:v>
                </c:pt>
                <c:pt idx="11">
                  <c:v>40886</c:v>
                </c:pt>
                <c:pt idx="12">
                  <c:v>40879</c:v>
                </c:pt>
                <c:pt idx="13">
                  <c:v>40872</c:v>
                </c:pt>
                <c:pt idx="14">
                  <c:v>40865</c:v>
                </c:pt>
                <c:pt idx="15">
                  <c:v>40858</c:v>
                </c:pt>
                <c:pt idx="16">
                  <c:v>40851</c:v>
                </c:pt>
                <c:pt idx="17">
                  <c:v>40844</c:v>
                </c:pt>
                <c:pt idx="18">
                  <c:v>40837</c:v>
                </c:pt>
                <c:pt idx="19">
                  <c:v>40830</c:v>
                </c:pt>
                <c:pt idx="20">
                  <c:v>40823</c:v>
                </c:pt>
                <c:pt idx="21">
                  <c:v>40816</c:v>
                </c:pt>
                <c:pt idx="22">
                  <c:v>40809</c:v>
                </c:pt>
                <c:pt idx="23">
                  <c:v>40802</c:v>
                </c:pt>
                <c:pt idx="24">
                  <c:v>40795</c:v>
                </c:pt>
                <c:pt idx="25">
                  <c:v>40788</c:v>
                </c:pt>
                <c:pt idx="26">
                  <c:v>40781</c:v>
                </c:pt>
                <c:pt idx="27">
                  <c:v>40774</c:v>
                </c:pt>
                <c:pt idx="28">
                  <c:v>40767</c:v>
                </c:pt>
                <c:pt idx="29">
                  <c:v>40760</c:v>
                </c:pt>
                <c:pt idx="30">
                  <c:v>40753</c:v>
                </c:pt>
                <c:pt idx="31">
                  <c:v>40746</c:v>
                </c:pt>
                <c:pt idx="32">
                  <c:v>40739</c:v>
                </c:pt>
                <c:pt idx="33">
                  <c:v>40732</c:v>
                </c:pt>
                <c:pt idx="34">
                  <c:v>40725</c:v>
                </c:pt>
                <c:pt idx="35">
                  <c:v>40718</c:v>
                </c:pt>
                <c:pt idx="36">
                  <c:v>40711</c:v>
                </c:pt>
                <c:pt idx="37">
                  <c:v>40704</c:v>
                </c:pt>
                <c:pt idx="38">
                  <c:v>40697</c:v>
                </c:pt>
                <c:pt idx="39">
                  <c:v>40690</c:v>
                </c:pt>
                <c:pt idx="40">
                  <c:v>40683</c:v>
                </c:pt>
                <c:pt idx="41">
                  <c:v>40676</c:v>
                </c:pt>
                <c:pt idx="42">
                  <c:v>40669</c:v>
                </c:pt>
                <c:pt idx="43">
                  <c:v>40662</c:v>
                </c:pt>
                <c:pt idx="44">
                  <c:v>40655</c:v>
                </c:pt>
                <c:pt idx="45">
                  <c:v>40648</c:v>
                </c:pt>
                <c:pt idx="46">
                  <c:v>40641</c:v>
                </c:pt>
                <c:pt idx="47">
                  <c:v>40634</c:v>
                </c:pt>
                <c:pt idx="48">
                  <c:v>40627</c:v>
                </c:pt>
                <c:pt idx="49">
                  <c:v>40620</c:v>
                </c:pt>
                <c:pt idx="50">
                  <c:v>40613</c:v>
                </c:pt>
                <c:pt idx="51">
                  <c:v>40606</c:v>
                </c:pt>
                <c:pt idx="52">
                  <c:v>40599</c:v>
                </c:pt>
                <c:pt idx="53">
                  <c:v>40592</c:v>
                </c:pt>
                <c:pt idx="54">
                  <c:v>40585</c:v>
                </c:pt>
                <c:pt idx="55">
                  <c:v>40578</c:v>
                </c:pt>
                <c:pt idx="56">
                  <c:v>40571</c:v>
                </c:pt>
                <c:pt idx="57">
                  <c:v>40564</c:v>
                </c:pt>
                <c:pt idx="58">
                  <c:v>40557</c:v>
                </c:pt>
                <c:pt idx="59">
                  <c:v>40550</c:v>
                </c:pt>
              </c:numCache>
            </c:numRef>
          </c:cat>
          <c:val>
            <c:numRef>
              <c:f>Coal!$F$30:$F$89</c:f>
              <c:numCache>
                <c:formatCode>_(* #,##0.00_);_(* \(#,##0.00\);_(* "-"??_);_(@_)</c:formatCode>
                <c:ptCount val="60"/>
                <c:pt idx="0">
                  <c:v>106.11</c:v>
                </c:pt>
                <c:pt idx="1">
                  <c:v>104.84</c:v>
                </c:pt>
                <c:pt idx="2">
                  <c:v>104.83</c:v>
                </c:pt>
                <c:pt idx="3">
                  <c:v>105.72</c:v>
                </c:pt>
                <c:pt idx="4">
                  <c:v>107.17</c:v>
                </c:pt>
                <c:pt idx="5">
                  <c:v>103.91</c:v>
                </c:pt>
                <c:pt idx="6">
                  <c:v>105.89</c:v>
                </c:pt>
                <c:pt idx="7">
                  <c:v>106.65</c:v>
                </c:pt>
                <c:pt idx="8">
                  <c:v>105.74</c:v>
                </c:pt>
                <c:pt idx="9">
                  <c:v>105.95</c:v>
                </c:pt>
                <c:pt idx="10">
                  <c:v>102.22</c:v>
                </c:pt>
                <c:pt idx="11">
                  <c:v>103.18</c:v>
                </c:pt>
                <c:pt idx="12">
                  <c:v>102.52</c:v>
                </c:pt>
                <c:pt idx="13">
                  <c:v>102.3</c:v>
                </c:pt>
                <c:pt idx="14">
                  <c:v>105.88</c:v>
                </c:pt>
                <c:pt idx="15">
                  <c:v>106.3</c:v>
                </c:pt>
                <c:pt idx="16">
                  <c:v>108.13</c:v>
                </c:pt>
                <c:pt idx="17">
                  <c:v>109.44</c:v>
                </c:pt>
                <c:pt idx="18">
                  <c:v>110.15</c:v>
                </c:pt>
                <c:pt idx="19">
                  <c:v>112.07</c:v>
                </c:pt>
                <c:pt idx="20">
                  <c:v>111.61</c:v>
                </c:pt>
                <c:pt idx="21">
                  <c:v>113.42</c:v>
                </c:pt>
                <c:pt idx="22">
                  <c:v>114.2</c:v>
                </c:pt>
                <c:pt idx="23">
                  <c:v>115.59</c:v>
                </c:pt>
                <c:pt idx="24">
                  <c:v>117.55</c:v>
                </c:pt>
                <c:pt idx="25">
                  <c:v>118.08</c:v>
                </c:pt>
                <c:pt idx="26">
                  <c:v>117.63</c:v>
                </c:pt>
                <c:pt idx="27">
                  <c:v>118.6</c:v>
                </c:pt>
                <c:pt idx="28">
                  <c:v>117.53</c:v>
                </c:pt>
                <c:pt idx="29">
                  <c:v>118.32</c:v>
                </c:pt>
                <c:pt idx="30">
                  <c:v>117.46</c:v>
                </c:pt>
                <c:pt idx="31">
                  <c:v>115.7</c:v>
                </c:pt>
                <c:pt idx="32">
                  <c:v>115.09</c:v>
                </c:pt>
                <c:pt idx="33">
                  <c:v>116.65</c:v>
                </c:pt>
                <c:pt idx="34">
                  <c:v>117.06</c:v>
                </c:pt>
                <c:pt idx="35">
                  <c:v>117.7</c:v>
                </c:pt>
                <c:pt idx="36">
                  <c:v>118.83</c:v>
                </c:pt>
                <c:pt idx="37">
                  <c:v>120.37</c:v>
                </c:pt>
                <c:pt idx="38">
                  <c:v>118.49</c:v>
                </c:pt>
                <c:pt idx="39">
                  <c:v>118.29</c:v>
                </c:pt>
                <c:pt idx="40">
                  <c:v>119.74</c:v>
                </c:pt>
                <c:pt idx="41">
                  <c:v>120.9</c:v>
                </c:pt>
                <c:pt idx="42">
                  <c:v>123.93</c:v>
                </c:pt>
                <c:pt idx="43">
                  <c:v>123.6</c:v>
                </c:pt>
                <c:pt idx="44">
                  <c:v>123.16</c:v>
                </c:pt>
                <c:pt idx="45">
                  <c:v>124.36</c:v>
                </c:pt>
                <c:pt idx="46">
                  <c:v>124.74</c:v>
                </c:pt>
                <c:pt idx="47">
                  <c:v>120.74</c:v>
                </c:pt>
                <c:pt idx="48">
                  <c:v>122.57</c:v>
                </c:pt>
                <c:pt idx="49">
                  <c:v>123.64</c:v>
                </c:pt>
                <c:pt idx="50">
                  <c:v>119.89</c:v>
                </c:pt>
                <c:pt idx="51">
                  <c:v>119.51</c:v>
                </c:pt>
                <c:pt idx="52">
                  <c:v>118.73</c:v>
                </c:pt>
                <c:pt idx="53">
                  <c:v>116.84</c:v>
                </c:pt>
                <c:pt idx="54">
                  <c:v>114.89</c:v>
                </c:pt>
                <c:pt idx="55">
                  <c:v>120.91</c:v>
                </c:pt>
                <c:pt idx="56">
                  <c:v>116.44</c:v>
                </c:pt>
                <c:pt idx="57">
                  <c:v>120.83</c:v>
                </c:pt>
                <c:pt idx="58">
                  <c:v>128.62</c:v>
                </c:pt>
                <c:pt idx="59">
                  <c:v>126.39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99680"/>
        <c:axId val="41801216"/>
      </c:lineChart>
      <c:dateAx>
        <c:axId val="417996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1801216"/>
        <c:crosses val="autoZero"/>
        <c:auto val="1"/>
        <c:lblOffset val="100"/>
        <c:baseTimeUnit val="days"/>
      </c:dateAx>
      <c:valAx>
        <c:axId val="41801216"/>
        <c:scaling>
          <c:orientation val="minMax"/>
          <c:max val="130"/>
          <c:min val="100"/>
        </c:scaling>
        <c:delete val="0"/>
        <c:axPos val="l"/>
        <c:numFmt formatCode="_-* #,##0_-;\-* #,##0_-;_-* &quot;-&quot;_-;_-@_-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1799680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7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4744538511723"/>
          <c:y val="0.12760470158621476"/>
          <c:w val="0.78448759694511849"/>
          <c:h val="0.694054005961119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[41]Graphs!$A$3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strRef>
              <c:f>[41]Graphs!$C$2:$I$2</c:f>
              <c:strCache>
                <c:ptCount val="7"/>
                <c:pt idx="0">
                  <c:v>FY11A</c:v>
                </c:pt>
                <c:pt idx="1">
                  <c:v>FY12A</c:v>
                </c:pt>
                <c:pt idx="2">
                  <c:v>FY13E</c:v>
                </c:pt>
                <c:pt idx="3">
                  <c:v>FY14F</c:v>
                </c:pt>
                <c:pt idx="4">
                  <c:v>FY15F</c:v>
                </c:pt>
                <c:pt idx="5">
                  <c:v>FY16F</c:v>
                </c:pt>
                <c:pt idx="6">
                  <c:v>FY17F</c:v>
                </c:pt>
              </c:strCache>
            </c:strRef>
          </c:cat>
          <c:val>
            <c:numRef>
              <c:f>[41]Graphs!$C$3:$I$3</c:f>
              <c:numCache>
                <c:formatCode>General</c:formatCode>
                <c:ptCount val="7"/>
                <c:pt idx="0">
                  <c:v>629385</c:v>
                </c:pt>
                <c:pt idx="1">
                  <c:v>1616815</c:v>
                </c:pt>
                <c:pt idx="2">
                  <c:v>1972514.3</c:v>
                </c:pt>
                <c:pt idx="3">
                  <c:v>2130315.4440000001</c:v>
                </c:pt>
                <c:pt idx="4">
                  <c:v>2215528.0617600004</c:v>
                </c:pt>
                <c:pt idx="5">
                  <c:v>2304149.1842304007</c:v>
                </c:pt>
                <c:pt idx="6">
                  <c:v>2396315.1515996167</c:v>
                </c:pt>
              </c:numCache>
            </c:numRef>
          </c:val>
        </c:ser>
        <c:ser>
          <c:idx val="1"/>
          <c:order val="1"/>
          <c:tx>
            <c:strRef>
              <c:f>[41]Graphs!$A$4</c:f>
              <c:strCache>
                <c:ptCount val="1"/>
                <c:pt idx="0">
                  <c:v>Exports</c:v>
                </c:pt>
              </c:strCache>
            </c:strRef>
          </c:tx>
          <c:invertIfNegative val="0"/>
          <c:cat>
            <c:strRef>
              <c:f>[41]Graphs!$C$2:$I$2</c:f>
              <c:strCache>
                <c:ptCount val="7"/>
                <c:pt idx="0">
                  <c:v>FY11A</c:v>
                </c:pt>
                <c:pt idx="1">
                  <c:v>FY12A</c:v>
                </c:pt>
                <c:pt idx="2">
                  <c:v>FY13E</c:v>
                </c:pt>
                <c:pt idx="3">
                  <c:v>FY14F</c:v>
                </c:pt>
                <c:pt idx="4">
                  <c:v>FY15F</c:v>
                </c:pt>
                <c:pt idx="5">
                  <c:v>FY16F</c:v>
                </c:pt>
                <c:pt idx="6">
                  <c:v>FY17F</c:v>
                </c:pt>
              </c:strCache>
            </c:strRef>
          </c:cat>
          <c:val>
            <c:numRef>
              <c:f>[41]Graphs!$C$4:$I$4</c:f>
              <c:numCache>
                <c:formatCode>General</c:formatCode>
                <c:ptCount val="7"/>
                <c:pt idx="0">
                  <c:v>455173</c:v>
                </c:pt>
                <c:pt idx="1">
                  <c:v>515821</c:v>
                </c:pt>
                <c:pt idx="2">
                  <c:v>567403.10000000009</c:v>
                </c:pt>
                <c:pt idx="3">
                  <c:v>587262.20850000007</c:v>
                </c:pt>
                <c:pt idx="4">
                  <c:v>599007.45267000003</c:v>
                </c:pt>
                <c:pt idx="5">
                  <c:v>610987.60172340006</c:v>
                </c:pt>
                <c:pt idx="6">
                  <c:v>623207.35375786806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228544"/>
        <c:axId val="43234432"/>
      </c:barChart>
      <c:lineChart>
        <c:grouping val="standard"/>
        <c:varyColors val="0"/>
        <c:ser>
          <c:idx val="2"/>
          <c:order val="2"/>
          <c:tx>
            <c:strRef>
              <c:f>[41]Graphs!$A$5</c:f>
              <c:strCache>
                <c:ptCount val="1"/>
                <c:pt idx="0">
                  <c:v>Capacity Utilisation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cat>
            <c:strRef>
              <c:f>[41]Graphs!$C$2:$I$2</c:f>
              <c:strCache>
                <c:ptCount val="7"/>
                <c:pt idx="0">
                  <c:v>FY11A</c:v>
                </c:pt>
                <c:pt idx="1">
                  <c:v>FY12A</c:v>
                </c:pt>
                <c:pt idx="2">
                  <c:v>FY13E</c:v>
                </c:pt>
                <c:pt idx="3">
                  <c:v>FY14F</c:v>
                </c:pt>
                <c:pt idx="4">
                  <c:v>FY15F</c:v>
                </c:pt>
                <c:pt idx="5">
                  <c:v>FY16F</c:v>
                </c:pt>
                <c:pt idx="6">
                  <c:v>FY17F</c:v>
                </c:pt>
              </c:strCache>
            </c:strRef>
          </c:cat>
          <c:val>
            <c:numRef>
              <c:f>[41]Graphs!$C$5:$I$5</c:f>
              <c:numCache>
                <c:formatCode>General</c:formatCode>
                <c:ptCount val="7"/>
                <c:pt idx="0">
                  <c:v>1.0072702702702703</c:v>
                </c:pt>
                <c:pt idx="1">
                  <c:v>0.62474151740206785</c:v>
                </c:pt>
                <c:pt idx="2">
                  <c:v>0.73974585699723328</c:v>
                </c:pt>
                <c:pt idx="3">
                  <c:v>0.79148904980340773</c:v>
                </c:pt>
                <c:pt idx="4">
                  <c:v>0.81972783294888607</c:v>
                </c:pt>
                <c:pt idx="5">
                  <c:v>0.84902775184325052</c:v>
                </c:pt>
                <c:pt idx="6">
                  <c:v>0.87942988360491769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38144"/>
        <c:axId val="43236352"/>
      </c:lineChart>
      <c:catAx>
        <c:axId val="4322854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3234432"/>
        <c:crosses val="autoZero"/>
        <c:auto val="1"/>
        <c:lblAlgn val="ctr"/>
        <c:lblOffset val="100"/>
        <c:noMultiLvlLbl val="0"/>
      </c:catAx>
      <c:valAx>
        <c:axId val="43234432"/>
        <c:scaling>
          <c:orientation val="minMax"/>
          <c:max val="3000000"/>
          <c:min val="0"/>
        </c:scaling>
        <c:delete val="0"/>
        <c:axPos val="l"/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3228544"/>
        <c:crosses val="autoZero"/>
        <c:crossBetween val="between"/>
        <c:majorUnit val="1000000"/>
        <c:dispUnits>
          <c:builtInUnit val="millions"/>
        </c:dispUnits>
      </c:valAx>
      <c:valAx>
        <c:axId val="43236352"/>
        <c:scaling>
          <c:orientation val="minMax"/>
          <c:max val="1.05"/>
          <c:min val="0.60000000000000064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3238144"/>
        <c:crosses val="max"/>
        <c:crossBetween val="between"/>
        <c:majorUnit val="0.05"/>
      </c:valAx>
      <c:catAx>
        <c:axId val="43238144"/>
        <c:scaling>
          <c:orientation val="minMax"/>
        </c:scaling>
        <c:delete val="1"/>
        <c:axPos val="b"/>
        <c:majorTickMark val="out"/>
        <c:minorTickMark val="none"/>
        <c:tickLblPos val="none"/>
        <c:crossAx val="43236352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6.8038334288673702E-2"/>
          <c:y val="5.1663033646218133E-3"/>
          <c:w val="0.86196880562345546"/>
          <c:h val="0.21286000266915789"/>
        </c:manualLayout>
      </c:layout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7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171259842519689E-2"/>
          <c:y val="0.13473535808024487"/>
          <c:w val="0.83422703412073562"/>
          <c:h val="0.696413948256449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[41]Graphs!$A$6</c:f>
              <c:strCache>
                <c:ptCount val="1"/>
                <c:pt idx="0">
                  <c:v>Total Volumes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[41]Graphs!$D$2:$I$2</c:f>
              <c:strCache>
                <c:ptCount val="6"/>
                <c:pt idx="0">
                  <c:v>FY12A</c:v>
                </c:pt>
                <c:pt idx="1">
                  <c:v>FY13E</c:v>
                </c:pt>
                <c:pt idx="2">
                  <c:v>FY14F</c:v>
                </c:pt>
                <c:pt idx="3">
                  <c:v>FY15F</c:v>
                </c:pt>
                <c:pt idx="4">
                  <c:v>FY16F</c:v>
                </c:pt>
                <c:pt idx="5">
                  <c:v>FY17F</c:v>
                </c:pt>
              </c:strCache>
            </c:strRef>
          </c:cat>
          <c:val>
            <c:numRef>
              <c:f>[41]Graphs!$D$6:$I$6</c:f>
              <c:numCache>
                <c:formatCode>General</c:formatCode>
                <c:ptCount val="6"/>
                <c:pt idx="0">
                  <c:v>2132636</c:v>
                </c:pt>
                <c:pt idx="1">
                  <c:v>2539917.4000000004</c:v>
                </c:pt>
                <c:pt idx="2">
                  <c:v>2717577.6525000003</c:v>
                </c:pt>
                <c:pt idx="3">
                  <c:v>2814535.5144300004</c:v>
                </c:pt>
                <c:pt idx="4">
                  <c:v>2915136.7859538007</c:v>
                </c:pt>
                <c:pt idx="5">
                  <c:v>3019522.5053574848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695872"/>
        <c:axId val="41697664"/>
      </c:barChart>
      <c:lineChart>
        <c:grouping val="standard"/>
        <c:varyColors val="0"/>
        <c:ser>
          <c:idx val="1"/>
          <c:order val="1"/>
          <c:tx>
            <c:strRef>
              <c:f>[41]Graphs!$A$9</c:f>
              <c:strCache>
                <c:ptCount val="1"/>
                <c:pt idx="0">
                  <c:v>Net Revenues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val>
            <c:numRef>
              <c:f>[41]Graphs!$D$9:$I$9</c:f>
              <c:numCache>
                <c:formatCode>General</c:formatCode>
                <c:ptCount val="6"/>
                <c:pt idx="0">
                  <c:v>11523.05</c:v>
                </c:pt>
                <c:pt idx="1">
                  <c:v>15894.138593310578</c:v>
                </c:pt>
                <c:pt idx="2">
                  <c:v>17098.395720143559</c:v>
                </c:pt>
                <c:pt idx="3">
                  <c:v>18664.487052316032</c:v>
                </c:pt>
                <c:pt idx="4">
                  <c:v>20325.219127680062</c:v>
                </c:pt>
                <c:pt idx="5">
                  <c:v>22078.207162068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05856"/>
        <c:axId val="41699584"/>
      </c:lineChart>
      <c:catAx>
        <c:axId val="4169587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1697664"/>
        <c:crosses val="autoZero"/>
        <c:auto val="1"/>
        <c:lblAlgn val="ctr"/>
        <c:lblOffset val="100"/>
        <c:noMultiLvlLbl val="0"/>
      </c:catAx>
      <c:valAx>
        <c:axId val="41697664"/>
        <c:scaling>
          <c:orientation val="minMax"/>
          <c:max val="3500000"/>
          <c:min val="0"/>
        </c:scaling>
        <c:delete val="0"/>
        <c:axPos val="l"/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1695872"/>
        <c:crosses val="autoZero"/>
        <c:crossBetween val="between"/>
        <c:majorUnit val="500000"/>
        <c:dispUnits>
          <c:builtInUnit val="millions"/>
        </c:dispUnits>
      </c:valAx>
      <c:valAx>
        <c:axId val="41699584"/>
        <c:scaling>
          <c:orientation val="minMax"/>
        </c:scaling>
        <c:delete val="0"/>
        <c:axPos val="r"/>
        <c:numFmt formatCode="_-* #,##0_-;\-* #,##0_-;_-* &quot;-&quot;_-;_-@_-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1705856"/>
        <c:crosses val="max"/>
        <c:crossBetween val="between"/>
        <c:dispUnits>
          <c:builtInUnit val="thousands"/>
          <c:dispUnitsLbl>
            <c:layout/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</c:dispUnitsLbl>
        </c:dispUnits>
      </c:valAx>
      <c:catAx>
        <c:axId val="41705856"/>
        <c:scaling>
          <c:orientation val="minMax"/>
        </c:scaling>
        <c:delete val="1"/>
        <c:axPos val="b"/>
        <c:majorTickMark val="out"/>
        <c:minorTickMark val="none"/>
        <c:tickLblPos val="none"/>
        <c:crossAx val="41699584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13615192218619734"/>
          <c:y val="9.3966254218223067E-3"/>
          <c:w val="0.6511372549019605"/>
          <c:h val="0.14451233595800544"/>
        </c:manualLayout>
      </c:layout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7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171259842519689E-2"/>
          <c:y val="0.12711631046119762"/>
          <c:w val="0.83422703412073562"/>
          <c:h val="0.704032995875515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[41]Graphs!$A$17</c:f>
              <c:strCache>
                <c:ptCount val="1"/>
                <c:pt idx="0">
                  <c:v>PAT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[41]Graphs!$D$2:$I$2</c:f>
              <c:strCache>
                <c:ptCount val="6"/>
                <c:pt idx="0">
                  <c:v>FY12A</c:v>
                </c:pt>
                <c:pt idx="1">
                  <c:v>FY13E</c:v>
                </c:pt>
                <c:pt idx="2">
                  <c:v>FY14F</c:v>
                </c:pt>
                <c:pt idx="3">
                  <c:v>FY15F</c:v>
                </c:pt>
                <c:pt idx="4">
                  <c:v>FY16F</c:v>
                </c:pt>
                <c:pt idx="5">
                  <c:v>FY17F</c:v>
                </c:pt>
              </c:strCache>
            </c:strRef>
          </c:cat>
          <c:val>
            <c:numRef>
              <c:f>[41]Graphs!$D$17:$I$17</c:f>
              <c:numCache>
                <c:formatCode>General</c:formatCode>
                <c:ptCount val="6"/>
                <c:pt idx="0">
                  <c:v>552.58999999999924</c:v>
                </c:pt>
                <c:pt idx="1">
                  <c:v>2472.5621639549227</c:v>
                </c:pt>
                <c:pt idx="2">
                  <c:v>2988.6715025437948</c:v>
                </c:pt>
                <c:pt idx="3">
                  <c:v>3476.240209450797</c:v>
                </c:pt>
                <c:pt idx="4">
                  <c:v>3995.2194661777921</c:v>
                </c:pt>
                <c:pt idx="5">
                  <c:v>4477.1755909319854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182720"/>
        <c:axId val="43385216"/>
      </c:barChart>
      <c:lineChart>
        <c:grouping val="standard"/>
        <c:varyColors val="0"/>
        <c:ser>
          <c:idx val="1"/>
          <c:order val="1"/>
          <c:tx>
            <c:strRef>
              <c:f>[41]Graphs!$A$18</c:f>
              <c:strCache>
                <c:ptCount val="1"/>
                <c:pt idx="0">
                  <c:v>Net Margins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cat>
            <c:strRef>
              <c:f>[41]Graphs!$D$2:$I$2</c:f>
              <c:strCache>
                <c:ptCount val="6"/>
                <c:pt idx="0">
                  <c:v>FY12A</c:v>
                </c:pt>
                <c:pt idx="1">
                  <c:v>FY13E</c:v>
                </c:pt>
                <c:pt idx="2">
                  <c:v>FY14F</c:v>
                </c:pt>
                <c:pt idx="3">
                  <c:v>FY15F</c:v>
                </c:pt>
                <c:pt idx="4">
                  <c:v>FY16F</c:v>
                </c:pt>
                <c:pt idx="5">
                  <c:v>FY17F</c:v>
                </c:pt>
              </c:strCache>
            </c:strRef>
          </c:cat>
          <c:val>
            <c:numRef>
              <c:f>[41]Graphs!$D$18:$I$18</c:f>
              <c:numCache>
                <c:formatCode>General</c:formatCode>
                <c:ptCount val="6"/>
                <c:pt idx="0">
                  <c:v>4.7955185476067468E-2</c:v>
                </c:pt>
                <c:pt idx="1">
                  <c:v>0.15556440189816634</c:v>
                </c:pt>
                <c:pt idx="2">
                  <c:v>0.17479250986236397</c:v>
                </c:pt>
                <c:pt idx="3">
                  <c:v>0.18624890144084827</c:v>
                </c:pt>
                <c:pt idx="4">
                  <c:v>0.19656464420286965</c:v>
                </c:pt>
                <c:pt idx="5">
                  <c:v>0.20278709942644735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05312"/>
        <c:axId val="43387136"/>
      </c:lineChart>
      <c:catAx>
        <c:axId val="4318272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3385216"/>
        <c:crosses val="autoZero"/>
        <c:auto val="1"/>
        <c:lblAlgn val="ctr"/>
        <c:lblOffset val="100"/>
        <c:noMultiLvlLbl val="0"/>
      </c:catAx>
      <c:valAx>
        <c:axId val="43385216"/>
        <c:scaling>
          <c:orientation val="minMax"/>
        </c:scaling>
        <c:delete val="0"/>
        <c:axPos val="l"/>
        <c:numFmt formatCode="_-* #,##0_-;\-* #,##0_-;_-* &quot;-&quot;_-;_-@_-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3182720"/>
        <c:crosses val="autoZero"/>
        <c:crossBetween val="between"/>
        <c:majorUnit val="1000"/>
        <c:dispUnits>
          <c:builtInUnit val="thousands"/>
        </c:dispUnits>
      </c:valAx>
      <c:valAx>
        <c:axId val="43387136"/>
        <c:scaling>
          <c:orientation val="minMax"/>
          <c:max val="0.25"/>
          <c:min val="0.05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3405312"/>
        <c:crosses val="max"/>
        <c:crossBetween val="between"/>
        <c:majorUnit val="0.05"/>
      </c:valAx>
      <c:catAx>
        <c:axId val="43405312"/>
        <c:scaling>
          <c:orientation val="minMax"/>
        </c:scaling>
        <c:delete val="1"/>
        <c:axPos val="b"/>
        <c:majorTickMark val="out"/>
        <c:minorTickMark val="none"/>
        <c:tickLblPos val="none"/>
        <c:crossAx val="43387136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2616421182646288"/>
          <c:y val="1.7775778027746541E-3"/>
          <c:w val="0.68868467912099263"/>
          <c:h val="0.12165519310086237"/>
        </c:manualLayout>
      </c:layout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7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75459317585302"/>
          <c:y val="0.11003917613746535"/>
          <c:w val="0.8720424321959942"/>
          <c:h val="0.74439988104935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[41]Graphs!$A$72</c:f>
              <c:strCache>
                <c:ptCount val="1"/>
                <c:pt idx="0">
                  <c:v>EPS</c:v>
                </c:pt>
              </c:strCache>
            </c:strRef>
          </c:tx>
          <c:invertIfNegative val="0"/>
          <c:cat>
            <c:strRef>
              <c:f>[41]Graphs!$B$71:$G$71</c:f>
              <c:strCache>
                <c:ptCount val="6"/>
                <c:pt idx="0">
                  <c:v>FY12E</c:v>
                </c:pt>
                <c:pt idx="1">
                  <c:v>FY13F</c:v>
                </c:pt>
                <c:pt idx="2">
                  <c:v>FY14F</c:v>
                </c:pt>
                <c:pt idx="3">
                  <c:v>FY15F</c:v>
                </c:pt>
                <c:pt idx="4">
                  <c:v>FY16F</c:v>
                </c:pt>
                <c:pt idx="5">
                  <c:v>FY17F</c:v>
                </c:pt>
              </c:strCache>
            </c:strRef>
          </c:cat>
          <c:val>
            <c:numRef>
              <c:f>[41]Graphs!$B$72:$G$72</c:f>
              <c:numCache>
                <c:formatCode>General</c:formatCode>
                <c:ptCount val="6"/>
                <c:pt idx="0">
                  <c:v>0.28323381031161921</c:v>
                </c:pt>
                <c:pt idx="1">
                  <c:v>1.7059936963823303</c:v>
                </c:pt>
                <c:pt idx="2">
                  <c:v>2.0743976613783675</c:v>
                </c:pt>
                <c:pt idx="3">
                  <c:v>2.4306339158853025</c:v>
                </c:pt>
                <c:pt idx="4">
                  <c:v>3.0016675177894756</c:v>
                </c:pt>
                <c:pt idx="5">
                  <c:v>3.3637682877024684</c:v>
                </c:pt>
              </c:numCache>
            </c:numRef>
          </c:val>
        </c:ser>
        <c:ser>
          <c:idx val="1"/>
          <c:order val="1"/>
          <c:tx>
            <c:strRef>
              <c:f>[41]Graphs!$A$73</c:f>
              <c:strCache>
                <c:ptCount val="1"/>
                <c:pt idx="0">
                  <c:v>DPS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strRef>
              <c:f>[41]Graphs!$B$71:$G$71</c:f>
              <c:strCache>
                <c:ptCount val="6"/>
                <c:pt idx="0">
                  <c:v>FY12E</c:v>
                </c:pt>
                <c:pt idx="1">
                  <c:v>FY13F</c:v>
                </c:pt>
                <c:pt idx="2">
                  <c:v>FY14F</c:v>
                </c:pt>
                <c:pt idx="3">
                  <c:v>FY15F</c:v>
                </c:pt>
                <c:pt idx="4">
                  <c:v>FY16F</c:v>
                </c:pt>
                <c:pt idx="5">
                  <c:v>FY17F</c:v>
                </c:pt>
              </c:strCache>
            </c:strRef>
          </c:cat>
          <c:val>
            <c:numRef>
              <c:f>[41]Graphs!$B$73:$G$73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1.5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434752"/>
        <c:axId val="43436288"/>
      </c:barChart>
      <c:catAx>
        <c:axId val="43434752"/>
        <c:scaling>
          <c:orientation val="minMax"/>
        </c:scaling>
        <c:delete val="0"/>
        <c:axPos val="b"/>
        <c:majorTickMark val="out"/>
        <c:minorTickMark val="none"/>
        <c:tickLblPos val="nextTo"/>
        <c:crossAx val="43436288"/>
        <c:crosses val="autoZero"/>
        <c:auto val="1"/>
        <c:lblAlgn val="ctr"/>
        <c:lblOffset val="100"/>
        <c:noMultiLvlLbl val="0"/>
      </c:catAx>
      <c:valAx>
        <c:axId val="434362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3434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5483488197416743"/>
          <c:y val="5.1254800046545895E-2"/>
          <c:w val="0.42915056839761095"/>
          <c:h val="9.7522464864305713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7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1021" l="0.70000000000000062" r="0.70000000000000062" t="0.75000000000001021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848950505118491E-2"/>
          <c:y val="0.10124463414035863"/>
          <c:w val="0.80337064704519723"/>
          <c:h val="0.75612824097922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'Sheet2 (2)'!$B$25</c:f>
              <c:strCache>
                <c:ptCount val="1"/>
                <c:pt idx="0">
                  <c:v>PAT</c:v>
                </c:pt>
              </c:strCache>
            </c:strRef>
          </c:tx>
          <c:invertIfNegative val="0"/>
          <c:cat>
            <c:strRef>
              <c:f>'Sheet2 (2)'!$C$24:$H$24</c:f>
              <c:strCache>
                <c:ptCount val="6"/>
                <c:pt idx="0">
                  <c:v>FY12A</c:v>
                </c:pt>
                <c:pt idx="1">
                  <c:v>FY13E</c:v>
                </c:pt>
                <c:pt idx="2">
                  <c:v>FY14F</c:v>
                </c:pt>
                <c:pt idx="3">
                  <c:v>FY15F</c:v>
                </c:pt>
                <c:pt idx="4">
                  <c:v>FY16F</c:v>
                </c:pt>
                <c:pt idx="5">
                  <c:v>FY17F</c:v>
                </c:pt>
              </c:strCache>
            </c:strRef>
          </c:cat>
          <c:val>
            <c:numRef>
              <c:f>'Sheet2 (2)'!$C$25:$H$25</c:f>
              <c:numCache>
                <c:formatCode>0.00</c:formatCode>
                <c:ptCount val="6"/>
                <c:pt idx="0">
                  <c:v>4.1081179999999984</c:v>
                </c:pt>
                <c:pt idx="1">
                  <c:v>5.5021689999999968</c:v>
                </c:pt>
                <c:pt idx="2">
                  <c:v>5.9654979999999975</c:v>
                </c:pt>
                <c:pt idx="3">
                  <c:v>6.8457637506901161</c:v>
                </c:pt>
                <c:pt idx="4">
                  <c:v>7.5425141862334186</c:v>
                </c:pt>
                <c:pt idx="5">
                  <c:v>7.7569307345861924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130688"/>
        <c:axId val="44132224"/>
      </c:barChart>
      <c:lineChart>
        <c:grouping val="standard"/>
        <c:varyColors val="0"/>
        <c:ser>
          <c:idx val="1"/>
          <c:order val="1"/>
          <c:tx>
            <c:strRef>
              <c:f>'Sheet2 (2)'!$B$26</c:f>
              <c:strCache>
                <c:ptCount val="1"/>
                <c:pt idx="0">
                  <c:v>Net Margins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cat>
            <c:strRef>
              <c:f>'Sheet2 (2)'!$C$24:$H$24</c:f>
              <c:strCache>
                <c:ptCount val="6"/>
                <c:pt idx="0">
                  <c:v>FY12A</c:v>
                </c:pt>
                <c:pt idx="1">
                  <c:v>FY13E</c:v>
                </c:pt>
                <c:pt idx="2">
                  <c:v>FY14F</c:v>
                </c:pt>
                <c:pt idx="3">
                  <c:v>FY15F</c:v>
                </c:pt>
                <c:pt idx="4">
                  <c:v>FY16F</c:v>
                </c:pt>
                <c:pt idx="5">
                  <c:v>FY17F</c:v>
                </c:pt>
              </c:strCache>
            </c:strRef>
          </c:cat>
          <c:val>
            <c:numRef>
              <c:f>'Sheet2 (2)'!$C$26:$H$26</c:f>
              <c:numCache>
                <c:formatCode>0.00</c:formatCode>
                <c:ptCount val="6"/>
                <c:pt idx="0">
                  <c:v>0.17900410952523307</c:v>
                </c:pt>
                <c:pt idx="1">
                  <c:v>0.22082941816647045</c:v>
                </c:pt>
                <c:pt idx="2">
                  <c:v>0.2247526034558375</c:v>
                </c:pt>
                <c:pt idx="3">
                  <c:v>0.23486253804124851</c:v>
                </c:pt>
                <c:pt idx="4">
                  <c:v>0.24125878939335887</c:v>
                </c:pt>
                <c:pt idx="5">
                  <c:v>0.2371007619701585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35936"/>
        <c:axId val="44134400"/>
      </c:lineChart>
      <c:catAx>
        <c:axId val="44130688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crossAx val="44132224"/>
        <c:crosses val="autoZero"/>
        <c:auto val="1"/>
        <c:lblAlgn val="ctr"/>
        <c:lblOffset val="100"/>
        <c:noMultiLvlLbl val="0"/>
      </c:catAx>
      <c:valAx>
        <c:axId val="44132224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PKR bn</a:t>
                </a:r>
              </a:p>
            </c:rich>
          </c:tx>
          <c:layout>
            <c:manualLayout>
              <c:xMode val="edge"/>
              <c:yMode val="edge"/>
              <c:x val="1.4675131420538244E-2"/>
              <c:y val="1.4600044153359345E-3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44130688"/>
        <c:crosses val="autoZero"/>
        <c:crossBetween val="between"/>
        <c:majorUnit val="1"/>
      </c:valAx>
      <c:valAx>
        <c:axId val="44134400"/>
        <c:scaling>
          <c:orientation val="minMax"/>
          <c:max val="0.25"/>
          <c:min val="0.15000000000000024"/>
        </c:scaling>
        <c:delete val="0"/>
        <c:axPos val="r"/>
        <c:numFmt formatCode="0%" sourceLinked="0"/>
        <c:majorTickMark val="out"/>
        <c:minorTickMark val="none"/>
        <c:tickLblPos val="nextTo"/>
        <c:crossAx val="44135936"/>
        <c:crosses val="max"/>
        <c:crossBetween val="between"/>
        <c:majorUnit val="2.0000000000000011E-2"/>
        <c:minorUnit val="4.0000000000000114E-3"/>
      </c:valAx>
      <c:catAx>
        <c:axId val="44135936"/>
        <c:scaling>
          <c:orientation val="minMax"/>
        </c:scaling>
        <c:delete val="1"/>
        <c:axPos val="b"/>
        <c:majorTickMark val="out"/>
        <c:minorTickMark val="none"/>
        <c:tickLblPos val="none"/>
        <c:crossAx val="44134400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</c:spPr>
    </c:plotArea>
    <c:legend>
      <c:legendPos val="r"/>
      <c:layout>
        <c:manualLayout>
          <c:xMode val="edge"/>
          <c:yMode val="edge"/>
          <c:x val="0.37213888888889507"/>
          <c:y val="5.5171697287839022E-2"/>
          <c:w val="0.50024671916010499"/>
          <c:h val="0.1674343832021040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7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977" l="0.70000000000000062" r="0.70000000000000062" t="0.75000000000000977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83573928259022"/>
          <c:y val="0.11054017441368408"/>
          <c:w val="0.85101110067663566"/>
          <c:h val="0.77031115062230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'Sheet2 (2)'!$B$27</c:f>
              <c:strCache>
                <c:ptCount val="1"/>
                <c:pt idx="0">
                  <c:v>EPS</c:v>
                </c:pt>
              </c:strCache>
            </c:strRef>
          </c:tx>
          <c:invertIfNegative val="0"/>
          <c:cat>
            <c:strRef>
              <c:f>'Sheet2 (2)'!$C$24:$H$24</c:f>
              <c:strCache>
                <c:ptCount val="6"/>
                <c:pt idx="0">
                  <c:v>FY12A</c:v>
                </c:pt>
                <c:pt idx="1">
                  <c:v>FY13E</c:v>
                </c:pt>
                <c:pt idx="2">
                  <c:v>FY14F</c:v>
                </c:pt>
                <c:pt idx="3">
                  <c:v>FY15F</c:v>
                </c:pt>
                <c:pt idx="4">
                  <c:v>FY16F</c:v>
                </c:pt>
                <c:pt idx="5">
                  <c:v>FY17F</c:v>
                </c:pt>
              </c:strCache>
            </c:strRef>
          </c:cat>
          <c:val>
            <c:numRef>
              <c:f>'Sheet2 (2)'!$C$27:$H$27</c:f>
              <c:numCache>
                <c:formatCode>0.00</c:formatCode>
                <c:ptCount val="6"/>
                <c:pt idx="0">
                  <c:v>9.3767130041322062</c:v>
                </c:pt>
                <c:pt idx="1">
                  <c:v>12.558611902879393</c:v>
                </c:pt>
                <c:pt idx="2">
                  <c:v>13.616152864334634</c:v>
                </c:pt>
                <c:pt idx="3">
                  <c:v>15.625345227258054</c:v>
                </c:pt>
                <c:pt idx="4">
                  <c:v>17.215666846450507</c:v>
                </c:pt>
                <c:pt idx="5">
                  <c:v>17.705069156033776</c:v>
                </c:pt>
              </c:numCache>
            </c:numRef>
          </c:val>
        </c:ser>
        <c:ser>
          <c:idx val="1"/>
          <c:order val="1"/>
          <c:tx>
            <c:strRef>
              <c:f>'Sheet2 (2)'!$B$28</c:f>
              <c:strCache>
                <c:ptCount val="1"/>
                <c:pt idx="0">
                  <c:v>DPS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strRef>
              <c:f>'Sheet2 (2)'!$C$24:$H$24</c:f>
              <c:strCache>
                <c:ptCount val="6"/>
                <c:pt idx="0">
                  <c:v>FY12A</c:v>
                </c:pt>
                <c:pt idx="1">
                  <c:v>FY13E</c:v>
                </c:pt>
                <c:pt idx="2">
                  <c:v>FY14F</c:v>
                </c:pt>
                <c:pt idx="3">
                  <c:v>FY15F</c:v>
                </c:pt>
                <c:pt idx="4">
                  <c:v>FY16F</c:v>
                </c:pt>
                <c:pt idx="5">
                  <c:v>FY17F</c:v>
                </c:pt>
              </c:strCache>
            </c:strRef>
          </c:cat>
          <c:val>
            <c:numRef>
              <c:f>'Sheet2 (2)'!$C$28:$H$28</c:f>
              <c:numCache>
                <c:formatCode>0.00</c:formatCode>
                <c:ptCount val="6"/>
                <c:pt idx="0">
                  <c:v>1.5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169088"/>
        <c:axId val="44170624"/>
      </c:barChart>
      <c:catAx>
        <c:axId val="44169088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crossAx val="44170624"/>
        <c:crosses val="autoZero"/>
        <c:auto val="1"/>
        <c:lblAlgn val="ctr"/>
        <c:lblOffset val="100"/>
        <c:noMultiLvlLbl val="0"/>
      </c:catAx>
      <c:valAx>
        <c:axId val="44170624"/>
        <c:scaling>
          <c:orientation val="minMax"/>
          <c:max val="16"/>
        </c:scaling>
        <c:delete val="0"/>
        <c:axPos val="l"/>
        <c:numFmt formatCode="0" sourceLinked="0"/>
        <c:majorTickMark val="out"/>
        <c:minorTickMark val="none"/>
        <c:tickLblPos val="nextTo"/>
        <c:crossAx val="441690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5547229881463648"/>
          <c:y val="5.7949256342957077E-2"/>
          <c:w val="0.41123018467456912"/>
          <c:h val="0.20358238553514513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7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999" l="0.70000000000000062" r="0.70000000000000062" t="0.75000000000000999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83573928259022"/>
          <c:y val="0.10449771212226788"/>
          <c:w val="0.75959269489219605"/>
          <c:h val="0.756220007897243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'Sheet2 (2)'!$B$29</c:f>
              <c:strCache>
                <c:ptCount val="1"/>
                <c:pt idx="0">
                  <c:v>Total Volumes</c:v>
                </c:pt>
              </c:strCache>
            </c:strRef>
          </c:tx>
          <c:invertIfNegative val="0"/>
          <c:cat>
            <c:strRef>
              <c:f>'Sheet2 (2)'!$C$24:$H$24</c:f>
              <c:strCache>
                <c:ptCount val="6"/>
                <c:pt idx="0">
                  <c:v>FY12A</c:v>
                </c:pt>
                <c:pt idx="1">
                  <c:v>FY13E</c:v>
                </c:pt>
                <c:pt idx="2">
                  <c:v>FY14F</c:v>
                </c:pt>
                <c:pt idx="3">
                  <c:v>FY15F</c:v>
                </c:pt>
                <c:pt idx="4">
                  <c:v>FY16F</c:v>
                </c:pt>
                <c:pt idx="5">
                  <c:v>FY17F</c:v>
                </c:pt>
              </c:strCache>
            </c:strRef>
          </c:cat>
          <c:val>
            <c:numRef>
              <c:f>'Sheet2 (2)'!$C$29:$H$29</c:f>
              <c:numCache>
                <c:formatCode>_(* #,##0.00_);_(* \(#,##0.00\);_(* "-"??_);_(@_)</c:formatCode>
                <c:ptCount val="6"/>
                <c:pt idx="0">
                  <c:v>4.0189560000000002</c:v>
                </c:pt>
                <c:pt idx="1">
                  <c:v>3.9929130000000002</c:v>
                </c:pt>
                <c:pt idx="2">
                  <c:v>3.9564792</c:v>
                </c:pt>
                <c:pt idx="3">
                  <c:v>4.0447686960000002</c:v>
                </c:pt>
                <c:pt idx="4">
                  <c:v>4.1357068768800005</c:v>
                </c:pt>
                <c:pt idx="5">
                  <c:v>4.1357068768800005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209664"/>
        <c:axId val="44211200"/>
      </c:barChart>
      <c:lineChart>
        <c:grouping val="standard"/>
        <c:varyColors val="0"/>
        <c:ser>
          <c:idx val="1"/>
          <c:order val="1"/>
          <c:tx>
            <c:strRef>
              <c:f>'Sheet2 (2)'!$B$30</c:f>
              <c:strCache>
                <c:ptCount val="1"/>
                <c:pt idx="0">
                  <c:v>Net Revenues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cat>
            <c:strRef>
              <c:f>'Sheet2 (2)'!$C$24:$H$24</c:f>
              <c:strCache>
                <c:ptCount val="6"/>
                <c:pt idx="0">
                  <c:v>FY12A</c:v>
                </c:pt>
                <c:pt idx="1">
                  <c:v>FY13E</c:v>
                </c:pt>
                <c:pt idx="2">
                  <c:v>FY14F</c:v>
                </c:pt>
                <c:pt idx="3">
                  <c:v>FY15F</c:v>
                </c:pt>
                <c:pt idx="4">
                  <c:v>FY16F</c:v>
                </c:pt>
                <c:pt idx="5">
                  <c:v>FY17F</c:v>
                </c:pt>
              </c:strCache>
            </c:strRef>
          </c:cat>
          <c:val>
            <c:numRef>
              <c:f>'Sheet2 (2)'!$C$30:$H$30</c:f>
              <c:numCache>
                <c:formatCode>_(* #,##0.00_);_(* \(#,##0.00\);_(* "-"??_);_(@_)</c:formatCode>
                <c:ptCount val="6"/>
                <c:pt idx="0">
                  <c:v>22.949852999999997</c:v>
                </c:pt>
                <c:pt idx="1">
                  <c:v>24.915924</c:v>
                </c:pt>
                <c:pt idx="2">
                  <c:v>26.542508999999999</c:v>
                </c:pt>
                <c:pt idx="3">
                  <c:v>29.14795951616518</c:v>
                </c:pt>
                <c:pt idx="4">
                  <c:v>31.263168505483023</c:v>
                </c:pt>
                <c:pt idx="5">
                  <c:v>32.715756246968446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18624"/>
        <c:axId val="44217088"/>
      </c:lineChart>
      <c:catAx>
        <c:axId val="44209664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crossAx val="44211200"/>
        <c:crosses val="autoZero"/>
        <c:auto val="1"/>
        <c:lblAlgn val="ctr"/>
        <c:lblOffset val="100"/>
        <c:noMultiLvlLbl val="0"/>
      </c:catAx>
      <c:valAx>
        <c:axId val="44211200"/>
        <c:scaling>
          <c:orientation val="minMax"/>
          <c:max val="4.3"/>
          <c:min val="3.8"/>
        </c:scaling>
        <c:delete val="0"/>
        <c:axPos val="l"/>
        <c:numFmt formatCode="_(* #,##0.0_);_(* \(#,##0.0\);_(* &quot;-&quot;?_);_(@_)" sourceLinked="0"/>
        <c:majorTickMark val="out"/>
        <c:minorTickMark val="none"/>
        <c:tickLblPos val="nextTo"/>
        <c:crossAx val="44209664"/>
        <c:crosses val="autoZero"/>
        <c:crossBetween val="between"/>
        <c:majorUnit val="0.1"/>
        <c:minorUnit val="1.0000000000000041E-3"/>
      </c:valAx>
      <c:valAx>
        <c:axId val="44217088"/>
        <c:scaling>
          <c:orientation val="minMax"/>
          <c:max val="33"/>
          <c:min val="22"/>
        </c:scaling>
        <c:delete val="0"/>
        <c:axPos val="r"/>
        <c:numFmt formatCode="_-* #,##0_-;\-* #,##0_-;_-* &quot;-&quot;_-;_-@_-" sourceLinked="0"/>
        <c:majorTickMark val="out"/>
        <c:minorTickMark val="none"/>
        <c:tickLblPos val="nextTo"/>
        <c:crossAx val="44218624"/>
        <c:crosses val="max"/>
        <c:crossBetween val="between"/>
      </c:valAx>
      <c:catAx>
        <c:axId val="44218624"/>
        <c:scaling>
          <c:orientation val="minMax"/>
        </c:scaling>
        <c:delete val="1"/>
        <c:axPos val="b"/>
        <c:majorTickMark val="out"/>
        <c:minorTickMark val="none"/>
        <c:tickLblPos val="none"/>
        <c:crossAx val="44217088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11173269571670059"/>
          <c:y val="4.2458879702235294E-3"/>
          <c:w val="0.60431078314163456"/>
          <c:h val="0.2083590504992124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7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999" l="0.70000000000000062" r="0.70000000000000062" t="0.75000000000000999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83573928259022"/>
          <c:y val="5.1400554097404488E-2"/>
          <c:w val="0.76538407699038868"/>
          <c:h val="0.8133097470828635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'Sheet2 (2)'!$B$31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strRef>
              <c:f>'Sheet2 (2)'!$C$24:$H$24</c:f>
              <c:strCache>
                <c:ptCount val="6"/>
                <c:pt idx="0">
                  <c:v>FY12A</c:v>
                </c:pt>
                <c:pt idx="1">
                  <c:v>FY13E</c:v>
                </c:pt>
                <c:pt idx="2">
                  <c:v>FY14F</c:v>
                </c:pt>
                <c:pt idx="3">
                  <c:v>FY15F</c:v>
                </c:pt>
                <c:pt idx="4">
                  <c:v>FY16F</c:v>
                </c:pt>
                <c:pt idx="5">
                  <c:v>FY17F</c:v>
                </c:pt>
              </c:strCache>
            </c:strRef>
          </c:cat>
          <c:val>
            <c:numRef>
              <c:f>'Sheet2 (2)'!$C$31:$H$31</c:f>
              <c:numCache>
                <c:formatCode>_(* #,##0.00_);_(* \(#,##0.00\);_(* "-"??_);_(@_)</c:formatCode>
                <c:ptCount val="6"/>
                <c:pt idx="0">
                  <c:v>2.7655340000000002</c:v>
                </c:pt>
                <c:pt idx="1">
                  <c:v>2.8991579999999999</c:v>
                </c:pt>
                <c:pt idx="2">
                  <c:v>2.9429832</c:v>
                </c:pt>
                <c:pt idx="3">
                  <c:v>3.0312726960000003</c:v>
                </c:pt>
                <c:pt idx="4">
                  <c:v>3.1222108768800005</c:v>
                </c:pt>
                <c:pt idx="5">
                  <c:v>3.1222108768800005</c:v>
                </c:pt>
              </c:numCache>
            </c:numRef>
          </c:val>
        </c:ser>
        <c:ser>
          <c:idx val="1"/>
          <c:order val="1"/>
          <c:tx>
            <c:strRef>
              <c:f>'Sheet2 (2)'!$B$32</c:f>
              <c:strCache>
                <c:ptCount val="1"/>
                <c:pt idx="0">
                  <c:v>Exports</c:v>
                </c:pt>
              </c:strCache>
            </c:strRef>
          </c:tx>
          <c:invertIfNegative val="0"/>
          <c:cat>
            <c:strRef>
              <c:f>'Sheet2 (2)'!$C$24:$H$24</c:f>
              <c:strCache>
                <c:ptCount val="6"/>
                <c:pt idx="0">
                  <c:v>FY12A</c:v>
                </c:pt>
                <c:pt idx="1">
                  <c:v>FY13E</c:v>
                </c:pt>
                <c:pt idx="2">
                  <c:v>FY14F</c:v>
                </c:pt>
                <c:pt idx="3">
                  <c:v>FY15F</c:v>
                </c:pt>
                <c:pt idx="4">
                  <c:v>FY16F</c:v>
                </c:pt>
                <c:pt idx="5">
                  <c:v>FY17F</c:v>
                </c:pt>
              </c:strCache>
            </c:strRef>
          </c:cat>
          <c:val>
            <c:numRef>
              <c:f>'Sheet2 (2)'!$C$32:$H$32</c:f>
              <c:numCache>
                <c:formatCode>_(* #,##0.00_);_(* \(#,##0.00\);_(* "-"??_);_(@_)</c:formatCode>
                <c:ptCount val="6"/>
                <c:pt idx="0">
                  <c:v>1.253422</c:v>
                </c:pt>
                <c:pt idx="1">
                  <c:v>1.093755</c:v>
                </c:pt>
                <c:pt idx="2">
                  <c:v>1.013496</c:v>
                </c:pt>
                <c:pt idx="3">
                  <c:v>1.013496</c:v>
                </c:pt>
                <c:pt idx="4">
                  <c:v>1.013496</c:v>
                </c:pt>
                <c:pt idx="5">
                  <c:v>1.013496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931136"/>
        <c:axId val="43932672"/>
      </c:barChart>
      <c:lineChart>
        <c:grouping val="standard"/>
        <c:varyColors val="0"/>
        <c:ser>
          <c:idx val="2"/>
          <c:order val="2"/>
          <c:tx>
            <c:strRef>
              <c:f>'Sheet2 (2)'!$B$33</c:f>
              <c:strCache>
                <c:ptCount val="1"/>
                <c:pt idx="0">
                  <c:v>Capacity Utillization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cat>
            <c:strRef>
              <c:f>'Sheet2 (2)'!$C$24:$H$24</c:f>
              <c:strCache>
                <c:ptCount val="6"/>
                <c:pt idx="0">
                  <c:v>FY12A</c:v>
                </c:pt>
                <c:pt idx="1">
                  <c:v>FY13E</c:v>
                </c:pt>
                <c:pt idx="2">
                  <c:v>FY14F</c:v>
                </c:pt>
                <c:pt idx="3">
                  <c:v>FY15F</c:v>
                </c:pt>
                <c:pt idx="4">
                  <c:v>FY16F</c:v>
                </c:pt>
                <c:pt idx="5">
                  <c:v>FY17F</c:v>
                </c:pt>
              </c:strCache>
            </c:strRef>
          </c:cat>
          <c:val>
            <c:numRef>
              <c:f>'Sheet2 (2)'!$C$33:$H$33</c:f>
              <c:numCache>
                <c:formatCode>0.00</c:formatCode>
                <c:ptCount val="6"/>
                <c:pt idx="0">
                  <c:v>0.95213361762615489</c:v>
                </c:pt>
                <c:pt idx="1">
                  <c:v>0.94596375266524524</c:v>
                </c:pt>
                <c:pt idx="2">
                  <c:v>0.93733219616204699</c:v>
                </c:pt>
                <c:pt idx="3">
                  <c:v>0.95824892110874216</c:v>
                </c:pt>
                <c:pt idx="4">
                  <c:v>0.97979314780383808</c:v>
                </c:pt>
                <c:pt idx="5">
                  <c:v>0.97979314780383808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52768"/>
        <c:axId val="43951232"/>
      </c:lineChart>
      <c:catAx>
        <c:axId val="43931136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crossAx val="43932672"/>
        <c:crosses val="autoZero"/>
        <c:auto val="1"/>
        <c:lblAlgn val="ctr"/>
        <c:lblOffset val="100"/>
        <c:noMultiLvlLbl val="0"/>
      </c:catAx>
      <c:valAx>
        <c:axId val="43932672"/>
        <c:scaling>
          <c:orientation val="minMax"/>
          <c:max val="5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mn tons</a:t>
                </a:r>
              </a:p>
            </c:rich>
          </c:tx>
          <c:layout>
            <c:manualLayout>
              <c:xMode val="edge"/>
              <c:yMode val="edge"/>
              <c:x val="7.9269077820100491E-3"/>
              <c:y val="2.228641242266927E-3"/>
            </c:manualLayout>
          </c:layout>
          <c:overlay val="0"/>
        </c:title>
        <c:numFmt formatCode="_-* #,##0_-;\-* #,##0_-;_-* &quot;-&quot;_-;_-@_-" sourceLinked="0"/>
        <c:majorTickMark val="out"/>
        <c:minorTickMark val="none"/>
        <c:tickLblPos val="nextTo"/>
        <c:crossAx val="43931136"/>
        <c:crosses val="autoZero"/>
        <c:crossBetween val="between"/>
        <c:majorUnit val="1"/>
      </c:valAx>
      <c:valAx>
        <c:axId val="43951232"/>
        <c:scaling>
          <c:orientation val="minMax"/>
          <c:max val="1"/>
          <c:min val="0.94000000000000061"/>
        </c:scaling>
        <c:delete val="0"/>
        <c:axPos val="r"/>
        <c:numFmt formatCode="0%" sourceLinked="0"/>
        <c:majorTickMark val="out"/>
        <c:minorTickMark val="none"/>
        <c:tickLblPos val="nextTo"/>
        <c:crossAx val="43952768"/>
        <c:crosses val="max"/>
        <c:crossBetween val="between"/>
      </c:valAx>
      <c:catAx>
        <c:axId val="43952768"/>
        <c:scaling>
          <c:orientation val="minMax"/>
        </c:scaling>
        <c:delete val="1"/>
        <c:axPos val="b"/>
        <c:majorTickMark val="out"/>
        <c:minorTickMark val="none"/>
        <c:tickLblPos val="none"/>
        <c:crossAx val="43951232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19128657242249344"/>
          <c:y val="2.1414899386860212E-3"/>
          <c:w val="0.66466147924629571"/>
          <c:h val="0.1668044374073108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7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1021" l="0.70000000000000062" r="0.70000000000000062" t="0.75000000000001021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75240594925633"/>
          <c:y val="0.14141466493903451"/>
          <c:w val="0.77771741032372699"/>
          <c:h val="0.7039813061342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'Sheet2 (2)'!$B$35</c:f>
              <c:strCache>
                <c:ptCount val="1"/>
                <c:pt idx="0">
                  <c:v>Ex-Factory Price (LHS)</c:v>
                </c:pt>
              </c:strCache>
            </c:strRef>
          </c:tx>
          <c:invertIfNegative val="0"/>
          <c:cat>
            <c:strRef>
              <c:f>'Sheet2 (2)'!$C$24:$H$24</c:f>
              <c:strCache>
                <c:ptCount val="6"/>
                <c:pt idx="0">
                  <c:v>FY12A</c:v>
                </c:pt>
                <c:pt idx="1">
                  <c:v>FY13E</c:v>
                </c:pt>
                <c:pt idx="2">
                  <c:v>FY14F</c:v>
                </c:pt>
                <c:pt idx="3">
                  <c:v>FY15F</c:v>
                </c:pt>
                <c:pt idx="4">
                  <c:v>FY16F</c:v>
                </c:pt>
                <c:pt idx="5">
                  <c:v>FY17F</c:v>
                </c:pt>
              </c:strCache>
            </c:strRef>
          </c:cat>
          <c:val>
            <c:numRef>
              <c:f>'Sheet2 (2)'!$C$35:$H$35</c:f>
              <c:numCache>
                <c:formatCode>0.00</c:formatCode>
                <c:ptCount val="6"/>
                <c:pt idx="0">
                  <c:v>366.25997004556802</c:v>
                </c:pt>
                <c:pt idx="1">
                  <c:v>392.07402632074553</c:v>
                </c:pt>
                <c:pt idx="2">
                  <c:v>446.76585309763243</c:v>
                </c:pt>
                <c:pt idx="3">
                  <c:v>464.63648722153772</c:v>
                </c:pt>
                <c:pt idx="4">
                  <c:v>483.22194671039927</c:v>
                </c:pt>
                <c:pt idx="5">
                  <c:v>502.55082457881525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979136"/>
        <c:axId val="43980672"/>
      </c:barChart>
      <c:lineChart>
        <c:grouping val="standard"/>
        <c:varyColors val="0"/>
        <c:ser>
          <c:idx val="1"/>
          <c:order val="1"/>
          <c:tx>
            <c:strRef>
              <c:f>'Sheet2 (2)'!$B$36</c:f>
              <c:strCache>
                <c:ptCount val="1"/>
                <c:pt idx="0">
                  <c:v>Net Revenues (RHS)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'Sheet2 (2)'!$C$36:$H$36</c:f>
              <c:numCache>
                <c:formatCode>_(* #,##0.00_);_(* \(#,##0.00\);_(* "-"??_);_(@_)</c:formatCode>
                <c:ptCount val="6"/>
                <c:pt idx="0">
                  <c:v>22.949852999999997</c:v>
                </c:pt>
                <c:pt idx="1">
                  <c:v>24.915924</c:v>
                </c:pt>
                <c:pt idx="2">
                  <c:v>26.542508999999999</c:v>
                </c:pt>
                <c:pt idx="3">
                  <c:v>29.14795951616518</c:v>
                </c:pt>
                <c:pt idx="4">
                  <c:v>31.263168505483023</c:v>
                </c:pt>
                <c:pt idx="5">
                  <c:v>32.715756246968446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88096"/>
        <c:axId val="43982208"/>
      </c:lineChart>
      <c:catAx>
        <c:axId val="43979136"/>
        <c:scaling>
          <c:orientation val="minMax"/>
        </c:scaling>
        <c:delete val="0"/>
        <c:axPos val="b"/>
        <c:majorTickMark val="out"/>
        <c:minorTickMark val="none"/>
        <c:tickLblPos val="nextTo"/>
        <c:crossAx val="43980672"/>
        <c:crosses val="autoZero"/>
        <c:auto val="1"/>
        <c:lblAlgn val="ctr"/>
        <c:lblOffset val="100"/>
        <c:noMultiLvlLbl val="0"/>
      </c:catAx>
      <c:valAx>
        <c:axId val="43980672"/>
        <c:scaling>
          <c:orientation val="minMax"/>
          <c:max val="460"/>
          <c:min val="350"/>
        </c:scaling>
        <c:delete val="0"/>
        <c:axPos val="l"/>
        <c:numFmt formatCode="0" sourceLinked="0"/>
        <c:majorTickMark val="out"/>
        <c:minorTickMark val="none"/>
        <c:tickLblPos val="nextTo"/>
        <c:crossAx val="43979136"/>
        <c:crosses val="autoZero"/>
        <c:crossBetween val="between"/>
        <c:majorUnit val="10"/>
      </c:valAx>
      <c:valAx>
        <c:axId val="43982208"/>
        <c:scaling>
          <c:orientation val="minMax"/>
          <c:max val="34"/>
          <c:min val="22"/>
        </c:scaling>
        <c:delete val="0"/>
        <c:axPos val="r"/>
        <c:numFmt formatCode="_-* #,##0_-;\-* #,##0_-;_-* &quot;-&quot;_-;_-@_-" sourceLinked="0"/>
        <c:majorTickMark val="out"/>
        <c:minorTickMark val="none"/>
        <c:tickLblPos val="nextTo"/>
        <c:crossAx val="43988096"/>
        <c:crosses val="max"/>
        <c:crossBetween val="between"/>
        <c:majorUnit val="2"/>
      </c:valAx>
      <c:catAx>
        <c:axId val="43988096"/>
        <c:scaling>
          <c:orientation val="minMax"/>
        </c:scaling>
        <c:delete val="1"/>
        <c:axPos val="b"/>
        <c:majorTickMark val="out"/>
        <c:minorTickMark val="none"/>
        <c:tickLblPos val="none"/>
        <c:crossAx val="43982208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18073600174978124"/>
          <c:y val="3.6653178769321483E-2"/>
          <c:w val="0.57759733158355264"/>
          <c:h val="0.16550051496727466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7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866" l="0.70000000000000062" r="0.70000000000000062" t="0.75000000000000866" header="0.30000000000000032" footer="0.30000000000000032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2244094488189"/>
          <c:y val="0.1165858811715981"/>
          <c:w val="0.72071762904636916"/>
          <c:h val="0.73303971212120145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'Sheet2 (2)'!$B$39</c:f>
              <c:strCache>
                <c:ptCount val="1"/>
                <c:pt idx="0">
                  <c:v>Short Term Loan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strRef>
              <c:f>'Sheet2 (2)'!$C$37:$G$37</c:f>
              <c:strCache>
                <c:ptCount val="5"/>
                <c:pt idx="0">
                  <c:v>FY12A</c:v>
                </c:pt>
                <c:pt idx="1">
                  <c:v>FY13E</c:v>
                </c:pt>
                <c:pt idx="2">
                  <c:v>FY14F</c:v>
                </c:pt>
                <c:pt idx="3">
                  <c:v>FY15F</c:v>
                </c:pt>
                <c:pt idx="4">
                  <c:v>FY16F</c:v>
                </c:pt>
              </c:strCache>
            </c:strRef>
          </c:cat>
          <c:val>
            <c:numRef>
              <c:f>'Sheet2 (2)'!$C$39:$G$39</c:f>
              <c:numCache>
                <c:formatCode>_(* #,##0_);_(* \(#,##0\);_(* "-"??_);_(@_)</c:formatCode>
                <c:ptCount val="5"/>
                <c:pt idx="0">
                  <c:v>6733.4669999999996</c:v>
                </c:pt>
                <c:pt idx="1">
                  <c:v>5420.29</c:v>
                </c:pt>
                <c:pt idx="2">
                  <c:v>2551.6759999999999</c:v>
                </c:pt>
                <c:pt idx="3">
                  <c:v>3000</c:v>
                </c:pt>
                <c:pt idx="4">
                  <c:v>3000</c:v>
                </c:pt>
              </c:numCache>
            </c:numRef>
          </c:val>
        </c:ser>
        <c:ser>
          <c:idx val="2"/>
          <c:order val="2"/>
          <c:tx>
            <c:strRef>
              <c:f>'Sheet2 (2)'!$B$40</c:f>
              <c:strCache>
                <c:ptCount val="1"/>
                <c:pt idx="0">
                  <c:v>Long Term Loan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'Sheet2 (2)'!$C$37:$G$37</c:f>
              <c:strCache>
                <c:ptCount val="5"/>
                <c:pt idx="0">
                  <c:v>FY12A</c:v>
                </c:pt>
                <c:pt idx="1">
                  <c:v>FY13E</c:v>
                </c:pt>
                <c:pt idx="2">
                  <c:v>FY14F</c:v>
                </c:pt>
                <c:pt idx="3">
                  <c:v>FY15F</c:v>
                </c:pt>
                <c:pt idx="4">
                  <c:v>FY16F</c:v>
                </c:pt>
              </c:strCache>
            </c:strRef>
          </c:cat>
          <c:val>
            <c:numRef>
              <c:f>'Sheet2 (2)'!$C$40:$G$40</c:f>
              <c:numCache>
                <c:formatCode>_(* #,##0_);_(* \(#,##0\);_(* "-"??_);_(@_)</c:formatCode>
                <c:ptCount val="5"/>
                <c:pt idx="0">
                  <c:v>6794.6440000000002</c:v>
                </c:pt>
                <c:pt idx="1">
                  <c:v>4339.2190000000001</c:v>
                </c:pt>
                <c:pt idx="2">
                  <c:v>2124.183</c:v>
                </c:pt>
                <c:pt idx="3">
                  <c:v>1455.0647689935065</c:v>
                </c:pt>
                <c:pt idx="4">
                  <c:v>669.66814916396106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020096"/>
        <c:axId val="44021632"/>
      </c:barChart>
      <c:lineChart>
        <c:grouping val="standard"/>
        <c:varyColors val="0"/>
        <c:ser>
          <c:idx val="0"/>
          <c:order val="0"/>
          <c:tx>
            <c:strRef>
              <c:f>'Sheet2 (2)'!$B$38</c:f>
              <c:strCache>
                <c:ptCount val="1"/>
                <c:pt idx="0">
                  <c:v>Finance Cost (RHS)</c:v>
                </c:pt>
              </c:strCache>
            </c:strRef>
          </c:tx>
          <c:marker>
            <c:symbol val="none"/>
          </c:marker>
          <c:cat>
            <c:strRef>
              <c:f>'Sheet2 (2)'!$C$37:$G$37</c:f>
              <c:strCache>
                <c:ptCount val="5"/>
                <c:pt idx="0">
                  <c:v>FY12A</c:v>
                </c:pt>
                <c:pt idx="1">
                  <c:v>FY13E</c:v>
                </c:pt>
                <c:pt idx="2">
                  <c:v>FY14F</c:v>
                </c:pt>
                <c:pt idx="3">
                  <c:v>FY15F</c:v>
                </c:pt>
                <c:pt idx="4">
                  <c:v>FY16F</c:v>
                </c:pt>
              </c:strCache>
            </c:strRef>
          </c:cat>
          <c:val>
            <c:numRef>
              <c:f>'Sheet2 (2)'!$C$38:$G$38</c:f>
              <c:numCache>
                <c:formatCode>_(* #,##0_);_(* \(#,##0\);_(* "-"??_);_(@_)</c:formatCode>
                <c:ptCount val="5"/>
                <c:pt idx="0">
                  <c:v>1670.7840000000001</c:v>
                </c:pt>
                <c:pt idx="1">
                  <c:v>994.87900000000002</c:v>
                </c:pt>
                <c:pt idx="2">
                  <c:v>608.85900000000004</c:v>
                </c:pt>
                <c:pt idx="3">
                  <c:v>496.05678290588475</c:v>
                </c:pt>
                <c:pt idx="4">
                  <c:v>411.52768508760653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37248"/>
        <c:axId val="44023168"/>
      </c:lineChart>
      <c:catAx>
        <c:axId val="44020096"/>
        <c:scaling>
          <c:orientation val="minMax"/>
        </c:scaling>
        <c:delete val="0"/>
        <c:axPos val="b"/>
        <c:majorTickMark val="out"/>
        <c:minorTickMark val="none"/>
        <c:tickLblPos val="nextTo"/>
        <c:crossAx val="44021632"/>
        <c:crosses val="autoZero"/>
        <c:auto val="1"/>
        <c:lblAlgn val="ctr"/>
        <c:lblOffset val="100"/>
        <c:noMultiLvlLbl val="0"/>
      </c:catAx>
      <c:valAx>
        <c:axId val="44021632"/>
        <c:scaling>
          <c:orientation val="minMax"/>
        </c:scaling>
        <c:delete val="0"/>
        <c:axPos val="l"/>
        <c:numFmt formatCode="_(* #,##0_);_(* \(#,##0\);_(* &quot;-&quot;??_);_(@_)" sourceLinked="1"/>
        <c:majorTickMark val="out"/>
        <c:minorTickMark val="none"/>
        <c:tickLblPos val="nextTo"/>
        <c:crossAx val="44020096"/>
        <c:crosses val="autoZero"/>
        <c:crossBetween val="between"/>
      </c:valAx>
      <c:valAx>
        <c:axId val="44023168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crossAx val="44037248"/>
        <c:crosses val="max"/>
        <c:crossBetween val="between"/>
      </c:valAx>
      <c:catAx>
        <c:axId val="44037248"/>
        <c:scaling>
          <c:orientation val="minMax"/>
        </c:scaling>
        <c:delete val="1"/>
        <c:axPos val="b"/>
        <c:majorTickMark val="out"/>
        <c:minorTickMark val="none"/>
        <c:tickLblPos val="none"/>
        <c:crossAx val="44023168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15560454317949368"/>
          <c:y val="2.7202021541325852E-2"/>
          <c:w val="0.69161601425575414"/>
          <c:h val="0.1241103718123795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7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866" l="0.70000000000000062" r="0.70000000000000062" t="0.75000000000000866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10" Type="http://schemas.openxmlformats.org/officeDocument/2006/relationships/chart" Target="../charts/chart15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733425</xdr:colOff>
      <xdr:row>18</xdr:row>
      <xdr:rowOff>9525</xdr:rowOff>
    </xdr:from>
    <xdr:to>
      <xdr:col>13</xdr:col>
      <xdr:colOff>371475</xdr:colOff>
      <xdr:row>28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9</xdr:col>
      <xdr:colOff>0</xdr:colOff>
      <xdr:row>42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38100</xdr:colOff>
      <xdr:row>45</xdr:row>
      <xdr:rowOff>114299</xdr:rowOff>
    </xdr:from>
    <xdr:to>
      <xdr:col>38</xdr:col>
      <xdr:colOff>476250</xdr:colOff>
      <xdr:row>77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0.10971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0" y="0"/>
          <a:ext cx="3114675" cy="2476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905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t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Tw Cen MT"/>
            </a:defRPr>
          </a:lvl1pPr>
          <a:lvl2pPr marL="457200" indent="0">
            <a:defRPr sz="1100">
              <a:solidFill>
                <a:sysClr val="window" lastClr="FFFFFF"/>
              </a:solidFill>
              <a:latin typeface="Tw Cen MT"/>
            </a:defRPr>
          </a:lvl2pPr>
          <a:lvl3pPr marL="914400" indent="0">
            <a:defRPr sz="1100">
              <a:solidFill>
                <a:sysClr val="window" lastClr="FFFFFF"/>
              </a:solidFill>
              <a:latin typeface="Tw Cen MT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Tw Cen MT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Tw Cen MT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Tw Cen MT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Tw Cen MT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Tw Cen MT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Tw Cen MT"/>
            </a:defRPr>
          </a:lvl9pPr>
        </a:lstStyle>
        <a:p xmlns:a="http://schemas.openxmlformats.org/drawingml/2006/main">
          <a:r>
            <a:rPr lang="en-US" sz="1000" b="1" dirty="0">
              <a:solidFill>
                <a:sysClr val="windowText" lastClr="000000"/>
              </a:solidFill>
              <a:latin typeface="Calibri" pitchFamily="34" charset="0"/>
              <a:cs typeface="Calibri" pitchFamily="34" charset="0"/>
            </a:rPr>
            <a:t>Improving margins</a:t>
          </a:r>
          <a:r>
            <a:rPr lang="en-US" sz="1000" b="1" baseline="0" dirty="0">
              <a:solidFill>
                <a:sysClr val="windowText" lastClr="000000"/>
              </a:solidFill>
              <a:latin typeface="Calibri" pitchFamily="34" charset="0"/>
              <a:cs typeface="Calibri" pitchFamily="34" charset="0"/>
            </a:rPr>
            <a:t> leading to strong earnings</a:t>
          </a:r>
          <a:endParaRPr lang="en-US" sz="1000" b="1" dirty="0">
            <a:solidFill>
              <a:sysClr val="windowText" lastClr="000000"/>
            </a:solidFill>
            <a:latin typeface="Calibri" pitchFamily="34" charset="0"/>
            <a:cs typeface="Calibri" pitchFamily="34" charset="0"/>
          </a:endParaRPr>
        </a:p>
      </cdr:txBody>
    </cdr:sp>
  </cdr:relSizeAnchor>
  <cdr:relSizeAnchor xmlns:cdr="http://schemas.openxmlformats.org/drawingml/2006/chartDrawing">
    <cdr:from>
      <cdr:x>0</cdr:x>
      <cdr:y>0.09705</cdr:y>
    </cdr:from>
    <cdr:to>
      <cdr:x>0.17764</cdr:x>
      <cdr:y>0.20079</cdr:y>
    </cdr:to>
    <cdr:sp macro="" textlink="">
      <cdr:nvSpPr>
        <cdr:cNvPr id="3" name="TextBox 4"/>
        <cdr:cNvSpPr txBox="1"/>
      </cdr:nvSpPr>
      <cdr:spPr>
        <a:xfrm xmlns:a="http://schemas.openxmlformats.org/drawingml/2006/main">
          <a:off x="0" y="219075"/>
          <a:ext cx="553279" cy="2341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Tw Cen MT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Tw Cen MT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Tw Cen MT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Tw Cen MT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Tw Cen MT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Tw Cen MT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Tw Cen MT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Tw Cen MT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Tw Cen MT"/>
            </a:defRPr>
          </a:lvl9pPr>
        </a:lstStyle>
        <a:p xmlns:a="http://schemas.openxmlformats.org/drawingml/2006/main">
          <a:pPr algn="l"/>
          <a:r>
            <a:rPr lang="en-US" sz="700" dirty="0" err="1">
              <a:latin typeface="Arial" pitchFamily="34" charset="0"/>
              <a:cs typeface="Arial" pitchFamily="34" charset="0"/>
            </a:rPr>
            <a:t>PKR</a:t>
          </a:r>
          <a:endParaRPr lang="en-US" sz="700" dirty="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16</xdr:row>
      <xdr:rowOff>85725</xdr:rowOff>
    </xdr:from>
    <xdr:to>
      <xdr:col>7</xdr:col>
      <xdr:colOff>438150</xdr:colOff>
      <xdr:row>28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390525</xdr:colOff>
      <xdr:row>5</xdr:row>
      <xdr:rowOff>142876</xdr:rowOff>
    </xdr:from>
    <xdr:to>
      <xdr:col>7</xdr:col>
      <xdr:colOff>285750</xdr:colOff>
      <xdr:row>16</xdr:row>
      <xdr:rowOff>66676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11</xdr:col>
      <xdr:colOff>47625</xdr:colOff>
      <xdr:row>11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12</xdr:row>
      <xdr:rowOff>0</xdr:rowOff>
    </xdr:from>
    <xdr:to>
      <xdr:col>10</xdr:col>
      <xdr:colOff>600075</xdr:colOff>
      <xdr:row>21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371475</xdr:colOff>
      <xdr:row>0</xdr:row>
      <xdr:rowOff>95250</xdr:rowOff>
    </xdr:from>
    <xdr:to>
      <xdr:col>6</xdr:col>
      <xdr:colOff>361950</xdr:colOff>
      <xdr:row>10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542925</xdr:colOff>
      <xdr:row>12</xdr:row>
      <xdr:rowOff>1</xdr:rowOff>
    </xdr:from>
    <xdr:to>
      <xdr:col>5</xdr:col>
      <xdr:colOff>495300</xdr:colOff>
      <xdr:row>22</xdr:row>
      <xdr:rowOff>19051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85725</xdr:colOff>
      <xdr:row>56</xdr:row>
      <xdr:rowOff>152401</xdr:rowOff>
    </xdr:from>
    <xdr:to>
      <xdr:col>8</xdr:col>
      <xdr:colOff>0</xdr:colOff>
      <xdr:row>69</xdr:row>
      <xdr:rowOff>85726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171450</xdr:colOff>
      <xdr:row>28</xdr:row>
      <xdr:rowOff>76200</xdr:rowOff>
    </xdr:from>
    <xdr:to>
      <xdr:col>15</xdr:col>
      <xdr:colOff>371475</xdr:colOff>
      <xdr:row>39</xdr:row>
      <xdr:rowOff>9525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466726</xdr:colOff>
      <xdr:row>63</xdr:row>
      <xdr:rowOff>133350</xdr:rowOff>
    </xdr:from>
    <xdr:to>
      <xdr:col>14</xdr:col>
      <xdr:colOff>200026</xdr:colOff>
      <xdr:row>77</xdr:row>
      <xdr:rowOff>19050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381000</xdr:colOff>
      <xdr:row>47</xdr:row>
      <xdr:rowOff>57150</xdr:rowOff>
    </xdr:from>
    <xdr:to>
      <xdr:col>12</xdr:col>
      <xdr:colOff>600075</xdr:colOff>
      <xdr:row>61</xdr:row>
      <xdr:rowOff>19050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495299</xdr:colOff>
      <xdr:row>48</xdr:row>
      <xdr:rowOff>85726</xdr:rowOff>
    </xdr:from>
    <xdr:to>
      <xdr:col>3</xdr:col>
      <xdr:colOff>523874</xdr:colOff>
      <xdr:row>59</xdr:row>
      <xdr:rowOff>152400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466724</xdr:colOff>
      <xdr:row>42</xdr:row>
      <xdr:rowOff>123826</xdr:rowOff>
    </xdr:from>
    <xdr:to>
      <xdr:col>7</xdr:col>
      <xdr:colOff>581025</xdr:colOff>
      <xdr:row>56</xdr:row>
      <xdr:rowOff>9526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0.24436</cdr:x>
      <cdr:y>0.08696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0" y="0"/>
          <a:ext cx="619124" cy="1333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l"/>
          <a:r>
            <a:rPr lang="en-US" sz="700">
              <a:latin typeface="Arial" pitchFamily="34" charset="0"/>
              <a:cs typeface="Arial" pitchFamily="34" charset="0"/>
            </a:rPr>
            <a:t>mn tons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0.25011</cdr:x>
      <cdr:y>0.11479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0" y="0"/>
          <a:ext cx="607485" cy="191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l"/>
          <a:r>
            <a:rPr lang="en-US" sz="700">
              <a:latin typeface="Arial" pitchFamily="34" charset="0"/>
              <a:cs typeface="Arial" pitchFamily="34" charset="0"/>
            </a:rPr>
            <a:t>mn tons</a:t>
          </a:r>
        </a:p>
      </cdr:txBody>
    </cdr:sp>
  </cdr:relSizeAnchor>
  <cdr:relSizeAnchor xmlns:cdr="http://schemas.openxmlformats.org/drawingml/2006/chartDrawing">
    <cdr:from>
      <cdr:x>0.78431</cdr:x>
      <cdr:y>0</cdr:y>
    </cdr:from>
    <cdr:to>
      <cdr:x>1</cdr:x>
      <cdr:y>0.11429</cdr:y>
    </cdr:to>
    <cdr:sp macro="" textlink="">
      <cdr:nvSpPr>
        <cdr:cNvPr id="3" name="TextBox 4"/>
        <cdr:cNvSpPr txBox="1"/>
      </cdr:nvSpPr>
      <cdr:spPr>
        <a:xfrm xmlns:a="http://schemas.openxmlformats.org/drawingml/2006/main">
          <a:off x="1905000" y="0"/>
          <a:ext cx="523875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r"/>
          <a:r>
            <a:rPr lang="en-US" sz="700">
              <a:latin typeface="Arial" pitchFamily="34" charset="0"/>
              <a:cs typeface="Arial" pitchFamily="34" charset="0"/>
            </a:rPr>
            <a:t>PKR bn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0.25011</cdr:x>
      <cdr:y>0.11479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0" y="0"/>
          <a:ext cx="607485" cy="191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l"/>
          <a:r>
            <a:rPr lang="en-US" sz="700">
              <a:latin typeface="Arial" pitchFamily="34" charset="0"/>
              <a:cs typeface="Arial" pitchFamily="34" charset="0"/>
            </a:rPr>
            <a:t>PKR bn 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0.24116</cdr:x>
      <cdr:y>0.0936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0" y="0"/>
          <a:ext cx="714374" cy="180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l"/>
          <a:r>
            <a:rPr lang="en-US" sz="700">
              <a:latin typeface="Arial" pitchFamily="34" charset="0"/>
              <a:cs typeface="Arial" pitchFamily="34" charset="0"/>
            </a:rPr>
            <a:t>PKR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0.20594</cdr:x>
      <cdr:y>0.08054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0" y="0"/>
          <a:ext cx="855245" cy="1902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l"/>
          <a:r>
            <a:rPr lang="en-US" sz="700">
              <a:latin typeface="Arial" pitchFamily="34" charset="0"/>
              <a:cs typeface="Arial" pitchFamily="34" charset="0"/>
            </a:rPr>
            <a:t>PKR</a:t>
          </a:r>
        </a:p>
        <a:p xmlns:a="http://schemas.openxmlformats.org/drawingml/2006/main">
          <a:pPr algn="l"/>
          <a:r>
            <a:rPr lang="en-US" sz="700">
              <a:latin typeface="Arial" pitchFamily="34" charset="0"/>
              <a:cs typeface="Arial" pitchFamily="34" charset="0"/>
            </a:rPr>
            <a:t> 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0.84134</cdr:x>
      <cdr:y>0</cdr:y>
    </cdr:from>
    <cdr:to>
      <cdr:x>1</cdr:x>
      <cdr:y>0.0799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3114675" y="0"/>
          <a:ext cx="577300" cy="1720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r"/>
          <a:r>
            <a:rPr lang="en-US" sz="700">
              <a:latin typeface="Arial" pitchFamily="34" charset="0"/>
              <a:cs typeface="Arial" pitchFamily="34" charset="0"/>
            </a:rPr>
            <a:t>PKR bn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0.18398</cdr:x>
      <cdr:y>0.08025</cdr:y>
    </cdr:to>
    <cdr:sp macro="" textlink="">
      <cdr:nvSpPr>
        <cdr:cNvPr id="3" name="TextBox 4"/>
        <cdr:cNvSpPr txBox="1"/>
      </cdr:nvSpPr>
      <cdr:spPr>
        <a:xfrm xmlns:a="http://schemas.openxmlformats.org/drawingml/2006/main">
          <a:off x="0" y="0"/>
          <a:ext cx="669426" cy="1727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l"/>
          <a:r>
            <a:rPr lang="en-US" sz="700">
              <a:latin typeface="Arial" pitchFamily="34" charset="0"/>
              <a:cs typeface="Arial" pitchFamily="34" charset="0"/>
            </a:rPr>
            <a:t>mn tons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0.23201</cdr:x>
      <cdr:y>0.06793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0" y="0"/>
          <a:ext cx="815452" cy="1533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l"/>
          <a:r>
            <a:rPr lang="en-US" sz="700">
              <a:latin typeface="Arial" pitchFamily="34" charset="0"/>
              <a:cs typeface="Arial" pitchFamily="34" charset="0"/>
            </a:rPr>
            <a:t>PKR/bag</a:t>
          </a:r>
        </a:p>
      </cdr:txBody>
    </cdr:sp>
  </cdr:relSizeAnchor>
  <cdr:relSizeAnchor xmlns:cdr="http://schemas.openxmlformats.org/drawingml/2006/chartDrawing">
    <cdr:from>
      <cdr:x>0.83575</cdr:x>
      <cdr:y>0.00844</cdr:y>
    </cdr:from>
    <cdr:to>
      <cdr:x>1</cdr:x>
      <cdr:y>0.08463</cdr:y>
    </cdr:to>
    <cdr:sp macro="" textlink="">
      <cdr:nvSpPr>
        <cdr:cNvPr id="3" name="TextBox 4"/>
        <cdr:cNvSpPr txBox="1"/>
      </cdr:nvSpPr>
      <cdr:spPr>
        <a:xfrm xmlns:a="http://schemas.openxmlformats.org/drawingml/2006/main">
          <a:off x="3086100" y="19050"/>
          <a:ext cx="577300" cy="1720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r"/>
          <a:r>
            <a:rPr lang="en-US" sz="700">
              <a:latin typeface="Arial" pitchFamily="34" charset="0"/>
              <a:cs typeface="Arial" pitchFamily="34" charset="0"/>
            </a:rPr>
            <a:t>PKR bn</a:t>
          </a: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0.15461</cdr:x>
      <cdr:y>0.08026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0" y="0"/>
          <a:ext cx="577300" cy="1720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l"/>
          <a:r>
            <a:rPr lang="en-US" sz="700">
              <a:latin typeface="Arial" pitchFamily="34" charset="0"/>
              <a:cs typeface="Arial" pitchFamily="34" charset="0"/>
            </a:rPr>
            <a:t>PKR mn</a:t>
          </a:r>
        </a:p>
      </cdr:txBody>
    </cdr:sp>
  </cdr:relSizeAnchor>
  <cdr:relSizeAnchor xmlns:cdr="http://schemas.openxmlformats.org/drawingml/2006/chartDrawing">
    <cdr:from>
      <cdr:x>0.84539</cdr:x>
      <cdr:y>0</cdr:y>
    </cdr:from>
    <cdr:to>
      <cdr:x>1</cdr:x>
      <cdr:y>0.08026</cdr:y>
    </cdr:to>
    <cdr:sp macro="" textlink="">
      <cdr:nvSpPr>
        <cdr:cNvPr id="3" name="TextBox 4"/>
        <cdr:cNvSpPr txBox="1"/>
      </cdr:nvSpPr>
      <cdr:spPr>
        <a:xfrm xmlns:a="http://schemas.openxmlformats.org/drawingml/2006/main">
          <a:off x="3848100" y="0"/>
          <a:ext cx="577300" cy="1720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l"/>
          <a:r>
            <a:rPr lang="en-US" sz="700">
              <a:latin typeface="Arial" pitchFamily="34" charset="0"/>
              <a:cs typeface="Arial" pitchFamily="34" charset="0"/>
            </a:rPr>
            <a:t>PKR mn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urus-server\Research\Documents%20and%20Settings\Arif.R\Desktop\TEMP\Book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urus-server\Research\Documents%20and%20Settings\Arif.R\Desktop\DATA\EURO\EARNINGS\REUTERS\RFRANC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evious%20Occupants\aft\models\ARVI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urus-server\Research\Documents%20and%20Settings\Arif.R\Desktop\DATA\EURO\EARNINGS\REUTERS\RGERMAN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ycmvifl27a\Autos1\DATA\EURO\EARNINGS\REUTERS\RGERMANY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shad\c\GEMiBlu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ycmvifl27a\Autos1\HAGS\RENNEW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urus-server\Research\Documents%20and%20Settings\Arif.R\Desktop\HAGS\RENNE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urus-server\Research\Documents%20and%20Settings\Arif.R\Desktop\My%20Documents\Research\Petrochemicals\ICI\ICIMod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Documents%20and%20Settings\mazdakkhan.tre.bopl\Local%20Settings\Temporary%20Internet%20Files\Content.Outlook\0NGL6LUJ\Copy%20of%20BPL%20Model%20Abraaj%2019%20Nov%20200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urus-server\Research\Documents%20and%20Settings\Arif.R\Desktop\Waleed\Graphs\ICI%20Pakista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SM%20Data\Drive%20D\SBM\Fin%20Model\UTL%20Financial%20Model%20-%20Arif%20Habib%20Revised%2021062010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urus-server\Research\Documents%20and%20Settings\Arif.R\Desktop\RASMUSSE\AZO\az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ycmvifl27a\Autos1\Company%20Folders\AXL\AXL%20Program%20Forecast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MA\ICC%20Cricket%20World%20Cup%202007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urus-server\Research\MA\ICC%20Cricket%20World%20Cup%202007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MA/ICC%20Cricket%20World%20Cup%202007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131.131.1\Research\MA\ICC%20Cricket%20World%20Cup%202007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urus-server\Research\Documents%20and%20Settings\Arif.R\Desktop\Casesa\MGA\Magna%20Model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urus-server\Research\Documents%20and%20Settings\Arif.R\Desktop\Quarterizing%20MG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urus-server\Research\Documents%20and%20Settings\Arif.R\Desktop\SHAGUFTA\Fertilizer\FFB\FFB%20MODEL5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urus-server\Research\Documents%20and%20Settings\Arif.R\Desktop\CASESA\CTB\CT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evious%20Occupants\aft\models\INM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urus-server\Research\Research\omcs\pso\model\pso-post%20result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Documents%20and%20Settings\sanamasood.tre\Local%20Settings\Temporary%20Internet%20Files\Content.Outlook\AFI0IHC7\SBM%20Financial%20Model%20v.WRk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Analyst\Abid\Cement\KohatCement\KOHC-Nov-15-12-%20adjustment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2012\Morning\Sep\3-Sep-12\chart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2012/Morning/Sep/3-Sep-12/chart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urus-server\Research\Research\Mansoor\Mansoor%20Models\auto%20updated%20by%20mansoor\Gandhara%20Nissan\Ghandhara%20Nissan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2014/Morning/Feb-14/08-Feb-14/dgkc%20Graph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Research\AA\Cement\FY09\July-Dec09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Research\AA\Cement\FY09\July-March09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Research\AA\Cement\FY09\July-June09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Analyst\Abid\Cement\Dispatches\FY13\FY12-July-12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Analyst\Abid\Cement\Dispatches\Dispatches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urus-server\Research\Research\Wajahat\Cement\Lucky%20Model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urus-server\research\Research\Wajahat\Cement\Cherat%20Model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a\Desktop\030707\DGKC%20Revised%20backup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abid.ali\AppData\Local\Microsoft\Windows\Temporary%20Internet%20Files\Content.Outlook\0V91TBI5\LUCK-1QFY13-Preview-Oct-22-12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Analyst\Abid\Cement\LUCK\LUCK-1QFY13-Preview-Oct-22-12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abid.ali\AppData\Roaming\Microsoft\Excel\FCC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4"/>
      <sheetName val="AZO"/>
      <sheetName val="CTB"/>
      <sheetName val="MGA"/>
      <sheetName val="model"/>
      <sheetName val="EV-EBITDA"/>
      <sheetName val="Current Price Information"/>
      <sheetName val="CTB-DK"/>
      <sheetName val="ECHL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rent Price Information"/>
      <sheetName val="Module1"/>
    </sheet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VIN"/>
      <sheetName val="IS Quarters ARV_MRA"/>
      <sheetName val="MRA_Qtr Inc"/>
      <sheetName val="MRA_IS"/>
      <sheetName val="MRA_BS"/>
      <sheetName val="MRA_CFS"/>
      <sheetName val="3Q Tables"/>
      <sheetName val="SUM COMP"/>
      <sheetName val="Segmt(OEReplacement)IS(Driver)"/>
      <sheetName val="IS Quarters"/>
      <sheetName val="IS Annual"/>
      <sheetName val="Cash Flow"/>
      <sheetName val="iQ Link"/>
      <sheetName val="Balance Sheet Annual"/>
      <sheetName val="EV_EBITDA"/>
      <sheetName val="USCNMX  Prod&amp;Sales 1985-Current"/>
      <sheetName val="Cash Flow (report)"/>
      <sheetName val="Balance Sheet Annual (Report F)"/>
      <sheetName val="IS Quarters (ReportFormat)"/>
      <sheetName val="DCF"/>
      <sheetName val="CPV"/>
      <sheetName val="CPV Data"/>
      <sheetName val="Margin Graph"/>
      <sheetName val="Segment Sales GRAPH"/>
      <sheetName val="Prod. NA Qtr."/>
      <sheetName val="Countries"/>
      <sheetName val="Price Series"/>
      <sheetName val="Sheet5"/>
      <sheetName val="Sheet6"/>
      <sheetName val="Sheet7"/>
      <sheetName val="Sheet9"/>
      <sheetName val="Sheet3"/>
      <sheetName val="Sheet8"/>
      <sheetName val="Sheet1"/>
      <sheetName val="Segment (Geographic)IS"/>
      <sheetName val="Sheet2"/>
      <sheetName val="NOTES"/>
      <sheetName val="IS Quarters (2)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rent Price Information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rent Price Information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over"/>
      <sheetName val="BTp2.1"/>
      <sheetName val="BTp2.2"/>
      <sheetName val="BTp3"/>
      <sheetName val="BTp4"/>
      <sheetName val="price"/>
      <sheetName val="GEMiner"/>
      <sheetName val="other stuff"/>
      <sheetName val="stresstest"/>
      <sheetName val="BTp2_1"/>
      <sheetName val="PTCL"/>
    </sheetNames>
    <sheetDataSet>
      <sheetData sheetId="0" refreshError="1">
        <row r="3">
          <cell r="M3" t="str">
            <v>philippines</v>
          </cell>
        </row>
        <row r="4">
          <cell r="M4" t="str">
            <v>TEL.PS</v>
          </cell>
        </row>
        <row r="5">
          <cell r="M5" t="str">
            <v>TEL</v>
          </cell>
        </row>
        <row r="7">
          <cell r="F7" t="str">
            <v>Philippine Long Distance Telephone Co.</v>
          </cell>
          <cell r="M7">
            <v>1</v>
          </cell>
        </row>
        <row r="8">
          <cell r="D8">
            <v>3</v>
          </cell>
          <cell r="M8" t="str">
            <v>1Q00</v>
          </cell>
        </row>
        <row r="9">
          <cell r="H9" t="str">
            <v>louie.hilado@clsasia.com</v>
          </cell>
          <cell r="M9">
            <v>1</v>
          </cell>
        </row>
        <row r="10">
          <cell r="D10">
            <v>40.75</v>
          </cell>
          <cell r="E10" t="str">
            <v>Ps</v>
          </cell>
          <cell r="H10" t="str">
            <v>(852) 2840 0000</v>
          </cell>
          <cell r="M10">
            <v>36867.683171990742</v>
          </cell>
        </row>
        <row r="11">
          <cell r="D11">
            <v>1000000</v>
          </cell>
          <cell r="E11" t="str">
            <v>m</v>
          </cell>
        </row>
        <row r="12">
          <cell r="D12">
            <v>0.01</v>
          </cell>
          <cell r="E12" t="str">
            <v>centavos</v>
          </cell>
          <cell r="F12">
            <v>1</v>
          </cell>
          <cell r="H12" t="str">
            <v>Input title on the input sheet!</v>
          </cell>
        </row>
        <row r="13">
          <cell r="E13" t="str">
            <v>Ps</v>
          </cell>
          <cell r="F13" t="str">
            <v>Psm</v>
          </cell>
        </row>
        <row r="14">
          <cell r="D14">
            <v>36525</v>
          </cell>
        </row>
        <row r="15">
          <cell r="C15" t="str">
            <v>Year to</v>
          </cell>
          <cell r="D15">
            <v>36525</v>
          </cell>
          <cell r="H15">
            <v>35430</v>
          </cell>
          <cell r="I15">
            <v>35795</v>
          </cell>
          <cell r="J15">
            <v>36160</v>
          </cell>
          <cell r="K15">
            <v>36525</v>
          </cell>
          <cell r="L15">
            <v>36891</v>
          </cell>
          <cell r="M15">
            <v>37256</v>
          </cell>
        </row>
        <row r="16">
          <cell r="C16" t="str">
            <v>Index eps</v>
          </cell>
          <cell r="D16" t="str">
            <v>.PSI</v>
          </cell>
          <cell r="E16" t="str">
            <v>Philippines Composite Index</v>
          </cell>
          <cell r="K16">
            <v>92.41302490234375</v>
          </cell>
          <cell r="L16">
            <v>121.96331024169922</v>
          </cell>
          <cell r="M16">
            <v>144.29693603515625</v>
          </cell>
        </row>
        <row r="18">
          <cell r="C18" t="str">
            <v>Year to</v>
          </cell>
          <cell r="D18">
            <v>36525</v>
          </cell>
          <cell r="F18" t="str">
            <v>1994A</v>
          </cell>
          <cell r="G18" t="str">
            <v>1995A</v>
          </cell>
          <cell r="H18" t="str">
            <v>1996A</v>
          </cell>
          <cell r="I18" t="str">
            <v>1997A</v>
          </cell>
          <cell r="J18" t="str">
            <v>1998A</v>
          </cell>
          <cell r="K18" t="str">
            <v>1999CL</v>
          </cell>
          <cell r="L18" t="str">
            <v>2000CL</v>
          </cell>
          <cell r="M18" t="str">
            <v>2001CL</v>
          </cell>
        </row>
        <row r="51">
          <cell r="F51" t="str">
            <v>1Q99</v>
          </cell>
          <cell r="G51" t="str">
            <v>2Q99</v>
          </cell>
          <cell r="H51" t="str">
            <v>3Q99</v>
          </cell>
          <cell r="I51" t="str">
            <v>4Q99</v>
          </cell>
          <cell r="J51" t="str">
            <v>1Q00</v>
          </cell>
          <cell r="K51" t="str">
            <v>2Q00</v>
          </cell>
          <cell r="L51" t="str">
            <v>3Q00</v>
          </cell>
          <cell r="M51" t="str">
            <v>4Q00</v>
          </cell>
        </row>
        <row r="54"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9"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1"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</sheetData>
      <sheetData sheetId="1" refreshError="1">
        <row r="2">
          <cell r="M2">
            <v>1997</v>
          </cell>
          <cell r="N2">
            <v>1998</v>
          </cell>
          <cell r="O2">
            <v>1999</v>
          </cell>
          <cell r="P2">
            <v>2000</v>
          </cell>
          <cell r="Q2">
            <v>2001</v>
          </cell>
        </row>
        <row r="3">
          <cell r="M3">
            <v>6</v>
          </cell>
          <cell r="N3">
            <v>7</v>
          </cell>
          <cell r="O3">
            <v>8</v>
          </cell>
          <cell r="P3">
            <v>9</v>
          </cell>
          <cell r="Q3">
            <v>10</v>
          </cell>
        </row>
      </sheetData>
      <sheetData sheetId="2" refreshError="1">
        <row r="2">
          <cell r="K2">
            <v>3</v>
          </cell>
          <cell r="L2">
            <v>4</v>
          </cell>
          <cell r="M2">
            <v>5</v>
          </cell>
          <cell r="N2">
            <v>6</v>
          </cell>
          <cell r="O2">
            <v>7</v>
          </cell>
          <cell r="P2">
            <v>8</v>
          </cell>
          <cell r="Q2">
            <v>9</v>
          </cell>
          <cell r="R2">
            <v>10</v>
          </cell>
        </row>
      </sheetData>
      <sheetData sheetId="3"/>
      <sheetData sheetId="4" refreshError="1">
        <row r="2">
          <cell r="G2">
            <v>3</v>
          </cell>
          <cell r="H2">
            <v>4</v>
          </cell>
          <cell r="I2">
            <v>5</v>
          </cell>
          <cell r="J2">
            <v>6</v>
          </cell>
          <cell r="K2">
            <v>7</v>
          </cell>
          <cell r="L2">
            <v>8</v>
          </cell>
          <cell r="M2">
            <v>9</v>
          </cell>
          <cell r="N2">
            <v>10</v>
          </cell>
        </row>
      </sheetData>
      <sheetData sheetId="5"/>
      <sheetData sheetId="6" refreshError="1">
        <row r="1">
          <cell r="T1" t="str">
            <v>Local share price</v>
          </cell>
          <cell r="X1" t="str">
            <v>GDR price</v>
          </cell>
          <cell r="AB1" t="str">
            <v>Index</v>
          </cell>
          <cell r="AF1" t="str">
            <v>Exchange rate</v>
          </cell>
        </row>
        <row r="2">
          <cell r="C2">
            <v>3</v>
          </cell>
          <cell r="D2">
            <v>6</v>
          </cell>
          <cell r="E2">
            <v>9</v>
          </cell>
          <cell r="F2">
            <v>12</v>
          </cell>
          <cell r="H2">
            <v>0.5</v>
          </cell>
          <cell r="I2">
            <v>1</v>
          </cell>
          <cell r="J2">
            <v>1.5</v>
          </cell>
          <cell r="K2">
            <v>2</v>
          </cell>
          <cell r="T2" t="str">
            <v>date</v>
          </cell>
          <cell r="U2" t="str">
            <v>price</v>
          </cell>
          <cell r="V2" t="str">
            <v>turnover</v>
          </cell>
          <cell r="X2" t="str">
            <v>date</v>
          </cell>
          <cell r="Y2" t="str">
            <v>price</v>
          </cell>
          <cell r="AB2" t="str">
            <v>date</v>
          </cell>
          <cell r="AC2" t="str">
            <v>price</v>
          </cell>
          <cell r="AF2" t="str">
            <v>date</v>
          </cell>
          <cell r="AG2" t="str">
            <v>price</v>
          </cell>
          <cell r="AJ2" t="str">
            <v>CURR</v>
          </cell>
          <cell r="AK2" t="str">
            <v>USD</v>
          </cell>
        </row>
        <row r="3">
          <cell r="T3">
            <v>36210</v>
          </cell>
          <cell r="U3">
            <v>880</v>
          </cell>
          <cell r="V3">
            <v>120941600</v>
          </cell>
          <cell r="AB3">
            <v>36167</v>
          </cell>
          <cell r="AC3">
            <v>2134.91</v>
          </cell>
          <cell r="AF3">
            <v>36181</v>
          </cell>
          <cell r="AG3">
            <v>38</v>
          </cell>
          <cell r="AJ3" t="str">
            <v>CNY</v>
          </cell>
          <cell r="AK3">
            <v>8.2788000106811523</v>
          </cell>
        </row>
        <row r="4">
          <cell r="T4">
            <v>36213</v>
          </cell>
          <cell r="U4">
            <v>895</v>
          </cell>
          <cell r="V4">
            <v>72041400</v>
          </cell>
          <cell r="AB4">
            <v>36168</v>
          </cell>
          <cell r="AC4">
            <v>2140.64</v>
          </cell>
          <cell r="AF4">
            <v>36185</v>
          </cell>
          <cell r="AG4">
            <v>38.650001525878906</v>
          </cell>
          <cell r="AJ4" t="str">
            <v>EUR</v>
          </cell>
          <cell r="AK4">
            <v>0.99295008182525635</v>
          </cell>
        </row>
        <row r="5">
          <cell r="T5">
            <v>36214</v>
          </cell>
          <cell r="U5">
            <v>890</v>
          </cell>
          <cell r="V5">
            <v>65678900</v>
          </cell>
          <cell r="AB5">
            <v>36171</v>
          </cell>
          <cell r="AC5">
            <v>2139.64</v>
          </cell>
          <cell r="AF5">
            <v>36186</v>
          </cell>
          <cell r="AG5">
            <v>38.369998931884766</v>
          </cell>
          <cell r="AJ5" t="str">
            <v>HKD</v>
          </cell>
          <cell r="AK5">
            <v>7.7708001136779785</v>
          </cell>
        </row>
        <row r="6">
          <cell r="T6">
            <v>36215</v>
          </cell>
          <cell r="U6">
            <v>875</v>
          </cell>
          <cell r="V6">
            <v>138064300</v>
          </cell>
          <cell r="AB6">
            <v>36172</v>
          </cell>
          <cell r="AC6">
            <v>2148.46</v>
          </cell>
          <cell r="AF6">
            <v>36187</v>
          </cell>
          <cell r="AG6">
            <v>38.599998474121094</v>
          </cell>
          <cell r="AJ6" t="str">
            <v>IDR</v>
          </cell>
          <cell r="AK6">
            <v>7260</v>
          </cell>
        </row>
        <row r="7">
          <cell r="T7">
            <v>36216</v>
          </cell>
          <cell r="U7">
            <v>895</v>
          </cell>
          <cell r="V7">
            <v>113273400</v>
          </cell>
          <cell r="AB7">
            <v>36173</v>
          </cell>
          <cell r="AC7">
            <v>2167.4</v>
          </cell>
          <cell r="AF7">
            <v>36188</v>
          </cell>
          <cell r="AG7">
            <v>38.549999237060547</v>
          </cell>
          <cell r="AJ7" t="str">
            <v>INR</v>
          </cell>
          <cell r="AK7">
            <v>43.402000427246094</v>
          </cell>
        </row>
        <row r="8">
          <cell r="T8">
            <v>36217</v>
          </cell>
          <cell r="U8">
            <v>905</v>
          </cell>
          <cell r="V8">
            <v>248224500</v>
          </cell>
          <cell r="AB8">
            <v>36174</v>
          </cell>
          <cell r="AC8">
            <v>2063.2800000000002</v>
          </cell>
          <cell r="AF8">
            <v>36189</v>
          </cell>
          <cell r="AG8">
            <v>38.419998168945313</v>
          </cell>
          <cell r="AJ8" t="str">
            <v>JPY</v>
          </cell>
          <cell r="AK8">
            <v>102.62000274658203</v>
          </cell>
        </row>
        <row r="9">
          <cell r="T9">
            <v>36220</v>
          </cell>
          <cell r="U9">
            <v>905</v>
          </cell>
          <cell r="V9">
            <v>217494800</v>
          </cell>
          <cell r="AB9">
            <v>36175</v>
          </cell>
          <cell r="AC9">
            <v>2041.55</v>
          </cell>
          <cell r="AF9">
            <v>36190</v>
          </cell>
          <cell r="AG9">
            <v>38.349998474121094</v>
          </cell>
          <cell r="AJ9" t="str">
            <v>KRW</v>
          </cell>
          <cell r="AK9">
            <v>1149.4000244140625</v>
          </cell>
        </row>
        <row r="10">
          <cell r="T10">
            <v>36221</v>
          </cell>
          <cell r="U10">
            <v>920</v>
          </cell>
          <cell r="V10">
            <v>142177300</v>
          </cell>
          <cell r="AB10">
            <v>36178</v>
          </cell>
          <cell r="AC10">
            <v>2130.9</v>
          </cell>
          <cell r="AF10">
            <v>36192</v>
          </cell>
          <cell r="AG10">
            <v>38.419998168945313</v>
          </cell>
          <cell r="AJ10" t="str">
            <v>MYR</v>
          </cell>
          <cell r="AK10">
            <v>3.7994999885559082</v>
          </cell>
        </row>
        <row r="11">
          <cell r="T11">
            <v>36222</v>
          </cell>
          <cell r="U11">
            <v>940</v>
          </cell>
          <cell r="V11">
            <v>209835600</v>
          </cell>
          <cell r="AB11">
            <v>36179</v>
          </cell>
          <cell r="AC11">
            <v>2103.84</v>
          </cell>
          <cell r="AF11">
            <v>36193</v>
          </cell>
          <cell r="AG11">
            <v>38.400001525878906</v>
          </cell>
          <cell r="AJ11" t="str">
            <v>PHP</v>
          </cell>
          <cell r="AK11">
            <v>40.75</v>
          </cell>
        </row>
        <row r="12">
          <cell r="T12">
            <v>36223</v>
          </cell>
          <cell r="U12">
            <v>940</v>
          </cell>
          <cell r="V12">
            <v>138339600</v>
          </cell>
          <cell r="AB12">
            <v>36180</v>
          </cell>
          <cell r="AC12">
            <v>2146.39</v>
          </cell>
          <cell r="AF12">
            <v>36194</v>
          </cell>
          <cell r="AG12">
            <v>38.380001068115234</v>
          </cell>
          <cell r="AJ12" t="str">
            <v>PKR</v>
          </cell>
          <cell r="AK12">
            <v>51.880001068115234</v>
          </cell>
        </row>
        <row r="13">
          <cell r="T13">
            <v>36224</v>
          </cell>
          <cell r="U13">
            <v>960</v>
          </cell>
          <cell r="V13">
            <v>113623000</v>
          </cell>
          <cell r="AB13">
            <v>36181</v>
          </cell>
          <cell r="AC13">
            <v>2142.8000000000002</v>
          </cell>
          <cell r="AF13">
            <v>36195</v>
          </cell>
          <cell r="AG13">
            <v>38.450000762939453</v>
          </cell>
          <cell r="AJ13" t="str">
            <v>SGD</v>
          </cell>
          <cell r="AK13">
            <v>1.6851999759674072</v>
          </cell>
        </row>
        <row r="14">
          <cell r="T14">
            <v>36227</v>
          </cell>
          <cell r="U14">
            <v>980</v>
          </cell>
          <cell r="V14">
            <v>149688400</v>
          </cell>
          <cell r="AB14">
            <v>36182</v>
          </cell>
          <cell r="AC14">
            <v>2062.34</v>
          </cell>
          <cell r="AF14">
            <v>36196</v>
          </cell>
          <cell r="AG14">
            <v>38.5</v>
          </cell>
          <cell r="AJ14" t="str">
            <v>THB</v>
          </cell>
          <cell r="AK14">
            <v>38.930000305175781</v>
          </cell>
        </row>
        <row r="15">
          <cell r="T15">
            <v>36228</v>
          </cell>
          <cell r="U15">
            <v>970</v>
          </cell>
          <cell r="V15">
            <v>46879100</v>
          </cell>
          <cell r="AB15">
            <v>36185</v>
          </cell>
          <cell r="AC15">
            <v>1951.44</v>
          </cell>
          <cell r="AF15">
            <v>36197</v>
          </cell>
          <cell r="AG15">
            <v>38.5</v>
          </cell>
          <cell r="AJ15" t="str">
            <v>TWD</v>
          </cell>
          <cell r="AK15">
            <v>31.620000839233398</v>
          </cell>
        </row>
        <row r="16">
          <cell r="T16">
            <v>36229</v>
          </cell>
          <cell r="U16">
            <v>970</v>
          </cell>
          <cell r="V16">
            <v>130988800</v>
          </cell>
          <cell r="AB16">
            <v>36186</v>
          </cell>
          <cell r="AC16">
            <v>1982.26</v>
          </cell>
          <cell r="AF16">
            <v>36199</v>
          </cell>
          <cell r="AG16">
            <v>39.299999237060547</v>
          </cell>
          <cell r="AJ16" t="str">
            <v>USD</v>
          </cell>
          <cell r="AK16">
            <v>1</v>
          </cell>
        </row>
        <row r="17">
          <cell r="T17">
            <v>36230</v>
          </cell>
          <cell r="U17">
            <v>970</v>
          </cell>
          <cell r="V17">
            <v>88889500</v>
          </cell>
          <cell r="AB17">
            <v>36187</v>
          </cell>
          <cell r="AC17">
            <v>1994</v>
          </cell>
          <cell r="AF17">
            <v>36200</v>
          </cell>
          <cell r="AG17">
            <v>39.450000762939453</v>
          </cell>
        </row>
        <row r="18">
          <cell r="T18">
            <v>36231</v>
          </cell>
          <cell r="U18">
            <v>960</v>
          </cell>
          <cell r="V18">
            <v>12773700</v>
          </cell>
          <cell r="AB18">
            <v>36188</v>
          </cell>
          <cell r="AC18">
            <v>1998.81</v>
          </cell>
          <cell r="AF18">
            <v>36201</v>
          </cell>
          <cell r="AG18">
            <v>38.950000762939453</v>
          </cell>
        </row>
        <row r="19">
          <cell r="T19">
            <v>36234</v>
          </cell>
          <cell r="U19">
            <v>965</v>
          </cell>
          <cell r="V19">
            <v>111925200</v>
          </cell>
          <cell r="AB19">
            <v>36189</v>
          </cell>
          <cell r="AC19">
            <v>1954.15</v>
          </cell>
          <cell r="AF19">
            <v>36202</v>
          </cell>
          <cell r="AG19">
            <v>38.5</v>
          </cell>
        </row>
        <row r="20">
          <cell r="T20">
            <v>36235</v>
          </cell>
          <cell r="U20">
            <v>980</v>
          </cell>
          <cell r="V20">
            <v>193780800</v>
          </cell>
          <cell r="AB20">
            <v>36192</v>
          </cell>
          <cell r="AC20">
            <v>1969.99</v>
          </cell>
          <cell r="AF20">
            <v>36203</v>
          </cell>
          <cell r="AG20">
            <v>38.450000762939453</v>
          </cell>
        </row>
        <row r="21">
          <cell r="T21">
            <v>36236</v>
          </cell>
          <cell r="U21">
            <v>980</v>
          </cell>
          <cell r="V21">
            <v>129192000</v>
          </cell>
          <cell r="AB21">
            <v>36193</v>
          </cell>
          <cell r="AC21">
            <v>1975.29</v>
          </cell>
          <cell r="AF21">
            <v>36204</v>
          </cell>
          <cell r="AG21">
            <v>38.349998474121094</v>
          </cell>
        </row>
        <row r="22">
          <cell r="T22">
            <v>36237</v>
          </cell>
          <cell r="U22">
            <v>1030</v>
          </cell>
          <cell r="V22">
            <v>547637900</v>
          </cell>
          <cell r="AB22">
            <v>36194</v>
          </cell>
          <cell r="AC22">
            <v>2007.38</v>
          </cell>
          <cell r="AF22">
            <v>36206</v>
          </cell>
          <cell r="AG22">
            <v>38.549999237060547</v>
          </cell>
        </row>
        <row r="23">
          <cell r="T23">
            <v>36238</v>
          </cell>
          <cell r="U23">
            <v>1020</v>
          </cell>
          <cell r="V23">
            <v>379950000</v>
          </cell>
          <cell r="AB23">
            <v>36195</v>
          </cell>
          <cell r="AC23">
            <v>1986.3</v>
          </cell>
          <cell r="AF23">
            <v>36207</v>
          </cell>
          <cell r="AG23">
            <v>38.450000762939453</v>
          </cell>
        </row>
        <row r="24">
          <cell r="T24">
            <v>36241</v>
          </cell>
          <cell r="U24">
            <v>1030</v>
          </cell>
          <cell r="V24">
            <v>135885700</v>
          </cell>
          <cell r="AB24">
            <v>36196</v>
          </cell>
          <cell r="AC24">
            <v>1977.84</v>
          </cell>
          <cell r="AF24">
            <v>36208</v>
          </cell>
          <cell r="AG24">
            <v>38.599998474121094</v>
          </cell>
        </row>
        <row r="25">
          <cell r="T25">
            <v>36242</v>
          </cell>
          <cell r="U25">
            <v>1035</v>
          </cell>
          <cell r="V25">
            <v>217116100</v>
          </cell>
          <cell r="AB25">
            <v>36199</v>
          </cell>
          <cell r="AC25">
            <v>1965.49</v>
          </cell>
          <cell r="AF25">
            <v>36209</v>
          </cell>
          <cell r="AG25">
            <v>38.549999237060547</v>
          </cell>
        </row>
        <row r="26">
          <cell r="T26">
            <v>36243</v>
          </cell>
          <cell r="U26">
            <v>1025</v>
          </cell>
          <cell r="V26">
            <v>198168000</v>
          </cell>
          <cell r="AB26">
            <v>36200</v>
          </cell>
          <cell r="AC26">
            <v>1935.02</v>
          </cell>
          <cell r="AF26">
            <v>36210</v>
          </cell>
          <cell r="AG26">
            <v>38.75</v>
          </cell>
        </row>
        <row r="27">
          <cell r="T27">
            <v>36244</v>
          </cell>
          <cell r="U27">
            <v>1010</v>
          </cell>
          <cell r="V27">
            <v>289527400</v>
          </cell>
          <cell r="AB27">
            <v>36201</v>
          </cell>
          <cell r="AC27">
            <v>1897.19</v>
          </cell>
          <cell r="AF27">
            <v>36211</v>
          </cell>
          <cell r="AG27">
            <v>38.849998474121094</v>
          </cell>
        </row>
        <row r="28">
          <cell r="T28">
            <v>36245</v>
          </cell>
          <cell r="U28">
            <v>1015</v>
          </cell>
          <cell r="V28">
            <v>194738800</v>
          </cell>
          <cell r="AB28">
            <v>36202</v>
          </cell>
          <cell r="AC28">
            <v>1894.59</v>
          </cell>
          <cell r="AF28">
            <v>36213</v>
          </cell>
          <cell r="AG28">
            <v>39.150001525878906</v>
          </cell>
        </row>
        <row r="29">
          <cell r="T29">
            <v>36248</v>
          </cell>
          <cell r="U29">
            <v>1005</v>
          </cell>
          <cell r="V29">
            <v>241974800</v>
          </cell>
          <cell r="AB29">
            <v>36203</v>
          </cell>
          <cell r="AC29">
            <v>1919.78</v>
          </cell>
          <cell r="AF29">
            <v>36214</v>
          </cell>
          <cell r="AG29">
            <v>38.900001525878906</v>
          </cell>
        </row>
        <row r="30">
          <cell r="T30">
            <v>36249</v>
          </cell>
          <cell r="U30">
            <v>1020</v>
          </cell>
          <cell r="V30">
            <v>312952400</v>
          </cell>
          <cell r="AB30">
            <v>36206</v>
          </cell>
          <cell r="AC30">
            <v>1910.3</v>
          </cell>
          <cell r="AF30">
            <v>36215</v>
          </cell>
          <cell r="AG30">
            <v>39</v>
          </cell>
        </row>
        <row r="31">
          <cell r="T31">
            <v>36250</v>
          </cell>
          <cell r="U31">
            <v>1020</v>
          </cell>
          <cell r="V31">
            <v>330051600</v>
          </cell>
          <cell r="AB31">
            <v>36207</v>
          </cell>
          <cell r="AC31">
            <v>1918.87</v>
          </cell>
          <cell r="AF31">
            <v>36216</v>
          </cell>
          <cell r="AG31">
            <v>38.900001525878906</v>
          </cell>
        </row>
        <row r="32">
          <cell r="T32">
            <v>36255</v>
          </cell>
          <cell r="U32">
            <v>1025</v>
          </cell>
          <cell r="V32">
            <v>106416800</v>
          </cell>
          <cell r="AB32">
            <v>36208</v>
          </cell>
          <cell r="AC32">
            <v>1918.57</v>
          </cell>
          <cell r="AF32">
            <v>36217</v>
          </cell>
          <cell r="AG32">
            <v>39.020000457763672</v>
          </cell>
        </row>
        <row r="33">
          <cell r="T33">
            <v>36256</v>
          </cell>
          <cell r="U33">
            <v>1025</v>
          </cell>
          <cell r="V33">
            <v>106179800</v>
          </cell>
          <cell r="AB33">
            <v>36209</v>
          </cell>
          <cell r="AC33">
            <v>1927.45</v>
          </cell>
          <cell r="AF33">
            <v>36218</v>
          </cell>
          <cell r="AG33">
            <v>38.950000762939453</v>
          </cell>
        </row>
        <row r="34">
          <cell r="T34">
            <v>36257</v>
          </cell>
          <cell r="U34">
            <v>1045</v>
          </cell>
          <cell r="V34">
            <v>306721000</v>
          </cell>
          <cell r="AB34">
            <v>36210</v>
          </cell>
          <cell r="AC34">
            <v>1926.63</v>
          </cell>
          <cell r="AF34">
            <v>36220</v>
          </cell>
          <cell r="AG34">
            <v>38.919998168945313</v>
          </cell>
        </row>
        <row r="35">
          <cell r="T35">
            <v>36258</v>
          </cell>
          <cell r="U35">
            <v>1045</v>
          </cell>
          <cell r="V35">
            <v>306721000</v>
          </cell>
          <cell r="AB35">
            <v>36213</v>
          </cell>
          <cell r="AC35">
            <v>1939.69</v>
          </cell>
          <cell r="AF35">
            <v>36221</v>
          </cell>
          <cell r="AG35">
            <v>38.950000762939453</v>
          </cell>
        </row>
        <row r="36">
          <cell r="T36">
            <v>36262</v>
          </cell>
          <cell r="U36">
            <v>1080</v>
          </cell>
          <cell r="V36">
            <v>352252800</v>
          </cell>
          <cell r="AB36">
            <v>36214</v>
          </cell>
          <cell r="AC36">
            <v>1958.7</v>
          </cell>
          <cell r="AF36">
            <v>36222</v>
          </cell>
          <cell r="AG36">
            <v>38.950000762939453</v>
          </cell>
        </row>
        <row r="37">
          <cell r="T37">
            <v>36263</v>
          </cell>
          <cell r="U37">
            <v>1105</v>
          </cell>
          <cell r="V37">
            <v>311245300</v>
          </cell>
          <cell r="AB37">
            <v>36215</v>
          </cell>
          <cell r="AC37">
            <v>1934.11</v>
          </cell>
          <cell r="AF37">
            <v>36223</v>
          </cell>
          <cell r="AG37">
            <v>39</v>
          </cell>
        </row>
        <row r="38">
          <cell r="T38">
            <v>36264</v>
          </cell>
          <cell r="U38">
            <v>1120</v>
          </cell>
          <cell r="V38">
            <v>320014200</v>
          </cell>
          <cell r="AB38">
            <v>36216</v>
          </cell>
          <cell r="AC38">
            <v>1945.91</v>
          </cell>
          <cell r="AF38">
            <v>36224</v>
          </cell>
          <cell r="AG38">
            <v>39.049999237060547</v>
          </cell>
        </row>
        <row r="39">
          <cell r="T39">
            <v>36265</v>
          </cell>
          <cell r="U39">
            <v>1120</v>
          </cell>
          <cell r="V39">
            <v>113774000</v>
          </cell>
          <cell r="AB39">
            <v>36217</v>
          </cell>
          <cell r="AC39">
            <v>1965.05</v>
          </cell>
          <cell r="AF39">
            <v>36225</v>
          </cell>
          <cell r="AG39">
            <v>39</v>
          </cell>
        </row>
        <row r="40">
          <cell r="T40">
            <v>36266</v>
          </cell>
          <cell r="U40">
            <v>1220</v>
          </cell>
          <cell r="V40">
            <v>601106200</v>
          </cell>
          <cell r="AB40">
            <v>36220</v>
          </cell>
          <cell r="AC40">
            <v>1964.27</v>
          </cell>
          <cell r="AF40">
            <v>36227</v>
          </cell>
          <cell r="AG40">
            <v>38.900001525878906</v>
          </cell>
        </row>
        <row r="41">
          <cell r="T41">
            <v>36269</v>
          </cell>
          <cell r="U41">
            <v>1275</v>
          </cell>
          <cell r="V41">
            <v>507220500</v>
          </cell>
          <cell r="AB41">
            <v>36222</v>
          </cell>
          <cell r="AC41">
            <v>2008.92</v>
          </cell>
          <cell r="AF41">
            <v>36229</v>
          </cell>
          <cell r="AG41">
            <v>38.849998474121094</v>
          </cell>
        </row>
        <row r="42">
          <cell r="T42">
            <v>36270</v>
          </cell>
          <cell r="U42">
            <v>1225</v>
          </cell>
          <cell r="V42">
            <v>210339900</v>
          </cell>
          <cell r="AB42">
            <v>36223</v>
          </cell>
          <cell r="AC42">
            <v>1997.68</v>
          </cell>
          <cell r="AF42">
            <v>36230</v>
          </cell>
          <cell r="AG42">
            <v>38.930000305175781</v>
          </cell>
        </row>
        <row r="43">
          <cell r="T43">
            <v>36271</v>
          </cell>
          <cell r="U43">
            <v>1220</v>
          </cell>
          <cell r="V43">
            <v>276319900</v>
          </cell>
          <cell r="AB43">
            <v>36224</v>
          </cell>
          <cell r="AC43">
            <v>2013.41</v>
          </cell>
          <cell r="AF43">
            <v>36231</v>
          </cell>
          <cell r="AG43">
            <v>38.950000762939453</v>
          </cell>
        </row>
        <row r="44">
          <cell r="T44">
            <v>36272</v>
          </cell>
          <cell r="U44">
            <v>1235</v>
          </cell>
          <cell r="V44">
            <v>251481100</v>
          </cell>
          <cell r="AB44">
            <v>36227</v>
          </cell>
          <cell r="AC44">
            <v>2028.28</v>
          </cell>
          <cell r="AF44">
            <v>36232</v>
          </cell>
          <cell r="AG44">
            <v>38.849998474121094</v>
          </cell>
        </row>
        <row r="45">
          <cell r="T45">
            <v>36273</v>
          </cell>
          <cell r="U45">
            <v>1240</v>
          </cell>
          <cell r="V45">
            <v>269955700</v>
          </cell>
          <cell r="AB45">
            <v>36228</v>
          </cell>
          <cell r="AC45">
            <v>1998.41</v>
          </cell>
          <cell r="AF45">
            <v>36234</v>
          </cell>
          <cell r="AG45">
            <v>38.854999542236328</v>
          </cell>
        </row>
        <row r="46">
          <cell r="T46">
            <v>36276</v>
          </cell>
          <cell r="U46">
            <v>1240</v>
          </cell>
          <cell r="V46">
            <v>69765400</v>
          </cell>
          <cell r="AB46">
            <v>36229</v>
          </cell>
          <cell r="AC46">
            <v>1981.48</v>
          </cell>
          <cell r="AF46">
            <v>36235</v>
          </cell>
          <cell r="AG46">
            <v>38.779998779296875</v>
          </cell>
        </row>
        <row r="47">
          <cell r="T47">
            <v>36277</v>
          </cell>
          <cell r="U47">
            <v>1260</v>
          </cell>
          <cell r="V47">
            <v>237832300</v>
          </cell>
          <cell r="AB47">
            <v>36230</v>
          </cell>
          <cell r="AC47">
            <v>1950.52</v>
          </cell>
          <cell r="AF47">
            <v>36236</v>
          </cell>
          <cell r="AG47">
            <v>38.900001525878906</v>
          </cell>
        </row>
        <row r="48">
          <cell r="T48">
            <v>36278</v>
          </cell>
          <cell r="U48">
            <v>1255</v>
          </cell>
          <cell r="V48">
            <v>292291400</v>
          </cell>
          <cell r="AB48">
            <v>36231</v>
          </cell>
          <cell r="AC48">
            <v>1945.3</v>
          </cell>
          <cell r="AF48">
            <v>36237</v>
          </cell>
          <cell r="AG48">
            <v>38.849998474121094</v>
          </cell>
        </row>
        <row r="49">
          <cell r="T49">
            <v>36279</v>
          </cell>
          <cell r="U49">
            <v>1215</v>
          </cell>
          <cell r="V49">
            <v>306893700</v>
          </cell>
          <cell r="AB49">
            <v>36234</v>
          </cell>
          <cell r="AC49">
            <v>1941.34</v>
          </cell>
          <cell r="AF49">
            <v>36238</v>
          </cell>
          <cell r="AG49">
            <v>38.659999847412109</v>
          </cell>
        </row>
        <row r="50">
          <cell r="T50">
            <v>36280</v>
          </cell>
          <cell r="U50">
            <v>1230</v>
          </cell>
          <cell r="V50">
            <v>393461300</v>
          </cell>
          <cell r="AB50">
            <v>36235</v>
          </cell>
          <cell r="AC50">
            <v>1981.84</v>
          </cell>
          <cell r="AF50">
            <v>36241</v>
          </cell>
          <cell r="AG50">
            <v>38.650001525878906</v>
          </cell>
        </row>
        <row r="51">
          <cell r="T51">
            <v>36283</v>
          </cell>
          <cell r="U51">
            <v>1175</v>
          </cell>
          <cell r="V51">
            <v>125419500</v>
          </cell>
          <cell r="AB51">
            <v>36236</v>
          </cell>
          <cell r="AC51">
            <v>1982.79</v>
          </cell>
          <cell r="AF51">
            <v>36242</v>
          </cell>
          <cell r="AG51">
            <v>38.729999542236328</v>
          </cell>
        </row>
        <row r="52">
          <cell r="T52">
            <v>36285</v>
          </cell>
          <cell r="U52">
            <v>1145</v>
          </cell>
          <cell r="V52">
            <v>224889500</v>
          </cell>
          <cell r="AB52">
            <v>36237</v>
          </cell>
          <cell r="AC52">
            <v>2024.05</v>
          </cell>
          <cell r="AF52">
            <v>36243</v>
          </cell>
          <cell r="AG52">
            <v>38.689998626708984</v>
          </cell>
        </row>
        <row r="53">
          <cell r="T53">
            <v>36286</v>
          </cell>
          <cell r="U53">
            <v>1175</v>
          </cell>
          <cell r="V53">
            <v>380077200</v>
          </cell>
          <cell r="AB53">
            <v>36238</v>
          </cell>
          <cell r="AC53">
            <v>2006.46</v>
          </cell>
          <cell r="AF53">
            <v>36244</v>
          </cell>
          <cell r="AG53">
            <v>38.549999237060547</v>
          </cell>
        </row>
        <row r="54">
          <cell r="T54">
            <v>36287</v>
          </cell>
          <cell r="U54">
            <v>1130</v>
          </cell>
          <cell r="V54">
            <v>387268600</v>
          </cell>
          <cell r="AB54">
            <v>36241</v>
          </cell>
          <cell r="AC54">
            <v>2018.49</v>
          </cell>
          <cell r="AF54">
            <v>36245</v>
          </cell>
          <cell r="AG54">
            <v>38.650001525878906</v>
          </cell>
        </row>
        <row r="55">
          <cell r="T55">
            <v>36290</v>
          </cell>
          <cell r="U55">
            <v>1125</v>
          </cell>
          <cell r="V55">
            <v>323051800</v>
          </cell>
          <cell r="AB55">
            <v>36242</v>
          </cell>
          <cell r="AC55">
            <v>2043.97</v>
          </cell>
          <cell r="AF55">
            <v>36246</v>
          </cell>
          <cell r="AG55">
            <v>38.599998474121094</v>
          </cell>
        </row>
        <row r="56">
          <cell r="T56">
            <v>36291</v>
          </cell>
          <cell r="U56">
            <v>1145</v>
          </cell>
          <cell r="V56">
            <v>100128000</v>
          </cell>
          <cell r="AB56">
            <v>36243</v>
          </cell>
          <cell r="AC56">
            <v>2025.54</v>
          </cell>
          <cell r="AF56">
            <v>36248</v>
          </cell>
          <cell r="AG56">
            <v>38.7760009765625</v>
          </cell>
        </row>
        <row r="57">
          <cell r="T57">
            <v>36292</v>
          </cell>
          <cell r="U57">
            <v>1200</v>
          </cell>
          <cell r="V57">
            <v>167901200</v>
          </cell>
          <cell r="AB57">
            <v>36244</v>
          </cell>
          <cell r="AC57">
            <v>1999.27</v>
          </cell>
          <cell r="AF57">
            <v>36249</v>
          </cell>
          <cell r="AG57">
            <v>38.700000762939453</v>
          </cell>
        </row>
        <row r="58">
          <cell r="T58">
            <v>36293</v>
          </cell>
          <cell r="U58">
            <v>1190</v>
          </cell>
          <cell r="V58">
            <v>152811400</v>
          </cell>
          <cell r="AB58">
            <v>36245</v>
          </cell>
          <cell r="AC58">
            <v>2022.07</v>
          </cell>
          <cell r="AF58">
            <v>36250</v>
          </cell>
          <cell r="AG58">
            <v>38.599998474121094</v>
          </cell>
        </row>
        <row r="59">
          <cell r="T59">
            <v>36294</v>
          </cell>
          <cell r="U59">
            <v>1190</v>
          </cell>
          <cell r="V59">
            <v>199258300</v>
          </cell>
          <cell r="AB59">
            <v>36248</v>
          </cell>
          <cell r="AC59">
            <v>2009.26</v>
          </cell>
          <cell r="AF59">
            <v>36251</v>
          </cell>
          <cell r="AG59">
            <v>38.720001220703125</v>
          </cell>
        </row>
        <row r="60">
          <cell r="T60">
            <v>36297</v>
          </cell>
          <cell r="U60">
            <v>1160</v>
          </cell>
          <cell r="V60">
            <v>44370000</v>
          </cell>
          <cell r="AB60">
            <v>36249</v>
          </cell>
          <cell r="AC60">
            <v>2012.02</v>
          </cell>
          <cell r="AF60">
            <v>36252</v>
          </cell>
          <cell r="AG60">
            <v>38.599998474121094</v>
          </cell>
        </row>
        <row r="61">
          <cell r="T61">
            <v>36298</v>
          </cell>
          <cell r="U61">
            <v>1145</v>
          </cell>
          <cell r="V61">
            <v>171113100</v>
          </cell>
          <cell r="AB61">
            <v>36250</v>
          </cell>
          <cell r="AC61">
            <v>2028.21</v>
          </cell>
          <cell r="AF61">
            <v>36253</v>
          </cell>
          <cell r="AG61">
            <v>38.599998474121094</v>
          </cell>
        </row>
        <row r="62">
          <cell r="T62">
            <v>36299</v>
          </cell>
          <cell r="U62">
            <v>1085</v>
          </cell>
          <cell r="V62">
            <v>194602400</v>
          </cell>
          <cell r="AB62">
            <v>36255</v>
          </cell>
          <cell r="AC62">
            <v>2043.36</v>
          </cell>
          <cell r="AF62">
            <v>36255</v>
          </cell>
          <cell r="AG62">
            <v>38.520000457763672</v>
          </cell>
        </row>
        <row r="63">
          <cell r="T63">
            <v>36300</v>
          </cell>
          <cell r="U63">
            <v>1050</v>
          </cell>
          <cell r="V63">
            <v>312834200</v>
          </cell>
          <cell r="AB63">
            <v>36256</v>
          </cell>
          <cell r="AC63">
            <v>2043.36</v>
          </cell>
          <cell r="AF63">
            <v>36256</v>
          </cell>
          <cell r="AG63">
            <v>38.400001525878906</v>
          </cell>
        </row>
        <row r="64">
          <cell r="T64">
            <v>36301</v>
          </cell>
          <cell r="U64">
            <v>1060</v>
          </cell>
          <cell r="V64">
            <v>233961700</v>
          </cell>
          <cell r="AB64">
            <v>36257</v>
          </cell>
          <cell r="AC64">
            <v>2104.88</v>
          </cell>
          <cell r="AF64">
            <v>36257</v>
          </cell>
          <cell r="AG64">
            <v>38.400001525878906</v>
          </cell>
        </row>
        <row r="65">
          <cell r="T65">
            <v>36304</v>
          </cell>
          <cell r="U65">
            <v>1060</v>
          </cell>
          <cell r="V65">
            <v>114643500</v>
          </cell>
          <cell r="AB65">
            <v>36258</v>
          </cell>
          <cell r="AC65">
            <v>2104.88</v>
          </cell>
          <cell r="AF65">
            <v>36258</v>
          </cell>
          <cell r="AG65">
            <v>38.400001525878906</v>
          </cell>
        </row>
        <row r="66">
          <cell r="T66">
            <v>36305</v>
          </cell>
          <cell r="U66">
            <v>1070</v>
          </cell>
          <cell r="V66">
            <v>166748100</v>
          </cell>
          <cell r="AB66">
            <v>36262</v>
          </cell>
          <cell r="AC66">
            <v>2157.08</v>
          </cell>
          <cell r="AF66">
            <v>36259</v>
          </cell>
          <cell r="AG66">
            <v>38.400001525878906</v>
          </cell>
        </row>
        <row r="67">
          <cell r="T67">
            <v>36306</v>
          </cell>
          <cell r="U67">
            <v>1020</v>
          </cell>
          <cell r="V67">
            <v>325420400</v>
          </cell>
          <cell r="AB67">
            <v>36263</v>
          </cell>
          <cell r="AC67">
            <v>2157.64</v>
          </cell>
          <cell r="AF67">
            <v>36260</v>
          </cell>
          <cell r="AG67">
            <v>38.400001525878906</v>
          </cell>
        </row>
        <row r="68">
          <cell r="T68">
            <v>36307</v>
          </cell>
          <cell r="U68">
            <v>1060</v>
          </cell>
          <cell r="V68">
            <v>411905200</v>
          </cell>
          <cell r="AB68">
            <v>36264</v>
          </cell>
          <cell r="AC68">
            <v>2168.41</v>
          </cell>
          <cell r="AF68">
            <v>36262</v>
          </cell>
          <cell r="AG68">
            <v>38.400001525878906</v>
          </cell>
        </row>
        <row r="69">
          <cell r="T69">
            <v>36308</v>
          </cell>
          <cell r="U69">
            <v>1070</v>
          </cell>
          <cell r="V69">
            <v>304220400</v>
          </cell>
          <cell r="AB69">
            <v>36265</v>
          </cell>
          <cell r="AC69">
            <v>2177.36</v>
          </cell>
          <cell r="AF69">
            <v>36263</v>
          </cell>
          <cell r="AG69">
            <v>38.150001525878906</v>
          </cell>
        </row>
        <row r="70">
          <cell r="T70">
            <v>36311</v>
          </cell>
          <cell r="U70">
            <v>1115</v>
          </cell>
          <cell r="V70">
            <v>271240700</v>
          </cell>
          <cell r="AB70">
            <v>36266</v>
          </cell>
          <cell r="AC70">
            <v>2233.64</v>
          </cell>
          <cell r="AF70">
            <v>36264</v>
          </cell>
          <cell r="AG70">
            <v>38.119998931884766</v>
          </cell>
        </row>
        <row r="71">
          <cell r="T71">
            <v>36312</v>
          </cell>
          <cell r="U71">
            <v>1110</v>
          </cell>
          <cell r="V71">
            <v>155077900</v>
          </cell>
          <cell r="AB71">
            <v>36269</v>
          </cell>
          <cell r="AC71">
            <v>2355.98</v>
          </cell>
          <cell r="AF71">
            <v>36265</v>
          </cell>
          <cell r="AG71">
            <v>38.049999237060547</v>
          </cell>
        </row>
        <row r="72">
          <cell r="T72">
            <v>36313</v>
          </cell>
          <cell r="U72">
            <v>1075</v>
          </cell>
          <cell r="V72">
            <v>208328700</v>
          </cell>
          <cell r="AB72">
            <v>36270</v>
          </cell>
          <cell r="AC72">
            <v>2358.65</v>
          </cell>
          <cell r="AF72">
            <v>36266</v>
          </cell>
          <cell r="AG72">
            <v>38.049999237060547</v>
          </cell>
        </row>
        <row r="73">
          <cell r="T73">
            <v>36314</v>
          </cell>
          <cell r="U73">
            <v>1065</v>
          </cell>
          <cell r="V73">
            <v>152511100</v>
          </cell>
          <cell r="AB73">
            <v>36271</v>
          </cell>
          <cell r="AC73">
            <v>2312.9699999999998</v>
          </cell>
          <cell r="AF73">
            <v>36267</v>
          </cell>
          <cell r="AG73">
            <v>38.099998474121094</v>
          </cell>
        </row>
        <row r="74">
          <cell r="T74">
            <v>36315</v>
          </cell>
          <cell r="U74">
            <v>1055</v>
          </cell>
          <cell r="V74">
            <v>352599900</v>
          </cell>
          <cell r="AB74">
            <v>36272</v>
          </cell>
          <cell r="AC74">
            <v>2338.41</v>
          </cell>
          <cell r="AF74">
            <v>36269</v>
          </cell>
          <cell r="AG74">
            <v>37.900001525878906</v>
          </cell>
        </row>
        <row r="75">
          <cell r="T75">
            <v>36318</v>
          </cell>
          <cell r="U75">
            <v>1120</v>
          </cell>
          <cell r="V75">
            <v>724736300</v>
          </cell>
          <cell r="AB75">
            <v>36273</v>
          </cell>
          <cell r="AC75">
            <v>2384.4699999999998</v>
          </cell>
          <cell r="AF75">
            <v>36270</v>
          </cell>
          <cell r="AG75">
            <v>37.950000762939453</v>
          </cell>
        </row>
        <row r="76">
          <cell r="T76">
            <v>36319</v>
          </cell>
          <cell r="U76">
            <v>1125</v>
          </cell>
          <cell r="V76">
            <v>417707100</v>
          </cell>
          <cell r="AB76">
            <v>36276</v>
          </cell>
          <cell r="AC76">
            <v>2395.4699999999998</v>
          </cell>
          <cell r="AF76">
            <v>36271</v>
          </cell>
          <cell r="AG76">
            <v>38.040000915527344</v>
          </cell>
        </row>
        <row r="77">
          <cell r="T77">
            <v>36320</v>
          </cell>
          <cell r="U77">
            <v>1090</v>
          </cell>
          <cell r="V77">
            <v>159329000</v>
          </cell>
          <cell r="AB77">
            <v>36277</v>
          </cell>
          <cell r="AC77">
            <v>2420.85</v>
          </cell>
          <cell r="AF77">
            <v>36272</v>
          </cell>
          <cell r="AG77">
            <v>38.130001068115234</v>
          </cell>
        </row>
        <row r="78">
          <cell r="T78">
            <v>36321</v>
          </cell>
          <cell r="U78">
            <v>1100</v>
          </cell>
          <cell r="V78">
            <v>105789400</v>
          </cell>
          <cell r="AB78">
            <v>36278</v>
          </cell>
          <cell r="AC78">
            <v>2459.9899999999998</v>
          </cell>
          <cell r="AF78">
            <v>36273</v>
          </cell>
          <cell r="AG78">
            <v>37.900001525878906</v>
          </cell>
        </row>
        <row r="79">
          <cell r="T79">
            <v>36322</v>
          </cell>
          <cell r="U79">
            <v>1075</v>
          </cell>
          <cell r="V79">
            <v>153689600</v>
          </cell>
          <cell r="AB79">
            <v>36279</v>
          </cell>
          <cell r="AC79">
            <v>2433.4899999999998</v>
          </cell>
          <cell r="AF79">
            <v>36274</v>
          </cell>
          <cell r="AG79">
            <v>37.849998474121094</v>
          </cell>
        </row>
        <row r="80">
          <cell r="T80">
            <v>36325</v>
          </cell>
          <cell r="U80">
            <v>1110</v>
          </cell>
          <cell r="V80">
            <v>285128000</v>
          </cell>
          <cell r="AB80">
            <v>36280</v>
          </cell>
          <cell r="AC80">
            <v>2433.6999999999998</v>
          </cell>
          <cell r="AF80">
            <v>36276</v>
          </cell>
          <cell r="AG80">
            <v>37.950000762939453</v>
          </cell>
        </row>
        <row r="81">
          <cell r="T81">
            <v>36326</v>
          </cell>
          <cell r="U81">
            <v>1100</v>
          </cell>
          <cell r="V81">
            <v>201582800</v>
          </cell>
          <cell r="AB81">
            <v>36283</v>
          </cell>
          <cell r="AC81">
            <v>2446.7399999999998</v>
          </cell>
          <cell r="AF81">
            <v>36277</v>
          </cell>
          <cell r="AG81">
            <v>37.979999542236328</v>
          </cell>
        </row>
        <row r="82">
          <cell r="T82">
            <v>36327</v>
          </cell>
          <cell r="U82">
            <v>1115</v>
          </cell>
          <cell r="V82">
            <v>73953600</v>
          </cell>
          <cell r="AB82">
            <v>36284</v>
          </cell>
          <cell r="AC82">
            <v>2464.84</v>
          </cell>
          <cell r="AF82">
            <v>36278</v>
          </cell>
          <cell r="AG82">
            <v>38.020000457763672</v>
          </cell>
        </row>
        <row r="83">
          <cell r="T83">
            <v>36328</v>
          </cell>
          <cell r="U83">
            <v>1145</v>
          </cell>
          <cell r="V83">
            <v>181251700</v>
          </cell>
          <cell r="AB83">
            <v>36285</v>
          </cell>
          <cell r="AC83">
            <v>2447.67</v>
          </cell>
          <cell r="AF83">
            <v>36279</v>
          </cell>
          <cell r="AG83">
            <v>38</v>
          </cell>
        </row>
        <row r="84">
          <cell r="T84">
            <v>36329</v>
          </cell>
          <cell r="U84">
            <v>1150</v>
          </cell>
          <cell r="V84">
            <v>208041900</v>
          </cell>
          <cell r="AB84">
            <v>36286</v>
          </cell>
          <cell r="AC84">
            <v>2516.83</v>
          </cell>
          <cell r="AF84">
            <v>36280</v>
          </cell>
          <cell r="AG84">
            <v>37.950000762939453</v>
          </cell>
        </row>
        <row r="85">
          <cell r="T85">
            <v>36332</v>
          </cell>
          <cell r="U85">
            <v>1170</v>
          </cell>
          <cell r="V85">
            <v>74172750</v>
          </cell>
          <cell r="AB85">
            <v>36287</v>
          </cell>
          <cell r="AC85">
            <v>2526.7600000000002</v>
          </cell>
          <cell r="AF85">
            <v>36281</v>
          </cell>
          <cell r="AG85">
            <v>37.900001525878906</v>
          </cell>
        </row>
        <row r="86">
          <cell r="T86">
            <v>36333</v>
          </cell>
          <cell r="U86">
            <v>1170</v>
          </cell>
          <cell r="V86">
            <v>350172400</v>
          </cell>
          <cell r="AB86">
            <v>36290</v>
          </cell>
          <cell r="AC86">
            <v>2564.83</v>
          </cell>
          <cell r="AF86">
            <v>36283</v>
          </cell>
          <cell r="AG86">
            <v>37.599998474121094</v>
          </cell>
        </row>
        <row r="87">
          <cell r="T87">
            <v>36334</v>
          </cell>
          <cell r="U87">
            <v>1115</v>
          </cell>
          <cell r="V87">
            <v>298658800</v>
          </cell>
          <cell r="AB87">
            <v>36291</v>
          </cell>
          <cell r="AC87">
            <v>2537.58</v>
          </cell>
          <cell r="AF87">
            <v>36286</v>
          </cell>
          <cell r="AG87">
            <v>37.939998626708984</v>
          </cell>
        </row>
        <row r="88">
          <cell r="T88">
            <v>36335</v>
          </cell>
          <cell r="U88">
            <v>1140</v>
          </cell>
          <cell r="V88">
            <v>125846800</v>
          </cell>
          <cell r="AB88">
            <v>36292</v>
          </cell>
          <cell r="AC88">
            <v>2579.52</v>
          </cell>
          <cell r="AF88">
            <v>36292</v>
          </cell>
          <cell r="AG88">
            <v>37.569999694824219</v>
          </cell>
        </row>
        <row r="89">
          <cell r="T89">
            <v>36336</v>
          </cell>
          <cell r="U89">
            <v>1115</v>
          </cell>
          <cell r="V89">
            <v>149671500</v>
          </cell>
          <cell r="AB89">
            <v>36293</v>
          </cell>
          <cell r="AC89">
            <v>2522.0100000000002</v>
          </cell>
          <cell r="AF89">
            <v>36293</v>
          </cell>
          <cell r="AG89">
            <v>37.715000152587891</v>
          </cell>
        </row>
        <row r="90">
          <cell r="T90">
            <v>36339</v>
          </cell>
          <cell r="U90">
            <v>1110</v>
          </cell>
          <cell r="V90">
            <v>191952000</v>
          </cell>
          <cell r="AB90">
            <v>36294</v>
          </cell>
          <cell r="AC90">
            <v>2502.75</v>
          </cell>
          <cell r="AF90">
            <v>36294</v>
          </cell>
          <cell r="AG90">
            <v>37.775001525878906</v>
          </cell>
        </row>
        <row r="91">
          <cell r="T91">
            <v>36340</v>
          </cell>
          <cell r="U91">
            <v>1140</v>
          </cell>
          <cell r="V91">
            <v>114199900</v>
          </cell>
          <cell r="AB91">
            <v>36297</v>
          </cell>
          <cell r="AC91">
            <v>2453.59</v>
          </cell>
          <cell r="AF91">
            <v>36297</v>
          </cell>
          <cell r="AG91">
            <v>37.900001525878906</v>
          </cell>
        </row>
        <row r="92">
          <cell r="T92">
            <v>36341</v>
          </cell>
          <cell r="U92">
            <v>1160</v>
          </cell>
          <cell r="V92">
            <v>271381200</v>
          </cell>
          <cell r="AB92">
            <v>36298</v>
          </cell>
          <cell r="AC92">
            <v>2468.3000000000002</v>
          </cell>
          <cell r="AF92">
            <v>36298</v>
          </cell>
          <cell r="AG92">
            <v>37.650001525878906</v>
          </cell>
        </row>
        <row r="93">
          <cell r="T93">
            <v>36342</v>
          </cell>
          <cell r="U93">
            <v>1205</v>
          </cell>
          <cell r="V93">
            <v>784659100</v>
          </cell>
          <cell r="AB93">
            <v>36299</v>
          </cell>
          <cell r="AC93">
            <v>2390.8200000000002</v>
          </cell>
          <cell r="AF93">
            <v>36299</v>
          </cell>
          <cell r="AG93">
            <v>37.75</v>
          </cell>
        </row>
        <row r="94">
          <cell r="T94">
            <v>36343</v>
          </cell>
          <cell r="U94">
            <v>1225</v>
          </cell>
          <cell r="V94">
            <v>339202000</v>
          </cell>
          <cell r="AB94">
            <v>36300</v>
          </cell>
          <cell r="AC94">
            <v>2369.1999999999998</v>
          </cell>
          <cell r="AF94">
            <v>36300</v>
          </cell>
          <cell r="AG94">
            <v>37.840000152587891</v>
          </cell>
        </row>
        <row r="95">
          <cell r="T95">
            <v>36346</v>
          </cell>
          <cell r="U95">
            <v>1245</v>
          </cell>
          <cell r="V95">
            <v>454683100</v>
          </cell>
          <cell r="AB95">
            <v>36301</v>
          </cell>
          <cell r="AC95">
            <v>2377.13</v>
          </cell>
          <cell r="AF95">
            <v>36301</v>
          </cell>
          <cell r="AG95">
            <v>37.75</v>
          </cell>
        </row>
        <row r="96">
          <cell r="T96">
            <v>36347</v>
          </cell>
          <cell r="U96">
            <v>1245</v>
          </cell>
          <cell r="V96">
            <v>438056300</v>
          </cell>
          <cell r="AB96">
            <v>36304</v>
          </cell>
          <cell r="AC96">
            <v>2405.4699999999998</v>
          </cell>
          <cell r="AF96">
            <v>36302</v>
          </cell>
          <cell r="AG96">
            <v>37.75</v>
          </cell>
        </row>
        <row r="97">
          <cell r="T97">
            <v>36348</v>
          </cell>
          <cell r="U97">
            <v>1240</v>
          </cell>
          <cell r="V97">
            <v>419888800</v>
          </cell>
          <cell r="AB97">
            <v>36305</v>
          </cell>
          <cell r="AC97">
            <v>2370.37</v>
          </cell>
          <cell r="AF97">
            <v>36304</v>
          </cell>
          <cell r="AG97">
            <v>37.819999694824219</v>
          </cell>
        </row>
        <row r="98">
          <cell r="T98">
            <v>36349</v>
          </cell>
          <cell r="U98">
            <v>1250</v>
          </cell>
          <cell r="V98">
            <v>137994100</v>
          </cell>
          <cell r="AB98">
            <v>36306</v>
          </cell>
          <cell r="AC98">
            <v>2390.35</v>
          </cell>
          <cell r="AF98">
            <v>36305</v>
          </cell>
          <cell r="AG98">
            <v>37.840000152587891</v>
          </cell>
        </row>
        <row r="99">
          <cell r="T99">
            <v>36350</v>
          </cell>
          <cell r="U99">
            <v>1260</v>
          </cell>
          <cell r="V99">
            <v>197999600</v>
          </cell>
          <cell r="AB99">
            <v>36307</v>
          </cell>
          <cell r="AC99">
            <v>2402.88</v>
          </cell>
          <cell r="AF99">
            <v>36306</v>
          </cell>
          <cell r="AG99">
            <v>38.020000457763672</v>
          </cell>
        </row>
        <row r="100">
          <cell r="T100">
            <v>36353</v>
          </cell>
          <cell r="U100">
            <v>1270</v>
          </cell>
          <cell r="V100">
            <v>118082800</v>
          </cell>
          <cell r="AB100">
            <v>36308</v>
          </cell>
          <cell r="AC100">
            <v>2392.2800000000002</v>
          </cell>
          <cell r="AF100">
            <v>36307</v>
          </cell>
          <cell r="AG100">
            <v>38</v>
          </cell>
        </row>
        <row r="101">
          <cell r="T101">
            <v>36354</v>
          </cell>
          <cell r="U101">
            <v>1275</v>
          </cell>
          <cell r="V101">
            <v>62475000</v>
          </cell>
          <cell r="AB101">
            <v>36311</v>
          </cell>
          <cell r="AC101">
            <v>2419.83</v>
          </cell>
          <cell r="AF101">
            <v>36308</v>
          </cell>
          <cell r="AG101">
            <v>38.075000762939453</v>
          </cell>
        </row>
        <row r="102">
          <cell r="T102">
            <v>36355</v>
          </cell>
          <cell r="U102">
            <v>1255</v>
          </cell>
          <cell r="V102">
            <v>364108100</v>
          </cell>
          <cell r="AB102">
            <v>36312</v>
          </cell>
          <cell r="AC102">
            <v>2440.3200000000002</v>
          </cell>
          <cell r="AF102">
            <v>36309</v>
          </cell>
          <cell r="AG102">
            <v>37.900001525878906</v>
          </cell>
        </row>
        <row r="103">
          <cell r="T103">
            <v>36356</v>
          </cell>
          <cell r="U103">
            <v>1250</v>
          </cell>
          <cell r="V103">
            <v>323150900</v>
          </cell>
          <cell r="AB103">
            <v>36313</v>
          </cell>
          <cell r="AC103">
            <v>2415.77</v>
          </cell>
          <cell r="AF103">
            <v>36311</v>
          </cell>
          <cell r="AG103">
            <v>38.005001068115234</v>
          </cell>
        </row>
        <row r="104">
          <cell r="T104">
            <v>36357</v>
          </cell>
          <cell r="U104">
            <v>1235</v>
          </cell>
          <cell r="V104">
            <v>336833400</v>
          </cell>
          <cell r="AB104">
            <v>36314</v>
          </cell>
          <cell r="AC104">
            <v>2382.41</v>
          </cell>
          <cell r="AF104">
            <v>36312</v>
          </cell>
          <cell r="AG104">
            <v>38</v>
          </cell>
        </row>
        <row r="105">
          <cell r="T105">
            <v>36360</v>
          </cell>
          <cell r="U105">
            <v>1230</v>
          </cell>
          <cell r="V105">
            <v>155855600</v>
          </cell>
          <cell r="AB105">
            <v>36315</v>
          </cell>
          <cell r="AC105">
            <v>2354.6</v>
          </cell>
          <cell r="AF105">
            <v>36313</v>
          </cell>
          <cell r="AG105">
            <v>37.970001220703125</v>
          </cell>
        </row>
        <row r="106">
          <cell r="T106">
            <v>36361</v>
          </cell>
          <cell r="U106">
            <v>1210</v>
          </cell>
          <cell r="V106">
            <v>324426300</v>
          </cell>
          <cell r="AB106">
            <v>36318</v>
          </cell>
          <cell r="AC106">
            <v>2403.0100000000002</v>
          </cell>
          <cell r="AF106">
            <v>36314</v>
          </cell>
          <cell r="AG106">
            <v>38</v>
          </cell>
        </row>
        <row r="107">
          <cell r="T107">
            <v>36362</v>
          </cell>
          <cell r="U107">
            <v>1210</v>
          </cell>
          <cell r="V107">
            <v>207984700</v>
          </cell>
          <cell r="AB107">
            <v>36319</v>
          </cell>
          <cell r="AC107">
            <v>2415.0700000000002</v>
          </cell>
          <cell r="AF107">
            <v>36315</v>
          </cell>
          <cell r="AG107">
            <v>38.025001525878906</v>
          </cell>
        </row>
        <row r="108">
          <cell r="T108">
            <v>36363</v>
          </cell>
          <cell r="U108">
            <v>1190</v>
          </cell>
          <cell r="V108">
            <v>281252700</v>
          </cell>
          <cell r="AB108">
            <v>36320</v>
          </cell>
          <cell r="AC108">
            <v>2366.4499999999998</v>
          </cell>
          <cell r="AF108">
            <v>36316</v>
          </cell>
          <cell r="AG108">
            <v>37.950000762939453</v>
          </cell>
        </row>
        <row r="109">
          <cell r="T109">
            <v>36364</v>
          </cell>
          <cell r="U109">
            <v>1150</v>
          </cell>
          <cell r="V109">
            <v>449064200</v>
          </cell>
          <cell r="AB109">
            <v>36321</v>
          </cell>
          <cell r="AC109">
            <v>2372.9</v>
          </cell>
          <cell r="AF109">
            <v>36318</v>
          </cell>
          <cell r="AG109">
            <v>37.970001220703125</v>
          </cell>
        </row>
        <row r="110">
          <cell r="T110">
            <v>36367</v>
          </cell>
          <cell r="U110">
            <v>1120</v>
          </cell>
          <cell r="V110">
            <v>274536400</v>
          </cell>
          <cell r="AB110">
            <v>36322</v>
          </cell>
          <cell r="AC110">
            <v>2367.79</v>
          </cell>
          <cell r="AF110">
            <v>36319</v>
          </cell>
          <cell r="AG110">
            <v>37.849998474121094</v>
          </cell>
        </row>
        <row r="111">
          <cell r="T111">
            <v>36368</v>
          </cell>
          <cell r="U111">
            <v>1100</v>
          </cell>
          <cell r="V111">
            <v>319749900</v>
          </cell>
          <cell r="AB111">
            <v>36325</v>
          </cell>
          <cell r="AC111">
            <v>2391.1999999999998</v>
          </cell>
          <cell r="AF111">
            <v>36320</v>
          </cell>
          <cell r="AG111">
            <v>37.790000915527344</v>
          </cell>
        </row>
        <row r="112">
          <cell r="T112">
            <v>36369</v>
          </cell>
          <cell r="U112">
            <v>1120</v>
          </cell>
          <cell r="V112">
            <v>378265900</v>
          </cell>
          <cell r="AB112">
            <v>36326</v>
          </cell>
          <cell r="AC112">
            <v>2385.4499999999998</v>
          </cell>
          <cell r="AF112">
            <v>36321</v>
          </cell>
          <cell r="AG112">
            <v>37.840000152587891</v>
          </cell>
        </row>
        <row r="113">
          <cell r="T113">
            <v>36370</v>
          </cell>
          <cell r="U113">
            <v>1115</v>
          </cell>
          <cell r="V113">
            <v>538624600</v>
          </cell>
          <cell r="AB113">
            <v>36327</v>
          </cell>
          <cell r="AC113">
            <v>2391.3000000000002</v>
          </cell>
          <cell r="AF113">
            <v>36322</v>
          </cell>
          <cell r="AG113">
            <v>37.869998931884766</v>
          </cell>
        </row>
        <row r="114">
          <cell r="T114">
            <v>36371</v>
          </cell>
          <cell r="U114">
            <v>1110</v>
          </cell>
          <cell r="V114">
            <v>211983300</v>
          </cell>
          <cell r="AB114">
            <v>36328</v>
          </cell>
          <cell r="AC114">
            <v>2418.08</v>
          </cell>
          <cell r="AF114">
            <v>36325</v>
          </cell>
          <cell r="AG114">
            <v>37.919998168945313</v>
          </cell>
        </row>
        <row r="115">
          <cell r="T115">
            <v>36374</v>
          </cell>
          <cell r="U115">
            <v>1110</v>
          </cell>
          <cell r="V115">
            <v>169441700</v>
          </cell>
          <cell r="AB115">
            <v>36329</v>
          </cell>
          <cell r="AC115">
            <v>2429.64</v>
          </cell>
          <cell r="AF115">
            <v>36326</v>
          </cell>
          <cell r="AG115">
            <v>37.814998626708984</v>
          </cell>
        </row>
        <row r="116">
          <cell r="T116">
            <v>36376</v>
          </cell>
          <cell r="U116">
            <v>1110</v>
          </cell>
          <cell r="V116">
            <v>202860600</v>
          </cell>
          <cell r="AB116">
            <v>36332</v>
          </cell>
          <cell r="AC116">
            <v>2448.62</v>
          </cell>
          <cell r="AF116">
            <v>36327</v>
          </cell>
          <cell r="AG116">
            <v>37.790000915527344</v>
          </cell>
        </row>
        <row r="117">
          <cell r="T117">
            <v>36377</v>
          </cell>
          <cell r="U117">
            <v>1110</v>
          </cell>
          <cell r="V117">
            <v>271692600</v>
          </cell>
          <cell r="AB117">
            <v>36333</v>
          </cell>
          <cell r="AC117">
            <v>2478.61</v>
          </cell>
          <cell r="AF117">
            <v>36328</v>
          </cell>
          <cell r="AG117">
            <v>37.755001068115234</v>
          </cell>
        </row>
        <row r="118">
          <cell r="T118">
            <v>36378</v>
          </cell>
          <cell r="U118">
            <v>1075</v>
          </cell>
          <cell r="V118">
            <v>143331100</v>
          </cell>
          <cell r="AB118">
            <v>36334</v>
          </cell>
          <cell r="AC118">
            <v>2470.92</v>
          </cell>
          <cell r="AF118">
            <v>36329</v>
          </cell>
          <cell r="AG118">
            <v>37.799999237060547</v>
          </cell>
        </row>
        <row r="119">
          <cell r="T119">
            <v>36381</v>
          </cell>
          <cell r="U119">
            <v>1095</v>
          </cell>
          <cell r="V119">
            <v>106270400</v>
          </cell>
          <cell r="AB119">
            <v>36335</v>
          </cell>
          <cell r="AC119">
            <v>2498.5300000000002</v>
          </cell>
          <cell r="AF119">
            <v>36332</v>
          </cell>
          <cell r="AG119">
            <v>37.875</v>
          </cell>
        </row>
        <row r="120">
          <cell r="T120">
            <v>36382</v>
          </cell>
          <cell r="U120">
            <v>1100</v>
          </cell>
          <cell r="V120">
            <v>29277400</v>
          </cell>
          <cell r="AB120">
            <v>36336</v>
          </cell>
          <cell r="AC120">
            <v>2463.98</v>
          </cell>
          <cell r="AF120">
            <v>36333</v>
          </cell>
          <cell r="AG120">
            <v>37.849998474121094</v>
          </cell>
        </row>
        <row r="121">
          <cell r="T121">
            <v>36383</v>
          </cell>
          <cell r="U121">
            <v>1065</v>
          </cell>
          <cell r="V121">
            <v>184595200</v>
          </cell>
          <cell r="AB121">
            <v>36339</v>
          </cell>
          <cell r="AC121">
            <v>2462.0500000000002</v>
          </cell>
          <cell r="AF121">
            <v>36334</v>
          </cell>
          <cell r="AG121">
            <v>37.790000915527344</v>
          </cell>
        </row>
        <row r="122">
          <cell r="T122">
            <v>36384</v>
          </cell>
          <cell r="U122">
            <v>1070</v>
          </cell>
          <cell r="V122">
            <v>69282500</v>
          </cell>
          <cell r="AB122">
            <v>36340</v>
          </cell>
          <cell r="AC122">
            <v>2484.5700000000002</v>
          </cell>
          <cell r="AF122">
            <v>36335</v>
          </cell>
          <cell r="AG122">
            <v>37.880001068115234</v>
          </cell>
        </row>
        <row r="123">
          <cell r="T123">
            <v>36385</v>
          </cell>
          <cell r="U123">
            <v>1040</v>
          </cell>
          <cell r="V123">
            <v>231368300</v>
          </cell>
          <cell r="AB123">
            <v>36341</v>
          </cell>
          <cell r="AC123">
            <v>2486.96</v>
          </cell>
          <cell r="AF123">
            <v>36336</v>
          </cell>
          <cell r="AG123">
            <v>37.970001220703125</v>
          </cell>
        </row>
        <row r="124">
          <cell r="T124">
            <v>36388</v>
          </cell>
          <cell r="U124">
            <v>1030</v>
          </cell>
          <cell r="V124">
            <v>229653600</v>
          </cell>
          <cell r="AB124">
            <v>36342</v>
          </cell>
          <cell r="AC124">
            <v>2543.3000000000002</v>
          </cell>
          <cell r="AF124">
            <v>36339</v>
          </cell>
          <cell r="AG124">
            <v>37.900001525878906</v>
          </cell>
        </row>
        <row r="125">
          <cell r="T125">
            <v>36389</v>
          </cell>
          <cell r="U125">
            <v>950</v>
          </cell>
          <cell r="V125">
            <v>537310800</v>
          </cell>
          <cell r="AB125">
            <v>36343</v>
          </cell>
          <cell r="AC125">
            <v>2578.7199999999998</v>
          </cell>
          <cell r="AF125">
            <v>36340</v>
          </cell>
          <cell r="AG125">
            <v>37.900001525878906</v>
          </cell>
        </row>
        <row r="126">
          <cell r="T126">
            <v>36390</v>
          </cell>
          <cell r="U126">
            <v>930</v>
          </cell>
          <cell r="V126">
            <v>482963900</v>
          </cell>
          <cell r="AB126">
            <v>36346</v>
          </cell>
          <cell r="AC126">
            <v>2621.67</v>
          </cell>
          <cell r="AF126">
            <v>36341</v>
          </cell>
          <cell r="AG126">
            <v>37.900001525878906</v>
          </cell>
        </row>
        <row r="127">
          <cell r="T127">
            <v>36391</v>
          </cell>
          <cell r="U127">
            <v>925</v>
          </cell>
          <cell r="V127">
            <v>509840500</v>
          </cell>
          <cell r="AB127">
            <v>36347</v>
          </cell>
          <cell r="AC127">
            <v>2610.36</v>
          </cell>
          <cell r="AF127">
            <v>36342</v>
          </cell>
          <cell r="AG127">
            <v>37.950000762939453</v>
          </cell>
        </row>
        <row r="128">
          <cell r="T128">
            <v>36392</v>
          </cell>
          <cell r="U128">
            <v>970</v>
          </cell>
          <cell r="V128">
            <v>729859600</v>
          </cell>
          <cell r="AB128">
            <v>36348</v>
          </cell>
          <cell r="AC128">
            <v>2605.59</v>
          </cell>
          <cell r="AF128">
            <v>36343</v>
          </cell>
          <cell r="AG128">
            <v>38.029998779296875</v>
          </cell>
        </row>
        <row r="129">
          <cell r="T129">
            <v>36395</v>
          </cell>
          <cell r="U129">
            <v>975</v>
          </cell>
          <cell r="V129">
            <v>314126100</v>
          </cell>
          <cell r="AB129">
            <v>36349</v>
          </cell>
          <cell r="AC129">
            <v>2612.1799999999998</v>
          </cell>
          <cell r="AF129">
            <v>36344</v>
          </cell>
          <cell r="AG129">
            <v>37.950000762939453</v>
          </cell>
        </row>
        <row r="130">
          <cell r="T130">
            <v>36396</v>
          </cell>
          <cell r="U130">
            <v>980</v>
          </cell>
          <cell r="V130">
            <v>328304800</v>
          </cell>
          <cell r="AB130">
            <v>36350</v>
          </cell>
          <cell r="AC130">
            <v>2594.7199999999998</v>
          </cell>
          <cell r="AF130">
            <v>36346</v>
          </cell>
          <cell r="AG130">
            <v>38.099998474121094</v>
          </cell>
        </row>
        <row r="131">
          <cell r="T131">
            <v>36397</v>
          </cell>
          <cell r="U131">
            <v>980</v>
          </cell>
          <cell r="V131">
            <v>312068800</v>
          </cell>
          <cell r="AB131">
            <v>36353</v>
          </cell>
          <cell r="AC131">
            <v>2606.21</v>
          </cell>
          <cell r="AF131">
            <v>36347</v>
          </cell>
          <cell r="AG131">
            <v>38.099998474121094</v>
          </cell>
        </row>
        <row r="132">
          <cell r="T132">
            <v>36398</v>
          </cell>
          <cell r="U132">
            <v>980</v>
          </cell>
          <cell r="V132">
            <v>130389600</v>
          </cell>
          <cell r="AB132">
            <v>36354</v>
          </cell>
          <cell r="AC132">
            <v>2604.4899999999998</v>
          </cell>
          <cell r="AF132">
            <v>36348</v>
          </cell>
          <cell r="AG132">
            <v>38.25</v>
          </cell>
        </row>
        <row r="133">
          <cell r="T133">
            <v>36399</v>
          </cell>
          <cell r="U133">
            <v>980</v>
          </cell>
          <cell r="V133">
            <v>160523200</v>
          </cell>
          <cell r="AB133">
            <v>36355</v>
          </cell>
          <cell r="AC133">
            <v>2570.96</v>
          </cell>
          <cell r="AF133">
            <v>36349</v>
          </cell>
          <cell r="AG133">
            <v>38.439998626708984</v>
          </cell>
        </row>
        <row r="134">
          <cell r="T134">
            <v>36402</v>
          </cell>
          <cell r="U134">
            <v>960</v>
          </cell>
          <cell r="V134">
            <v>31831750</v>
          </cell>
          <cell r="AB134">
            <v>36356</v>
          </cell>
          <cell r="AC134">
            <v>2579.33</v>
          </cell>
          <cell r="AF134">
            <v>36350</v>
          </cell>
          <cell r="AG134">
            <v>38.5</v>
          </cell>
        </row>
        <row r="135">
          <cell r="T135">
            <v>36403</v>
          </cell>
          <cell r="U135">
            <v>940</v>
          </cell>
          <cell r="V135">
            <v>120300300</v>
          </cell>
          <cell r="AB135">
            <v>36357</v>
          </cell>
          <cell r="AC135">
            <v>2585.69</v>
          </cell>
          <cell r="AF135">
            <v>36353</v>
          </cell>
          <cell r="AG135">
            <v>38.299999237060547</v>
          </cell>
        </row>
        <row r="136">
          <cell r="T136">
            <v>36404</v>
          </cell>
          <cell r="U136">
            <v>920</v>
          </cell>
          <cell r="V136">
            <v>216306100</v>
          </cell>
          <cell r="AB136">
            <v>36360</v>
          </cell>
          <cell r="AC136">
            <v>2559.4899999999998</v>
          </cell>
          <cell r="AF136">
            <v>36354</v>
          </cell>
          <cell r="AG136">
            <v>38.299999237060547</v>
          </cell>
        </row>
        <row r="137">
          <cell r="T137">
            <v>36405</v>
          </cell>
          <cell r="U137">
            <v>905</v>
          </cell>
          <cell r="V137">
            <v>151713600</v>
          </cell>
          <cell r="AB137">
            <v>36361</v>
          </cell>
          <cell r="AC137">
            <v>2551.42</v>
          </cell>
          <cell r="AF137">
            <v>36355</v>
          </cell>
          <cell r="AG137">
            <v>38.319999694824219</v>
          </cell>
        </row>
        <row r="138">
          <cell r="T138">
            <v>36406</v>
          </cell>
          <cell r="U138">
            <v>900</v>
          </cell>
          <cell r="V138">
            <v>228193500</v>
          </cell>
          <cell r="AB138">
            <v>36362</v>
          </cell>
          <cell r="AC138">
            <v>2519.4499999999998</v>
          </cell>
          <cell r="AF138">
            <v>36356</v>
          </cell>
          <cell r="AG138">
            <v>38.139999389648438</v>
          </cell>
        </row>
        <row r="139">
          <cell r="T139">
            <v>36409</v>
          </cell>
          <cell r="U139">
            <v>925</v>
          </cell>
          <cell r="V139">
            <v>305980700</v>
          </cell>
          <cell r="AB139">
            <v>36363</v>
          </cell>
          <cell r="AC139">
            <v>2488.62</v>
          </cell>
          <cell r="AF139">
            <v>36357</v>
          </cell>
          <cell r="AG139">
            <v>38.299999237060547</v>
          </cell>
        </row>
        <row r="140">
          <cell r="T140">
            <v>36410</v>
          </cell>
          <cell r="U140">
            <v>920</v>
          </cell>
          <cell r="V140">
            <v>316878500</v>
          </cell>
          <cell r="AB140">
            <v>36364</v>
          </cell>
          <cell r="AC140">
            <v>2447.56</v>
          </cell>
          <cell r="AF140">
            <v>36358</v>
          </cell>
          <cell r="AG140">
            <v>38.25</v>
          </cell>
        </row>
        <row r="141">
          <cell r="T141">
            <v>36411</v>
          </cell>
          <cell r="U141">
            <v>920</v>
          </cell>
          <cell r="V141">
            <v>217755300</v>
          </cell>
          <cell r="AB141">
            <v>36367</v>
          </cell>
          <cell r="AC141">
            <v>2376.12</v>
          </cell>
          <cell r="AF141">
            <v>36360</v>
          </cell>
          <cell r="AG141">
            <v>38.419998168945313</v>
          </cell>
        </row>
        <row r="142">
          <cell r="T142">
            <v>36412</v>
          </cell>
          <cell r="U142">
            <v>900</v>
          </cell>
          <cell r="V142">
            <v>272682400</v>
          </cell>
          <cell r="AB142">
            <v>36368</v>
          </cell>
          <cell r="AC142">
            <v>2263.12</v>
          </cell>
          <cell r="AF142">
            <v>36361</v>
          </cell>
          <cell r="AG142">
            <v>38.360000610351563</v>
          </cell>
        </row>
        <row r="143">
          <cell r="T143">
            <v>36413</v>
          </cell>
          <cell r="U143">
            <v>885</v>
          </cell>
          <cell r="V143">
            <v>133227800</v>
          </cell>
          <cell r="AB143">
            <v>36369</v>
          </cell>
          <cell r="AC143">
            <v>2352.9699999999998</v>
          </cell>
          <cell r="AF143">
            <v>36362</v>
          </cell>
          <cell r="AG143">
            <v>38.369998931884766</v>
          </cell>
        </row>
        <row r="144">
          <cell r="T144">
            <v>36416</v>
          </cell>
          <cell r="U144">
            <v>895</v>
          </cell>
          <cell r="V144">
            <v>65630850</v>
          </cell>
          <cell r="AB144">
            <v>36370</v>
          </cell>
          <cell r="AC144">
            <v>2364.09</v>
          </cell>
          <cell r="AF144">
            <v>36363</v>
          </cell>
          <cell r="AG144">
            <v>38.409999847412109</v>
          </cell>
        </row>
        <row r="145">
          <cell r="T145">
            <v>36417</v>
          </cell>
          <cell r="U145">
            <v>895</v>
          </cell>
          <cell r="V145">
            <v>149278400</v>
          </cell>
          <cell r="AB145">
            <v>36371</v>
          </cell>
          <cell r="AC145">
            <v>2342.81</v>
          </cell>
          <cell r="AF145">
            <v>36364</v>
          </cell>
          <cell r="AG145">
            <v>38.435001373291016</v>
          </cell>
        </row>
        <row r="146">
          <cell r="T146">
            <v>36418</v>
          </cell>
          <cell r="U146">
            <v>865</v>
          </cell>
          <cell r="V146">
            <v>272906000</v>
          </cell>
          <cell r="AB146">
            <v>36374</v>
          </cell>
          <cell r="AC146">
            <v>2356.13</v>
          </cell>
          <cell r="AF146">
            <v>36367</v>
          </cell>
          <cell r="AG146">
            <v>38.270000457763672</v>
          </cell>
        </row>
        <row r="147">
          <cell r="T147">
            <v>36419</v>
          </cell>
          <cell r="U147">
            <v>860</v>
          </cell>
          <cell r="V147">
            <v>160106200</v>
          </cell>
          <cell r="AB147">
            <v>36376</v>
          </cell>
          <cell r="AC147">
            <v>2372.0500000000002</v>
          </cell>
          <cell r="AF147">
            <v>36368</v>
          </cell>
          <cell r="AG147">
            <v>38.259998321533203</v>
          </cell>
        </row>
        <row r="148">
          <cell r="T148">
            <v>36420</v>
          </cell>
          <cell r="U148">
            <v>885</v>
          </cell>
          <cell r="V148">
            <v>82489800</v>
          </cell>
          <cell r="AB148">
            <v>36377</v>
          </cell>
          <cell r="AC148">
            <v>2348.2399999999998</v>
          </cell>
          <cell r="AF148">
            <v>36369</v>
          </cell>
          <cell r="AG148">
            <v>38.200000762939453</v>
          </cell>
        </row>
        <row r="149">
          <cell r="T149">
            <v>36423</v>
          </cell>
          <cell r="U149">
            <v>895</v>
          </cell>
          <cell r="V149">
            <v>319421100</v>
          </cell>
          <cell r="AB149">
            <v>36378</v>
          </cell>
          <cell r="AC149">
            <v>2298.64</v>
          </cell>
          <cell r="AF149">
            <v>36370</v>
          </cell>
          <cell r="AG149">
            <v>38.235000610351562</v>
          </cell>
        </row>
        <row r="150">
          <cell r="T150">
            <v>36424</v>
          </cell>
          <cell r="U150">
            <v>890</v>
          </cell>
          <cell r="V150">
            <v>88128550</v>
          </cell>
          <cell r="AB150">
            <v>36381</v>
          </cell>
          <cell r="AC150">
            <v>2255.3000000000002</v>
          </cell>
          <cell r="AF150">
            <v>36371</v>
          </cell>
          <cell r="AG150">
            <v>38.430000305175781</v>
          </cell>
        </row>
        <row r="151">
          <cell r="T151">
            <v>36425</v>
          </cell>
          <cell r="U151">
            <v>870</v>
          </cell>
          <cell r="V151">
            <v>192072900</v>
          </cell>
          <cell r="AB151">
            <v>36382</v>
          </cell>
          <cell r="AC151">
            <v>2230.7800000000002</v>
          </cell>
          <cell r="AF151">
            <v>36372</v>
          </cell>
          <cell r="AG151">
            <v>38.380001068115234</v>
          </cell>
        </row>
        <row r="152">
          <cell r="T152">
            <v>36426</v>
          </cell>
          <cell r="U152">
            <v>870</v>
          </cell>
          <cell r="V152">
            <v>120553400</v>
          </cell>
          <cell r="AB152">
            <v>36383</v>
          </cell>
          <cell r="AC152">
            <v>2157.89</v>
          </cell>
          <cell r="AF152">
            <v>36374</v>
          </cell>
          <cell r="AG152">
            <v>38.549999237060547</v>
          </cell>
        </row>
        <row r="153">
          <cell r="T153">
            <v>36427</v>
          </cell>
          <cell r="U153">
            <v>870</v>
          </cell>
          <cell r="V153">
            <v>134502400</v>
          </cell>
          <cell r="AB153">
            <v>36384</v>
          </cell>
          <cell r="AC153">
            <v>2187.5700000000002</v>
          </cell>
          <cell r="AF153">
            <v>36375</v>
          </cell>
          <cell r="AG153">
            <v>38.549999237060547</v>
          </cell>
        </row>
        <row r="154">
          <cell r="T154">
            <v>36430</v>
          </cell>
          <cell r="U154">
            <v>875</v>
          </cell>
          <cell r="V154">
            <v>289072400</v>
          </cell>
          <cell r="AB154">
            <v>36385</v>
          </cell>
          <cell r="AC154">
            <v>2170.9899999999998</v>
          </cell>
          <cell r="AF154">
            <v>36376</v>
          </cell>
          <cell r="AG154">
            <v>38.845001220703125</v>
          </cell>
        </row>
        <row r="155">
          <cell r="T155">
            <v>36431</v>
          </cell>
          <cell r="U155">
            <v>890</v>
          </cell>
          <cell r="V155">
            <v>133237800</v>
          </cell>
          <cell r="AB155">
            <v>36388</v>
          </cell>
          <cell r="AC155">
            <v>2175.3000000000002</v>
          </cell>
          <cell r="AF155">
            <v>36377</v>
          </cell>
          <cell r="AG155">
            <v>38.75</v>
          </cell>
        </row>
        <row r="156">
          <cell r="T156">
            <v>36433</v>
          </cell>
          <cell r="U156">
            <v>885</v>
          </cell>
          <cell r="V156">
            <v>351670400</v>
          </cell>
          <cell r="AB156">
            <v>36389</v>
          </cell>
          <cell r="AC156">
            <v>2087.13</v>
          </cell>
          <cell r="AF156">
            <v>36378</v>
          </cell>
          <cell r="AG156">
            <v>38.790000915527344</v>
          </cell>
        </row>
        <row r="157">
          <cell r="T157">
            <v>36434</v>
          </cell>
          <cell r="U157">
            <v>880</v>
          </cell>
          <cell r="V157">
            <v>93927350</v>
          </cell>
          <cell r="AB157">
            <v>36390</v>
          </cell>
          <cell r="AC157">
            <v>2105.09</v>
          </cell>
          <cell r="AF157">
            <v>36379</v>
          </cell>
          <cell r="AG157">
            <v>38.950000762939453</v>
          </cell>
        </row>
        <row r="158">
          <cell r="T158">
            <v>36437</v>
          </cell>
          <cell r="U158">
            <v>890</v>
          </cell>
          <cell r="V158">
            <v>94217800</v>
          </cell>
          <cell r="AB158">
            <v>36391</v>
          </cell>
          <cell r="AC158">
            <v>2159.1999999999998</v>
          </cell>
          <cell r="AF158">
            <v>36381</v>
          </cell>
          <cell r="AG158">
            <v>39.150001525878906</v>
          </cell>
        </row>
        <row r="159">
          <cell r="T159">
            <v>36438</v>
          </cell>
          <cell r="U159">
            <v>900</v>
          </cell>
          <cell r="V159">
            <v>270408400</v>
          </cell>
          <cell r="AB159">
            <v>36392</v>
          </cell>
          <cell r="AC159">
            <v>2209.4699999999998</v>
          </cell>
          <cell r="AF159">
            <v>36382</v>
          </cell>
          <cell r="AG159">
            <v>38.889999389648438</v>
          </cell>
        </row>
        <row r="160">
          <cell r="T160">
            <v>36439</v>
          </cell>
          <cell r="U160">
            <v>885</v>
          </cell>
          <cell r="V160">
            <v>200809200</v>
          </cell>
          <cell r="AB160">
            <v>36395</v>
          </cell>
          <cell r="AC160">
            <v>2220.77</v>
          </cell>
          <cell r="AF160">
            <v>36383</v>
          </cell>
          <cell r="AG160">
            <v>39.049999237060547</v>
          </cell>
        </row>
        <row r="161">
          <cell r="T161">
            <v>36440</v>
          </cell>
          <cell r="U161">
            <v>895</v>
          </cell>
          <cell r="V161">
            <v>418627000</v>
          </cell>
          <cell r="AB161">
            <v>36396</v>
          </cell>
          <cell r="AC161">
            <v>2248.9299999999998</v>
          </cell>
          <cell r="AF161">
            <v>36384</v>
          </cell>
          <cell r="AG161">
            <v>39.319999694824219</v>
          </cell>
        </row>
        <row r="162">
          <cell r="T162">
            <v>36441</v>
          </cell>
          <cell r="U162">
            <v>885</v>
          </cell>
          <cell r="V162">
            <v>70348650</v>
          </cell>
          <cell r="AB162">
            <v>36397</v>
          </cell>
          <cell r="AC162">
            <v>2260.14</v>
          </cell>
          <cell r="AF162">
            <v>36385</v>
          </cell>
          <cell r="AG162">
            <v>39.099998474121094</v>
          </cell>
        </row>
        <row r="163">
          <cell r="T163">
            <v>36444</v>
          </cell>
          <cell r="U163">
            <v>895</v>
          </cell>
          <cell r="V163">
            <v>429547400</v>
          </cell>
          <cell r="AB163">
            <v>36398</v>
          </cell>
          <cell r="AC163">
            <v>2236.71</v>
          </cell>
          <cell r="AF163">
            <v>36388</v>
          </cell>
          <cell r="AG163">
            <v>39.299999237060547</v>
          </cell>
        </row>
        <row r="164">
          <cell r="T164">
            <v>36445</v>
          </cell>
          <cell r="U164">
            <v>890</v>
          </cell>
          <cell r="V164">
            <v>266461600</v>
          </cell>
          <cell r="AB164">
            <v>36399</v>
          </cell>
          <cell r="AC164">
            <v>2221.2399999999998</v>
          </cell>
          <cell r="AF164">
            <v>36389</v>
          </cell>
          <cell r="AG164">
            <v>39.610000610351563</v>
          </cell>
        </row>
        <row r="165">
          <cell r="T165">
            <v>36446</v>
          </cell>
          <cell r="U165">
            <v>880</v>
          </cell>
          <cell r="V165">
            <v>307280900</v>
          </cell>
          <cell r="AB165">
            <v>36402</v>
          </cell>
          <cell r="AC165">
            <v>2201.2399999999998</v>
          </cell>
          <cell r="AF165">
            <v>36390</v>
          </cell>
          <cell r="AG165">
            <v>39.689998626708984</v>
          </cell>
        </row>
        <row r="166">
          <cell r="T166">
            <v>36447</v>
          </cell>
          <cell r="U166">
            <v>875</v>
          </cell>
          <cell r="V166">
            <v>684999300</v>
          </cell>
          <cell r="AB166">
            <v>36403</v>
          </cell>
          <cell r="AC166">
            <v>2173.8200000000002</v>
          </cell>
          <cell r="AF166">
            <v>36391</v>
          </cell>
          <cell r="AG166">
            <v>39.419998168945313</v>
          </cell>
        </row>
        <row r="167">
          <cell r="T167">
            <v>36448</v>
          </cell>
          <cell r="U167">
            <v>880</v>
          </cell>
          <cell r="V167">
            <v>408425100</v>
          </cell>
          <cell r="AB167">
            <v>36404</v>
          </cell>
          <cell r="AC167">
            <v>2152.7600000000002</v>
          </cell>
          <cell r="AF167">
            <v>36392</v>
          </cell>
          <cell r="AG167">
            <v>39.549999237060547</v>
          </cell>
        </row>
        <row r="168">
          <cell r="T168">
            <v>36451</v>
          </cell>
          <cell r="U168">
            <v>875</v>
          </cell>
          <cell r="V168">
            <v>307491600</v>
          </cell>
          <cell r="AB168">
            <v>36405</v>
          </cell>
          <cell r="AC168">
            <v>2158.9499999999998</v>
          </cell>
          <cell r="AF168">
            <v>36393</v>
          </cell>
          <cell r="AG168">
            <v>39.549999237060547</v>
          </cell>
        </row>
        <row r="169">
          <cell r="T169">
            <v>36452</v>
          </cell>
          <cell r="U169">
            <v>840</v>
          </cell>
          <cell r="V169">
            <v>90210550</v>
          </cell>
          <cell r="AB169">
            <v>36406</v>
          </cell>
          <cell r="AC169">
            <v>2155.09</v>
          </cell>
          <cell r="AF169">
            <v>36395</v>
          </cell>
          <cell r="AG169">
            <v>39.5</v>
          </cell>
        </row>
        <row r="170">
          <cell r="T170">
            <v>36453</v>
          </cell>
          <cell r="U170">
            <v>855</v>
          </cell>
          <cell r="V170">
            <v>31177900</v>
          </cell>
          <cell r="AB170">
            <v>36409</v>
          </cell>
          <cell r="AC170">
            <v>2168.4699999999998</v>
          </cell>
          <cell r="AF170">
            <v>36396</v>
          </cell>
          <cell r="AG170">
            <v>39.709999084472656</v>
          </cell>
        </row>
        <row r="171">
          <cell r="T171">
            <v>36454</v>
          </cell>
          <cell r="U171">
            <v>850</v>
          </cell>
          <cell r="V171">
            <v>81893650</v>
          </cell>
          <cell r="AB171">
            <v>36410</v>
          </cell>
          <cell r="AC171">
            <v>2159.79</v>
          </cell>
          <cell r="AF171">
            <v>36397</v>
          </cell>
          <cell r="AG171">
            <v>39.830001831054688</v>
          </cell>
        </row>
        <row r="172">
          <cell r="T172">
            <v>36455</v>
          </cell>
          <cell r="U172">
            <v>800</v>
          </cell>
          <cell r="V172">
            <v>192743900</v>
          </cell>
          <cell r="AB172">
            <v>36411</v>
          </cell>
          <cell r="AC172">
            <v>2165.58</v>
          </cell>
          <cell r="AF172">
            <v>36398</v>
          </cell>
          <cell r="AG172">
            <v>39.700000762939453</v>
          </cell>
        </row>
        <row r="173">
          <cell r="T173">
            <v>36458</v>
          </cell>
          <cell r="U173">
            <v>810</v>
          </cell>
          <cell r="V173">
            <v>169527900</v>
          </cell>
          <cell r="AB173">
            <v>36412</v>
          </cell>
          <cell r="AC173">
            <v>2133.6</v>
          </cell>
          <cell r="AF173">
            <v>36399</v>
          </cell>
          <cell r="AG173">
            <v>39.680000305175781</v>
          </cell>
        </row>
        <row r="174">
          <cell r="T174">
            <v>36459</v>
          </cell>
          <cell r="U174">
            <v>815</v>
          </cell>
          <cell r="V174">
            <v>163235200</v>
          </cell>
          <cell r="AB174">
            <v>36413</v>
          </cell>
          <cell r="AC174">
            <v>2099.34</v>
          </cell>
          <cell r="AF174">
            <v>36402</v>
          </cell>
          <cell r="AG174">
            <v>39.720001220703125</v>
          </cell>
        </row>
        <row r="175">
          <cell r="T175">
            <v>36460</v>
          </cell>
          <cell r="U175">
            <v>815</v>
          </cell>
          <cell r="V175">
            <v>155922250</v>
          </cell>
          <cell r="AB175">
            <v>36416</v>
          </cell>
          <cell r="AC175">
            <v>2088.6999999999998</v>
          </cell>
          <cell r="AF175">
            <v>36403</v>
          </cell>
          <cell r="AG175">
            <v>39.639999389648437</v>
          </cell>
        </row>
        <row r="176">
          <cell r="T176">
            <v>36461</v>
          </cell>
          <cell r="U176">
            <v>825</v>
          </cell>
          <cell r="V176">
            <v>153401400</v>
          </cell>
          <cell r="AB176">
            <v>36417</v>
          </cell>
          <cell r="AC176">
            <v>2101.21</v>
          </cell>
          <cell r="AF176">
            <v>36404</v>
          </cell>
          <cell r="AG176">
            <v>39.659999847412109</v>
          </cell>
        </row>
        <row r="177">
          <cell r="T177">
            <v>36462</v>
          </cell>
          <cell r="U177">
            <v>835</v>
          </cell>
          <cell r="V177">
            <v>171065000</v>
          </cell>
          <cell r="AB177">
            <v>36418</v>
          </cell>
          <cell r="AC177">
            <v>2074.08</v>
          </cell>
          <cell r="AF177">
            <v>36405</v>
          </cell>
          <cell r="AG177">
            <v>39.770000457763672</v>
          </cell>
        </row>
        <row r="178">
          <cell r="T178">
            <v>36467</v>
          </cell>
          <cell r="U178">
            <v>845</v>
          </cell>
          <cell r="V178">
            <v>274936300</v>
          </cell>
          <cell r="AB178">
            <v>36419</v>
          </cell>
          <cell r="AC178">
            <v>2070.21</v>
          </cell>
          <cell r="AF178">
            <v>36406</v>
          </cell>
          <cell r="AG178">
            <v>39.680000305175781</v>
          </cell>
        </row>
        <row r="179">
          <cell r="T179">
            <v>36468</v>
          </cell>
          <cell r="U179">
            <v>850</v>
          </cell>
          <cell r="V179">
            <v>239591650</v>
          </cell>
          <cell r="AB179">
            <v>36420</v>
          </cell>
          <cell r="AC179">
            <v>2083.88</v>
          </cell>
          <cell r="AF179">
            <v>36409</v>
          </cell>
          <cell r="AG179">
            <v>39.709999084472656</v>
          </cell>
        </row>
        <row r="180">
          <cell r="T180">
            <v>36469</v>
          </cell>
          <cell r="U180">
            <v>860</v>
          </cell>
          <cell r="V180">
            <v>201478100</v>
          </cell>
          <cell r="AB180">
            <v>36423</v>
          </cell>
          <cell r="AC180">
            <v>2105.75</v>
          </cell>
          <cell r="AF180">
            <v>36410</v>
          </cell>
          <cell r="AG180">
            <v>39.75</v>
          </cell>
        </row>
        <row r="181">
          <cell r="T181">
            <v>36472</v>
          </cell>
          <cell r="U181">
            <v>865</v>
          </cell>
          <cell r="V181">
            <v>195917100</v>
          </cell>
          <cell r="AB181">
            <v>36424</v>
          </cell>
          <cell r="AC181">
            <v>2126.54</v>
          </cell>
          <cell r="AF181">
            <v>36411</v>
          </cell>
          <cell r="AG181">
            <v>40.130001068115234</v>
          </cell>
        </row>
        <row r="182">
          <cell r="T182">
            <v>36473</v>
          </cell>
          <cell r="U182">
            <v>840</v>
          </cell>
          <cell r="V182">
            <v>245989750</v>
          </cell>
          <cell r="AB182">
            <v>36425</v>
          </cell>
          <cell r="AC182">
            <v>2107.73</v>
          </cell>
          <cell r="AF182">
            <v>36412</v>
          </cell>
          <cell r="AG182">
            <v>40.099998474121094</v>
          </cell>
        </row>
        <row r="183">
          <cell r="T183">
            <v>36474</v>
          </cell>
          <cell r="U183">
            <v>815</v>
          </cell>
          <cell r="V183">
            <v>315946800</v>
          </cell>
          <cell r="AB183">
            <v>36426</v>
          </cell>
          <cell r="AC183">
            <v>2094.86</v>
          </cell>
          <cell r="AF183">
            <v>36413</v>
          </cell>
          <cell r="AG183">
            <v>39.849998474121094</v>
          </cell>
        </row>
        <row r="184">
          <cell r="T184">
            <v>36475</v>
          </cell>
          <cell r="U184">
            <v>820</v>
          </cell>
          <cell r="V184">
            <v>300305750</v>
          </cell>
          <cell r="AB184">
            <v>36427</v>
          </cell>
          <cell r="AC184">
            <v>2070.11</v>
          </cell>
          <cell r="AF184">
            <v>36416</v>
          </cell>
          <cell r="AG184">
            <v>39.799999237060547</v>
          </cell>
        </row>
        <row r="185">
          <cell r="T185">
            <v>36480</v>
          </cell>
          <cell r="U185">
            <v>780</v>
          </cell>
          <cell r="V185">
            <v>144565750</v>
          </cell>
          <cell r="AB185">
            <v>36430</v>
          </cell>
          <cell r="AC185">
            <v>2057.04</v>
          </cell>
          <cell r="AF185">
            <v>36417</v>
          </cell>
          <cell r="AG185">
            <v>39.900001525878906</v>
          </cell>
        </row>
        <row r="186">
          <cell r="T186">
            <v>36481</v>
          </cell>
          <cell r="U186">
            <v>800</v>
          </cell>
          <cell r="V186">
            <v>430029900</v>
          </cell>
          <cell r="AB186">
            <v>36431</v>
          </cell>
          <cell r="AC186">
            <v>2070.4299999999998</v>
          </cell>
          <cell r="AF186">
            <v>36418</v>
          </cell>
          <cell r="AG186">
            <v>39.909999847412109</v>
          </cell>
        </row>
        <row r="187">
          <cell r="T187">
            <v>36482</v>
          </cell>
          <cell r="U187">
            <v>810</v>
          </cell>
          <cell r="V187">
            <v>196082500</v>
          </cell>
          <cell r="AB187">
            <v>36432</v>
          </cell>
          <cell r="AC187">
            <v>2081.41</v>
          </cell>
          <cell r="AF187">
            <v>36420</v>
          </cell>
          <cell r="AG187">
            <v>40.150001525878906</v>
          </cell>
        </row>
        <row r="188">
          <cell r="T188">
            <v>36483</v>
          </cell>
          <cell r="U188">
            <v>800</v>
          </cell>
          <cell r="V188">
            <v>199875400</v>
          </cell>
          <cell r="AB188">
            <v>36433</v>
          </cell>
          <cell r="AC188">
            <v>2096.1999999999998</v>
          </cell>
          <cell r="AF188">
            <v>36423</v>
          </cell>
          <cell r="AG188">
            <v>40.119998931884766</v>
          </cell>
        </row>
        <row r="189">
          <cell r="T189">
            <v>36486</v>
          </cell>
          <cell r="U189">
            <v>805</v>
          </cell>
          <cell r="V189">
            <v>67465900</v>
          </cell>
          <cell r="AB189">
            <v>36434</v>
          </cell>
          <cell r="AC189">
            <v>2102.96</v>
          </cell>
          <cell r="AF189">
            <v>36424</v>
          </cell>
          <cell r="AG189">
            <v>40.080001831054688</v>
          </cell>
        </row>
        <row r="190">
          <cell r="T190">
            <v>36488</v>
          </cell>
          <cell r="U190">
            <v>810</v>
          </cell>
          <cell r="V190">
            <v>275213950</v>
          </cell>
          <cell r="AB190">
            <v>36437</v>
          </cell>
          <cell r="AC190">
            <v>2104.2800000000002</v>
          </cell>
          <cell r="AF190">
            <v>36425</v>
          </cell>
          <cell r="AG190">
            <v>40.200000762939453</v>
          </cell>
        </row>
        <row r="191">
          <cell r="T191">
            <v>36489</v>
          </cell>
          <cell r="U191">
            <v>825</v>
          </cell>
          <cell r="V191">
            <v>136186850</v>
          </cell>
          <cell r="AB191">
            <v>36438</v>
          </cell>
          <cell r="AC191">
            <v>2064.7600000000002</v>
          </cell>
          <cell r="AF191">
            <v>36426</v>
          </cell>
          <cell r="AG191">
            <v>40.75</v>
          </cell>
        </row>
        <row r="192">
          <cell r="T192">
            <v>36490</v>
          </cell>
          <cell r="U192">
            <v>830</v>
          </cell>
          <cell r="V192">
            <v>78933550</v>
          </cell>
          <cell r="AB192">
            <v>36439</v>
          </cell>
          <cell r="AC192">
            <v>2057.5300000000002</v>
          </cell>
          <cell r="AF192">
            <v>36427</v>
          </cell>
          <cell r="AG192">
            <v>40.880001068115234</v>
          </cell>
        </row>
        <row r="193">
          <cell r="T193">
            <v>36493</v>
          </cell>
          <cell r="U193">
            <v>840</v>
          </cell>
          <cell r="V193">
            <v>148177750</v>
          </cell>
          <cell r="AB193">
            <v>36440</v>
          </cell>
          <cell r="AC193">
            <v>2071.64</v>
          </cell>
          <cell r="AF193">
            <v>36430</v>
          </cell>
          <cell r="AG193">
            <v>40.669998168945313</v>
          </cell>
        </row>
        <row r="194">
          <cell r="T194">
            <v>36495</v>
          </cell>
          <cell r="U194">
            <v>840</v>
          </cell>
          <cell r="V194">
            <v>287047700</v>
          </cell>
          <cell r="AB194">
            <v>36441</v>
          </cell>
          <cell r="AC194">
            <v>2063.83</v>
          </cell>
          <cell r="AF194">
            <v>36431</v>
          </cell>
          <cell r="AG194">
            <v>40.869998931884766</v>
          </cell>
        </row>
        <row r="195">
          <cell r="T195">
            <v>36496</v>
          </cell>
          <cell r="U195">
            <v>825</v>
          </cell>
          <cell r="V195">
            <v>231013550</v>
          </cell>
          <cell r="AB195">
            <v>36444</v>
          </cell>
          <cell r="AC195">
            <v>2070.17</v>
          </cell>
          <cell r="AF195">
            <v>36432</v>
          </cell>
          <cell r="AG195">
            <v>41</v>
          </cell>
        </row>
        <row r="196">
          <cell r="T196">
            <v>36497</v>
          </cell>
          <cell r="U196">
            <v>820</v>
          </cell>
          <cell r="V196">
            <v>180333550</v>
          </cell>
          <cell r="AB196">
            <v>36445</v>
          </cell>
          <cell r="AC196">
            <v>2066.4</v>
          </cell>
          <cell r="AF196">
            <v>36433</v>
          </cell>
          <cell r="AG196">
            <v>41</v>
          </cell>
        </row>
        <row r="197">
          <cell r="T197">
            <v>36500</v>
          </cell>
          <cell r="U197">
            <v>830</v>
          </cell>
          <cell r="V197">
            <v>176555900</v>
          </cell>
          <cell r="AB197">
            <v>36446</v>
          </cell>
          <cell r="AC197">
            <v>2050.7199999999998</v>
          </cell>
          <cell r="AF197">
            <v>36434</v>
          </cell>
          <cell r="AG197">
            <v>40.650001525878906</v>
          </cell>
        </row>
        <row r="198">
          <cell r="T198">
            <v>36501</v>
          </cell>
          <cell r="U198">
            <v>830</v>
          </cell>
          <cell r="V198">
            <v>674461550</v>
          </cell>
          <cell r="AB198">
            <v>36447</v>
          </cell>
          <cell r="AC198">
            <v>2046.6</v>
          </cell>
          <cell r="AF198">
            <v>36435</v>
          </cell>
          <cell r="AG198">
            <v>40.799999237060547</v>
          </cell>
        </row>
        <row r="199">
          <cell r="T199">
            <v>36502</v>
          </cell>
          <cell r="U199">
            <v>820</v>
          </cell>
          <cell r="V199">
            <v>247499800</v>
          </cell>
          <cell r="AB199">
            <v>36448</v>
          </cell>
          <cell r="AC199">
            <v>2014.63</v>
          </cell>
          <cell r="AF199">
            <v>36437</v>
          </cell>
          <cell r="AG199">
            <v>40.450000762939453</v>
          </cell>
        </row>
        <row r="200">
          <cell r="T200">
            <v>36503</v>
          </cell>
          <cell r="U200">
            <v>835</v>
          </cell>
          <cell r="V200">
            <v>379440500</v>
          </cell>
          <cell r="AB200">
            <v>36451</v>
          </cell>
          <cell r="AC200">
            <v>1999.15</v>
          </cell>
          <cell r="AF200">
            <v>36438</v>
          </cell>
          <cell r="AG200">
            <v>40.049999237060547</v>
          </cell>
        </row>
        <row r="201">
          <cell r="T201">
            <v>36504</v>
          </cell>
          <cell r="U201">
            <v>870</v>
          </cell>
          <cell r="V201">
            <v>491451800</v>
          </cell>
          <cell r="AB201">
            <v>36452</v>
          </cell>
          <cell r="AC201">
            <v>1990.61</v>
          </cell>
          <cell r="AF201">
            <v>36439</v>
          </cell>
          <cell r="AG201">
            <v>40</v>
          </cell>
        </row>
        <row r="202">
          <cell r="T202">
            <v>36507</v>
          </cell>
          <cell r="U202">
            <v>1050</v>
          </cell>
          <cell r="V202">
            <v>1240347950</v>
          </cell>
          <cell r="AB202">
            <v>36453</v>
          </cell>
          <cell r="AC202">
            <v>2017.62</v>
          </cell>
          <cell r="AF202">
            <v>36440</v>
          </cell>
          <cell r="AG202">
            <v>40.299999237060547</v>
          </cell>
        </row>
        <row r="203">
          <cell r="T203">
            <v>36508</v>
          </cell>
          <cell r="U203">
            <v>980</v>
          </cell>
          <cell r="V203">
            <v>209975350</v>
          </cell>
          <cell r="AB203">
            <v>36454</v>
          </cell>
          <cell r="AC203">
            <v>1984.62</v>
          </cell>
          <cell r="AF203">
            <v>36442</v>
          </cell>
          <cell r="AG203">
            <v>40.479999542236328</v>
          </cell>
        </row>
        <row r="204">
          <cell r="T204">
            <v>36509</v>
          </cell>
          <cell r="U204">
            <v>950</v>
          </cell>
          <cell r="V204">
            <v>200133900</v>
          </cell>
          <cell r="AB204">
            <v>36455</v>
          </cell>
          <cell r="AC204">
            <v>1946.68</v>
          </cell>
          <cell r="AF204">
            <v>36444</v>
          </cell>
          <cell r="AG204">
            <v>40.080001831054688</v>
          </cell>
        </row>
        <row r="205">
          <cell r="T205">
            <v>36510</v>
          </cell>
          <cell r="U205">
            <v>940</v>
          </cell>
          <cell r="V205">
            <v>91355250</v>
          </cell>
          <cell r="AB205">
            <v>36458</v>
          </cell>
          <cell r="AC205">
            <v>1920.46</v>
          </cell>
          <cell r="AF205">
            <v>36445</v>
          </cell>
          <cell r="AG205">
            <v>40.049999237060547</v>
          </cell>
        </row>
        <row r="206">
          <cell r="T206">
            <v>36511</v>
          </cell>
          <cell r="U206">
            <v>980</v>
          </cell>
          <cell r="V206">
            <v>223561750</v>
          </cell>
          <cell r="AB206">
            <v>36459</v>
          </cell>
          <cell r="AC206">
            <v>1927.65</v>
          </cell>
          <cell r="AF206">
            <v>36446</v>
          </cell>
          <cell r="AG206">
            <v>40.349998474121094</v>
          </cell>
        </row>
        <row r="207">
          <cell r="T207">
            <v>36514</v>
          </cell>
          <cell r="U207">
            <v>1000</v>
          </cell>
          <cell r="V207">
            <v>296093150</v>
          </cell>
          <cell r="AB207">
            <v>36460</v>
          </cell>
          <cell r="AC207">
            <v>1962.28</v>
          </cell>
          <cell r="AF207">
            <v>36447</v>
          </cell>
          <cell r="AG207">
            <v>40.200000762939453</v>
          </cell>
        </row>
        <row r="208">
          <cell r="T208">
            <v>36515</v>
          </cell>
          <cell r="U208">
            <v>1020</v>
          </cell>
          <cell r="V208">
            <v>135707150</v>
          </cell>
          <cell r="AB208">
            <v>36461</v>
          </cell>
          <cell r="AC208">
            <v>1968.97</v>
          </cell>
          <cell r="AF208">
            <v>36448</v>
          </cell>
          <cell r="AG208">
            <v>40.299999237060547</v>
          </cell>
        </row>
        <row r="209">
          <cell r="T209">
            <v>36516</v>
          </cell>
          <cell r="U209">
            <v>1005</v>
          </cell>
          <cell r="V209">
            <v>37106200</v>
          </cell>
          <cell r="AB209">
            <v>36462</v>
          </cell>
          <cell r="AC209">
            <v>2036.05</v>
          </cell>
          <cell r="AF209">
            <v>36451</v>
          </cell>
          <cell r="AG209">
            <v>40.400001525878906</v>
          </cell>
        </row>
        <row r="210">
          <cell r="T210">
            <v>36517</v>
          </cell>
          <cell r="U210">
            <v>1020</v>
          </cell>
          <cell r="V210">
            <v>71044050</v>
          </cell>
          <cell r="AB210">
            <v>36467</v>
          </cell>
          <cell r="AC210">
            <v>2043.89</v>
          </cell>
          <cell r="AF210">
            <v>36452</v>
          </cell>
          <cell r="AG210">
            <v>40.330001831054687</v>
          </cell>
        </row>
        <row r="211">
          <cell r="T211">
            <v>36518</v>
          </cell>
          <cell r="U211">
            <v>1000</v>
          </cell>
          <cell r="V211">
            <v>52983300</v>
          </cell>
          <cell r="AB211">
            <v>36468</v>
          </cell>
          <cell r="AC211">
            <v>2026.42</v>
          </cell>
          <cell r="AF211">
            <v>36453</v>
          </cell>
          <cell r="AG211">
            <v>40.200000762939453</v>
          </cell>
        </row>
        <row r="212">
          <cell r="T212">
            <v>36521</v>
          </cell>
          <cell r="U212">
            <v>1005</v>
          </cell>
          <cell r="V212">
            <v>10800700</v>
          </cell>
          <cell r="AB212">
            <v>36469</v>
          </cell>
          <cell r="AC212">
            <v>2018.41</v>
          </cell>
          <cell r="AF212">
            <v>36454</v>
          </cell>
          <cell r="AG212">
            <v>40.099998474121094</v>
          </cell>
        </row>
        <row r="213">
          <cell r="T213">
            <v>36522</v>
          </cell>
          <cell r="U213">
            <v>1015</v>
          </cell>
          <cell r="V213">
            <v>17043600</v>
          </cell>
          <cell r="AB213">
            <v>36472</v>
          </cell>
          <cell r="AC213">
            <v>1988.55</v>
          </cell>
          <cell r="AF213">
            <v>36455</v>
          </cell>
          <cell r="AG213">
            <v>40.110000610351563</v>
          </cell>
        </row>
        <row r="214">
          <cell r="T214">
            <v>36523</v>
          </cell>
          <cell r="U214">
            <v>1025</v>
          </cell>
          <cell r="V214">
            <v>40361000</v>
          </cell>
          <cell r="AB214">
            <v>36473</v>
          </cell>
          <cell r="AC214">
            <v>1987.93</v>
          </cell>
          <cell r="AF214">
            <v>36458</v>
          </cell>
          <cell r="AG214">
            <v>40</v>
          </cell>
        </row>
        <row r="215">
          <cell r="T215">
            <v>36528</v>
          </cell>
          <cell r="U215">
            <v>1035</v>
          </cell>
          <cell r="V215">
            <v>50071950</v>
          </cell>
          <cell r="AB215">
            <v>36474</v>
          </cell>
          <cell r="AC215">
            <v>1996.68</v>
          </cell>
          <cell r="AF215">
            <v>36459</v>
          </cell>
          <cell r="AG215">
            <v>39.950000762939453</v>
          </cell>
        </row>
        <row r="216">
          <cell r="T216">
            <v>36529</v>
          </cell>
          <cell r="U216">
            <v>1090</v>
          </cell>
          <cell r="V216">
            <v>490234600</v>
          </cell>
          <cell r="AB216">
            <v>36475</v>
          </cell>
          <cell r="AC216">
            <v>2010.31</v>
          </cell>
          <cell r="AF216">
            <v>36460</v>
          </cell>
          <cell r="AG216">
            <v>39.950000762939453</v>
          </cell>
        </row>
        <row r="217">
          <cell r="T217">
            <v>36530</v>
          </cell>
          <cell r="U217">
            <v>1010</v>
          </cell>
          <cell r="V217">
            <v>301939650</v>
          </cell>
          <cell r="AB217">
            <v>36480</v>
          </cell>
          <cell r="AC217">
            <v>1957.81</v>
          </cell>
          <cell r="AF217">
            <v>36461</v>
          </cell>
          <cell r="AG217">
            <v>40.119998931884766</v>
          </cell>
        </row>
        <row r="218">
          <cell r="T218">
            <v>36531</v>
          </cell>
          <cell r="U218">
            <v>995</v>
          </cell>
          <cell r="V218">
            <v>342045550</v>
          </cell>
          <cell r="AB218">
            <v>36481</v>
          </cell>
          <cell r="AC218">
            <v>1949.74</v>
          </cell>
          <cell r="AF218">
            <v>36462</v>
          </cell>
          <cell r="AG218">
            <v>40</v>
          </cell>
        </row>
        <row r="219">
          <cell r="AB219">
            <v>36482</v>
          </cell>
          <cell r="AC219">
            <v>1958.85</v>
          </cell>
          <cell r="AF219">
            <v>36465</v>
          </cell>
          <cell r="AG219">
            <v>40</v>
          </cell>
        </row>
        <row r="220">
          <cell r="AB220">
            <v>36483</v>
          </cell>
          <cell r="AC220">
            <v>1950.79</v>
          </cell>
          <cell r="AF220">
            <v>36466</v>
          </cell>
          <cell r="AG220">
            <v>39.950000762939453</v>
          </cell>
        </row>
        <row r="221">
          <cell r="AB221">
            <v>36486</v>
          </cell>
          <cell r="AC221">
            <v>1962.07</v>
          </cell>
          <cell r="AF221">
            <v>36467</v>
          </cell>
          <cell r="AG221">
            <v>40</v>
          </cell>
        </row>
        <row r="222">
          <cell r="AB222">
            <v>36488</v>
          </cell>
          <cell r="AC222">
            <v>1964.21</v>
          </cell>
          <cell r="AF222">
            <v>36468</v>
          </cell>
          <cell r="AG222">
            <v>40.060001373291016</v>
          </cell>
        </row>
        <row r="223">
          <cell r="AB223">
            <v>36489</v>
          </cell>
          <cell r="AC223">
            <v>1962.47</v>
          </cell>
          <cell r="AF223">
            <v>36469</v>
          </cell>
          <cell r="AG223">
            <v>40.040000915527344</v>
          </cell>
        </row>
        <row r="224">
          <cell r="AB224">
            <v>36490</v>
          </cell>
          <cell r="AC224">
            <v>1959.55</v>
          </cell>
          <cell r="AF224">
            <v>36472</v>
          </cell>
          <cell r="AG224">
            <v>40.075000762939453</v>
          </cell>
        </row>
        <row r="225">
          <cell r="AB225">
            <v>36493</v>
          </cell>
          <cell r="AC225">
            <v>1979.42</v>
          </cell>
          <cell r="AF225">
            <v>36473</v>
          </cell>
          <cell r="AG225">
            <v>40.110000610351563</v>
          </cell>
        </row>
        <row r="226">
          <cell r="AB226">
            <v>36495</v>
          </cell>
          <cell r="AC226">
            <v>1983.01</v>
          </cell>
          <cell r="AF226">
            <v>36474</v>
          </cell>
          <cell r="AG226">
            <v>40.259998321533203</v>
          </cell>
        </row>
        <row r="227">
          <cell r="AB227">
            <v>36496</v>
          </cell>
          <cell r="AC227">
            <v>1953.01</v>
          </cell>
          <cell r="AF227">
            <v>36475</v>
          </cell>
          <cell r="AG227">
            <v>40.310001373291016</v>
          </cell>
        </row>
        <row r="228">
          <cell r="AB228">
            <v>36497</v>
          </cell>
          <cell r="AC228">
            <v>1936.9</v>
          </cell>
          <cell r="AF228">
            <v>36476</v>
          </cell>
          <cell r="AG228">
            <v>40.099998474121094</v>
          </cell>
        </row>
        <row r="229">
          <cell r="AB229">
            <v>36500</v>
          </cell>
          <cell r="AC229">
            <v>1940.94</v>
          </cell>
          <cell r="AF229">
            <v>36479</v>
          </cell>
          <cell r="AG229">
            <v>40.069999694824219</v>
          </cell>
        </row>
        <row r="230">
          <cell r="AB230">
            <v>36501</v>
          </cell>
          <cell r="AC230">
            <v>1942.62</v>
          </cell>
          <cell r="AF230">
            <v>36480</v>
          </cell>
          <cell r="AG230">
            <v>40.240001678466797</v>
          </cell>
        </row>
        <row r="231">
          <cell r="AB231">
            <v>36502</v>
          </cell>
          <cell r="AC231">
            <v>1911.1</v>
          </cell>
          <cell r="AF231">
            <v>36481</v>
          </cell>
          <cell r="AG231">
            <v>40.299999237060547</v>
          </cell>
        </row>
        <row r="232">
          <cell r="AB232">
            <v>36503</v>
          </cell>
          <cell r="AC232">
            <v>1891.96</v>
          </cell>
          <cell r="AF232">
            <v>36482</v>
          </cell>
          <cell r="AG232">
            <v>40.319999694824219</v>
          </cell>
        </row>
        <row r="233">
          <cell r="AB233">
            <v>36504</v>
          </cell>
          <cell r="AC233">
            <v>1939.81</v>
          </cell>
          <cell r="AF233">
            <v>36483</v>
          </cell>
          <cell r="AG233">
            <v>40.450000762939453</v>
          </cell>
        </row>
        <row r="234">
          <cell r="AB234">
            <v>36507</v>
          </cell>
          <cell r="AC234">
            <v>2012.84</v>
          </cell>
          <cell r="AF234">
            <v>36486</v>
          </cell>
          <cell r="AG234">
            <v>40.650001525878906</v>
          </cell>
        </row>
        <row r="235">
          <cell r="AB235">
            <v>36508</v>
          </cell>
          <cell r="AC235">
            <v>2011.25</v>
          </cell>
          <cell r="AF235">
            <v>36487</v>
          </cell>
          <cell r="AG235">
            <v>40.599998474121094</v>
          </cell>
        </row>
        <row r="236">
          <cell r="AB236">
            <v>36509</v>
          </cell>
          <cell r="AC236">
            <v>1999.49</v>
          </cell>
          <cell r="AF236">
            <v>36488</v>
          </cell>
          <cell r="AG236">
            <v>40.770000457763672</v>
          </cell>
        </row>
        <row r="237">
          <cell r="AB237">
            <v>36510</v>
          </cell>
          <cell r="AC237">
            <v>1972.78</v>
          </cell>
          <cell r="AF237">
            <v>36489</v>
          </cell>
          <cell r="AG237">
            <v>40.669998168945313</v>
          </cell>
        </row>
        <row r="238">
          <cell r="AB238">
            <v>36511</v>
          </cell>
          <cell r="AC238">
            <v>1997.88</v>
          </cell>
          <cell r="AF238">
            <v>36490</v>
          </cell>
          <cell r="AG238">
            <v>40.770000457763672</v>
          </cell>
        </row>
        <row r="239">
          <cell r="AB239">
            <v>36514</v>
          </cell>
          <cell r="AC239">
            <v>2031.39</v>
          </cell>
          <cell r="AF239">
            <v>36493</v>
          </cell>
          <cell r="AG239">
            <v>40.900001525878906</v>
          </cell>
        </row>
        <row r="240">
          <cell r="AB240">
            <v>36515</v>
          </cell>
          <cell r="AC240">
            <v>2034.97</v>
          </cell>
          <cell r="AF240">
            <v>36494</v>
          </cell>
          <cell r="AG240">
            <v>40.919998168945313</v>
          </cell>
        </row>
        <row r="241">
          <cell r="AB241">
            <v>36516</v>
          </cell>
          <cell r="AC241">
            <v>2062.81</v>
          </cell>
          <cell r="AF241">
            <v>36495</v>
          </cell>
          <cell r="AG241">
            <v>40.819999694824219</v>
          </cell>
        </row>
        <row r="242">
          <cell r="AB242">
            <v>36517</v>
          </cell>
          <cell r="AC242">
            <v>2085.58</v>
          </cell>
          <cell r="AF242">
            <v>36496</v>
          </cell>
          <cell r="AG242">
            <v>40.75</v>
          </cell>
        </row>
        <row r="243">
          <cell r="AB243">
            <v>36518</v>
          </cell>
          <cell r="AC243">
            <v>2090.48</v>
          </cell>
          <cell r="AF243">
            <v>36497</v>
          </cell>
          <cell r="AG243">
            <v>40.779998779296875</v>
          </cell>
        </row>
        <row r="244">
          <cell r="AB244">
            <v>36521</v>
          </cell>
          <cell r="AC244">
            <v>2100.0700000000002</v>
          </cell>
          <cell r="AF244">
            <v>36500</v>
          </cell>
          <cell r="AG244">
            <v>40.75</v>
          </cell>
        </row>
        <row r="245">
          <cell r="AB245">
            <v>36522</v>
          </cell>
          <cell r="AC245">
            <v>2118.39</v>
          </cell>
          <cell r="AF245">
            <v>36501</v>
          </cell>
          <cell r="AG245">
            <v>40.700000762939453</v>
          </cell>
        </row>
        <row r="246">
          <cell r="AB246">
            <v>36523</v>
          </cell>
          <cell r="AC246">
            <v>2142.9699999999998</v>
          </cell>
          <cell r="AF246">
            <v>36502</v>
          </cell>
          <cell r="AG246">
            <v>40.720001220703125</v>
          </cell>
        </row>
        <row r="247">
          <cell r="AB247">
            <v>36528</v>
          </cell>
          <cell r="AC247">
            <v>2141.77</v>
          </cell>
          <cell r="AF247">
            <v>36503</v>
          </cell>
          <cell r="AG247">
            <v>40.659999847412109</v>
          </cell>
        </row>
        <row r="248">
          <cell r="AB248">
            <v>36529</v>
          </cell>
          <cell r="AC248">
            <v>2153.1799999999998</v>
          </cell>
          <cell r="AF248">
            <v>36504</v>
          </cell>
          <cell r="AG248">
            <v>40.680000305175781</v>
          </cell>
        </row>
        <row r="249">
          <cell r="AB249">
            <v>36530</v>
          </cell>
          <cell r="AC249">
            <v>2074.75</v>
          </cell>
          <cell r="AF249">
            <v>36507</v>
          </cell>
          <cell r="AG249">
            <v>40.700000762939453</v>
          </cell>
        </row>
        <row r="250">
          <cell r="AB250">
            <v>36531</v>
          </cell>
          <cell r="AC250">
            <v>2079.11</v>
          </cell>
          <cell r="AF250">
            <v>36508</v>
          </cell>
          <cell r="AG250">
            <v>40.639999389648438</v>
          </cell>
        </row>
        <row r="251">
          <cell r="AF251">
            <v>36509</v>
          </cell>
          <cell r="AG251">
            <v>40.650001525878906</v>
          </cell>
        </row>
        <row r="252">
          <cell r="AF252">
            <v>36510</v>
          </cell>
          <cell r="AG252">
            <v>40.580001831054687</v>
          </cell>
        </row>
        <row r="253">
          <cell r="AF253">
            <v>36511</v>
          </cell>
          <cell r="AG253">
            <v>40.709999084472656</v>
          </cell>
        </row>
        <row r="254">
          <cell r="AF254">
            <v>36514</v>
          </cell>
          <cell r="AG254">
            <v>40.580001831054687</v>
          </cell>
        </row>
        <row r="255">
          <cell r="AF255">
            <v>36515</v>
          </cell>
          <cell r="AG255">
            <v>40.5</v>
          </cell>
        </row>
        <row r="256">
          <cell r="AF256">
            <v>36516</v>
          </cell>
          <cell r="AG256">
            <v>40.349998474121094</v>
          </cell>
        </row>
        <row r="257">
          <cell r="AF257">
            <v>36517</v>
          </cell>
          <cell r="AG257">
            <v>40.150001525878906</v>
          </cell>
        </row>
        <row r="258">
          <cell r="AF258">
            <v>36518</v>
          </cell>
          <cell r="AG258">
            <v>40</v>
          </cell>
        </row>
        <row r="259">
          <cell r="AF259">
            <v>36521</v>
          </cell>
          <cell r="AG259">
            <v>40.220001220703125</v>
          </cell>
        </row>
        <row r="260">
          <cell r="AF260">
            <v>36522</v>
          </cell>
          <cell r="AG260">
            <v>40.319999694824219</v>
          </cell>
        </row>
        <row r="261">
          <cell r="AF261">
            <v>36523</v>
          </cell>
          <cell r="AG261">
            <v>40.200000762939453</v>
          </cell>
        </row>
        <row r="262">
          <cell r="AF262">
            <v>36524</v>
          </cell>
          <cell r="AG262">
            <v>40.200000762939453</v>
          </cell>
        </row>
        <row r="263">
          <cell r="AF263">
            <v>36525</v>
          </cell>
          <cell r="AG263">
            <v>40</v>
          </cell>
        </row>
        <row r="264">
          <cell r="AF264">
            <v>36528</v>
          </cell>
          <cell r="AG264">
            <v>39.970001220703125</v>
          </cell>
        </row>
        <row r="265">
          <cell r="AF265">
            <v>36529</v>
          </cell>
          <cell r="AG265">
            <v>39.759998321533203</v>
          </cell>
        </row>
        <row r="266">
          <cell r="AF266">
            <v>36530</v>
          </cell>
          <cell r="AG266">
            <v>40.150001525878906</v>
          </cell>
        </row>
        <row r="267">
          <cell r="AF267">
            <v>36531</v>
          </cell>
          <cell r="AG267">
            <v>40.479999542236328</v>
          </cell>
        </row>
      </sheetData>
      <sheetData sheetId="7" refreshError="1">
        <row r="1">
          <cell r="E1" t="str">
            <v>FY1993</v>
          </cell>
          <cell r="F1" t="str">
            <v>FY1994</v>
          </cell>
          <cell r="G1" t="str">
            <v>FY1995</v>
          </cell>
          <cell r="H1" t="str">
            <v>FY1996</v>
          </cell>
          <cell r="I1" t="str">
            <v>FY1997</v>
          </cell>
          <cell r="J1" t="str">
            <v>FY1998</v>
          </cell>
          <cell r="K1" t="str">
            <v>FY1999</v>
          </cell>
          <cell r="L1" t="str">
            <v>FY2000</v>
          </cell>
          <cell r="M1" t="str">
            <v>FY2001</v>
          </cell>
          <cell r="N1" t="str">
            <v>FY2002</v>
          </cell>
          <cell r="O1" t="str">
            <v>FY2003</v>
          </cell>
          <cell r="P1" t="str">
            <v>FY2004</v>
          </cell>
          <cell r="Q1" t="str">
            <v>FY2005</v>
          </cell>
        </row>
        <row r="2">
          <cell r="B2" t="str">
            <v>TEL</v>
          </cell>
          <cell r="D2" t="str">
            <v>icd</v>
          </cell>
          <cell r="E2">
            <v>34334</v>
          </cell>
          <cell r="F2">
            <v>34699</v>
          </cell>
          <cell r="G2">
            <v>35064</v>
          </cell>
          <cell r="H2">
            <v>35430</v>
          </cell>
          <cell r="I2">
            <v>35795</v>
          </cell>
          <cell r="J2">
            <v>36160</v>
          </cell>
          <cell r="K2">
            <v>36525</v>
          </cell>
          <cell r="L2">
            <v>36891</v>
          </cell>
          <cell r="M2">
            <v>37256</v>
          </cell>
          <cell r="N2">
            <v>37621</v>
          </cell>
          <cell r="O2">
            <v>37986</v>
          </cell>
          <cell r="P2">
            <v>38352</v>
          </cell>
          <cell r="Q2">
            <v>38717</v>
          </cell>
        </row>
        <row r="3">
          <cell r="B3" t="str">
            <v>Louie Hilado</v>
          </cell>
          <cell r="D3" t="str">
            <v>bae</v>
          </cell>
        </row>
        <row r="4">
          <cell r="D4" t="str">
            <v>bao</v>
          </cell>
        </row>
        <row r="5">
          <cell r="B5" t="str">
            <v>TEL PM</v>
          </cell>
          <cell r="D5" t="str">
            <v>bap</v>
          </cell>
          <cell r="F5">
            <v>5885700096</v>
          </cell>
          <cell r="G5">
            <v>10127299584</v>
          </cell>
          <cell r="H5">
            <v>10649100288</v>
          </cell>
          <cell r="I5">
            <v>14867699712</v>
          </cell>
          <cell r="J5">
            <v>12172399616</v>
          </cell>
          <cell r="K5">
            <v>12776705024</v>
          </cell>
          <cell r="L5">
            <v>12880280576</v>
          </cell>
          <cell r="M5">
            <v>12684280832</v>
          </cell>
          <cell r="N5">
            <v>12488006656</v>
          </cell>
          <cell r="O5">
            <v>12399074304</v>
          </cell>
          <cell r="P5">
            <v>12414568448</v>
          </cell>
          <cell r="Q5">
            <v>12471241728</v>
          </cell>
        </row>
        <row r="6">
          <cell r="B6" t="str">
            <v>PHP</v>
          </cell>
          <cell r="D6" t="str">
            <v>bat</v>
          </cell>
          <cell r="F6">
            <v>8536999936</v>
          </cell>
          <cell r="G6">
            <v>12516400128</v>
          </cell>
          <cell r="H6">
            <v>18074599424</v>
          </cell>
          <cell r="I6">
            <v>21859899392</v>
          </cell>
          <cell r="J6">
            <v>22275299328</v>
          </cell>
          <cell r="K6">
            <v>19271000064</v>
          </cell>
          <cell r="L6">
            <v>15823973376</v>
          </cell>
          <cell r="M6">
            <v>14890234880</v>
          </cell>
          <cell r="N6">
            <v>13812780032</v>
          </cell>
          <cell r="O6">
            <v>13353450496</v>
          </cell>
          <cell r="P6">
            <v>11079459840</v>
          </cell>
          <cell r="Q6">
            <v>8332963328</v>
          </cell>
        </row>
        <row r="7">
          <cell r="B7">
            <v>0.60000002384185791</v>
          </cell>
          <cell r="D7" t="str">
            <v>bay</v>
          </cell>
        </row>
        <row r="8">
          <cell r="B8">
            <v>1999</v>
          </cell>
          <cell r="D8" t="str">
            <v>bcb</v>
          </cell>
        </row>
        <row r="9">
          <cell r="B9">
            <v>0.21500000357627869</v>
          </cell>
          <cell r="D9" t="str">
            <v>bce</v>
          </cell>
          <cell r="F9">
            <v>8175900160</v>
          </cell>
          <cell r="G9">
            <v>5514899968</v>
          </cell>
          <cell r="H9">
            <v>5038199808</v>
          </cell>
          <cell r="I9">
            <v>7107200000</v>
          </cell>
          <cell r="J9">
            <v>3940600064</v>
          </cell>
          <cell r="K9">
            <v>1724026240</v>
          </cell>
          <cell r="L9">
            <v>4218767872</v>
          </cell>
          <cell r="M9">
            <v>2939792128</v>
          </cell>
          <cell r="N9">
            <v>9112396800</v>
          </cell>
          <cell r="O9">
            <v>18872152064</v>
          </cell>
          <cell r="P9">
            <v>33682092032</v>
          </cell>
          <cell r="Q9">
            <v>50333130752</v>
          </cell>
        </row>
        <row r="10">
          <cell r="B10" t="str">
            <v>PTIC</v>
          </cell>
          <cell r="D10" t="str">
            <v>bcm</v>
          </cell>
        </row>
        <row r="11">
          <cell r="B11">
            <v>121100000</v>
          </cell>
          <cell r="D11" t="str">
            <v>bdp</v>
          </cell>
        </row>
        <row r="12">
          <cell r="B12" t="str">
            <v>TR BUY</v>
          </cell>
          <cell r="D12" t="str">
            <v>bia</v>
          </cell>
        </row>
        <row r="13">
          <cell r="B13" t="str">
            <v>PHP</v>
          </cell>
          <cell r="D13" t="str">
            <v>bin</v>
          </cell>
        </row>
        <row r="14">
          <cell r="B14">
            <v>36531</v>
          </cell>
          <cell r="D14" t="str">
            <v>bio</v>
          </cell>
        </row>
        <row r="15">
          <cell r="B15">
            <v>995</v>
          </cell>
          <cell r="D15" t="str">
            <v>bir</v>
          </cell>
        </row>
        <row r="16">
          <cell r="B16">
            <v>1275</v>
          </cell>
          <cell r="D16" t="str">
            <v>bit</v>
          </cell>
        </row>
        <row r="17">
          <cell r="B17">
            <v>780</v>
          </cell>
          <cell r="D17" t="str">
            <v>bll</v>
          </cell>
          <cell r="F17">
            <v>5029300224</v>
          </cell>
          <cell r="G17">
            <v>5793999872</v>
          </cell>
          <cell r="H17">
            <v>7938299904</v>
          </cell>
          <cell r="I17">
            <v>7882899968</v>
          </cell>
          <cell r="J17">
            <v>10445800448</v>
          </cell>
          <cell r="K17">
            <v>11761794048</v>
          </cell>
          <cell r="L17">
            <v>21473128448</v>
          </cell>
          <cell r="M17">
            <v>11592607744</v>
          </cell>
          <cell r="N17">
            <v>24938835968</v>
          </cell>
          <cell r="O17">
            <v>26122164224</v>
          </cell>
          <cell r="P17">
            <v>25129725952</v>
          </cell>
          <cell r="Q17">
            <v>23080192000</v>
          </cell>
        </row>
        <row r="18">
          <cell r="B18">
            <v>830</v>
          </cell>
          <cell r="D18" t="str">
            <v>blt</v>
          </cell>
          <cell r="F18">
            <v>26968899584</v>
          </cell>
          <cell r="G18">
            <v>36404998144</v>
          </cell>
          <cell r="H18">
            <v>45263298560</v>
          </cell>
          <cell r="I18">
            <v>91666702336</v>
          </cell>
          <cell r="J18">
            <v>96089096192</v>
          </cell>
          <cell r="K18">
            <v>105032949760</v>
          </cell>
          <cell r="L18">
            <v>80256802816</v>
          </cell>
          <cell r="M18">
            <v>85614919680</v>
          </cell>
          <cell r="N18">
            <v>53462466560</v>
          </cell>
          <cell r="O18">
            <v>34262425600</v>
          </cell>
          <cell r="P18">
            <v>16010238976</v>
          </cell>
          <cell r="Q18">
            <v>13598052352</v>
          </cell>
        </row>
        <row r="19">
          <cell r="B19">
            <v>885</v>
          </cell>
          <cell r="D19" t="str">
            <v>bmi</v>
          </cell>
        </row>
        <row r="20">
          <cell r="D20" t="str">
            <v>bnf</v>
          </cell>
          <cell r="E20">
            <v>0</v>
          </cell>
          <cell r="F20">
            <v>59547701248</v>
          </cell>
          <cell r="G20">
            <v>75734401024</v>
          </cell>
          <cell r="H20">
            <v>91309203456</v>
          </cell>
          <cell r="I20">
            <v>143242592256</v>
          </cell>
          <cell r="J20">
            <v>152433098752</v>
          </cell>
          <cell r="K20">
            <v>165394956288</v>
          </cell>
          <cell r="L20">
            <v>162589917184</v>
          </cell>
          <cell r="M20">
            <v>166873415680</v>
          </cell>
          <cell r="N20">
            <v>159208751104</v>
          </cell>
          <cell r="O20">
            <v>150268542976</v>
          </cell>
          <cell r="P20">
            <v>141317832704</v>
          </cell>
          <cell r="Q20">
            <v>133318787072</v>
          </cell>
        </row>
        <row r="21">
          <cell r="B21">
            <v>241228388.98305085</v>
          </cell>
          <cell r="D21" t="str">
            <v>bol</v>
          </cell>
          <cell r="F21">
            <v>1000600000</v>
          </cell>
          <cell r="G21">
            <v>693400000</v>
          </cell>
          <cell r="H21">
            <v>930300032</v>
          </cell>
          <cell r="I21">
            <v>467300000</v>
          </cell>
          <cell r="J21">
            <v>437200000</v>
          </cell>
          <cell r="K21">
            <v>581280000</v>
          </cell>
          <cell r="L21">
            <v>581280000</v>
          </cell>
          <cell r="M21">
            <v>581280000</v>
          </cell>
          <cell r="N21">
            <v>581280000</v>
          </cell>
          <cell r="O21">
            <v>581280000</v>
          </cell>
          <cell r="P21">
            <v>773509824</v>
          </cell>
          <cell r="Q21">
            <v>899276544</v>
          </cell>
        </row>
        <row r="22">
          <cell r="B22">
            <v>2079.110107421875</v>
          </cell>
          <cell r="D22" t="str">
            <v>bor</v>
          </cell>
        </row>
        <row r="23">
          <cell r="B23">
            <v>1940.93994140625</v>
          </cell>
          <cell r="D23" t="str">
            <v>bot</v>
          </cell>
          <cell r="F23">
            <v>2283599872</v>
          </cell>
          <cell r="G23">
            <v>4578100224</v>
          </cell>
          <cell r="H23">
            <v>4922299904</v>
          </cell>
          <cell r="I23">
            <v>8673800192</v>
          </cell>
          <cell r="J23">
            <v>8737599488</v>
          </cell>
          <cell r="K23">
            <v>8737599488</v>
          </cell>
          <cell r="L23">
            <v>8737599488</v>
          </cell>
          <cell r="M23">
            <v>8737599488</v>
          </cell>
          <cell r="N23">
            <v>8737599488</v>
          </cell>
          <cell r="O23">
            <v>8737599488</v>
          </cell>
          <cell r="P23">
            <v>8737599488</v>
          </cell>
          <cell r="Q23">
            <v>8737599488</v>
          </cell>
        </row>
        <row r="24">
          <cell r="B24">
            <v>2057.530029296875</v>
          </cell>
          <cell r="D24" t="str">
            <v>bpu</v>
          </cell>
        </row>
        <row r="25">
          <cell r="B25">
            <v>2079.75</v>
          </cell>
          <cell r="D25" t="str">
            <v>bre</v>
          </cell>
          <cell r="F25">
            <v>40635998208</v>
          </cell>
          <cell r="G25">
            <v>45292601344</v>
          </cell>
          <cell r="H25">
            <v>50628800512</v>
          </cell>
          <cell r="I25">
            <v>56670801920</v>
          </cell>
          <cell r="J25">
            <v>55931498496</v>
          </cell>
          <cell r="K25">
            <v>57049481216</v>
          </cell>
          <cell r="L25">
            <v>62086946816</v>
          </cell>
          <cell r="M25">
            <v>71568228352</v>
          </cell>
          <cell r="N25">
            <v>84788789248</v>
          </cell>
          <cell r="O25">
            <v>103045529600</v>
          </cell>
          <cell r="P25">
            <v>124372303872</v>
          </cell>
          <cell r="Q25">
            <v>149166637056</v>
          </cell>
        </row>
        <row r="26">
          <cell r="D26" t="str">
            <v>bst</v>
          </cell>
          <cell r="F26">
            <v>3124300032</v>
          </cell>
          <cell r="G26">
            <v>5060899840</v>
          </cell>
          <cell r="H26">
            <v>9832500224</v>
          </cell>
          <cell r="I26">
            <v>13914999808</v>
          </cell>
          <cell r="J26">
            <v>17547399168</v>
          </cell>
          <cell r="K26">
            <v>13050257408</v>
          </cell>
          <cell r="L26">
            <v>18925309952</v>
          </cell>
          <cell r="M26">
            <v>15946920960</v>
          </cell>
          <cell r="N26">
            <v>19105333248</v>
          </cell>
          <cell r="O26">
            <v>19200040960</v>
          </cell>
          <cell r="P26">
            <v>20357480448</v>
          </cell>
          <cell r="Q26">
            <v>5617480192</v>
          </cell>
        </row>
        <row r="27">
          <cell r="D27" t="str">
            <v>btd</v>
          </cell>
        </row>
        <row r="28">
          <cell r="D28" t="str">
            <v>btp</v>
          </cell>
        </row>
        <row r="29">
          <cell r="D29" t="str">
            <v>bcl</v>
          </cell>
          <cell r="E29">
            <v>0</v>
          </cell>
          <cell r="F29">
            <v>10010600448</v>
          </cell>
          <cell r="G29">
            <v>15881600000</v>
          </cell>
          <cell r="H29">
            <v>21411899392</v>
          </cell>
          <cell r="I29">
            <v>29250000896</v>
          </cell>
          <cell r="J29">
            <v>30157000704</v>
          </cell>
          <cell r="K29">
            <v>26408241152</v>
          </cell>
          <cell r="L29">
            <v>32386869248</v>
          </cell>
          <cell r="M29">
            <v>29212481536</v>
          </cell>
          <cell r="N29">
            <v>32174620672</v>
          </cell>
          <cell r="O29">
            <v>32180396032</v>
          </cell>
          <cell r="P29">
            <v>33545558016</v>
          </cell>
          <cell r="Q29">
            <v>18987999232</v>
          </cell>
        </row>
        <row r="30">
          <cell r="D30" t="str">
            <v>bca</v>
          </cell>
          <cell r="E30">
            <v>0</v>
          </cell>
          <cell r="F30">
            <v>20813500416</v>
          </cell>
          <cell r="G30">
            <v>23060699136</v>
          </cell>
          <cell r="H30">
            <v>29010800640</v>
          </cell>
          <cell r="I30">
            <v>33554100224</v>
          </cell>
          <cell r="J30">
            <v>31452899328</v>
          </cell>
          <cell r="K30">
            <v>26119917568</v>
          </cell>
          <cell r="L30">
            <v>24876234752</v>
          </cell>
          <cell r="M30">
            <v>22377216000</v>
          </cell>
          <cell r="N30">
            <v>27418365952</v>
          </cell>
          <cell r="O30">
            <v>36604366848</v>
          </cell>
          <cell r="P30">
            <v>49002393600</v>
          </cell>
          <cell r="Q30">
            <v>62776496128</v>
          </cell>
        </row>
        <row r="31">
          <cell r="A31">
            <v>34334</v>
          </cell>
          <cell r="D31" t="str">
            <v>bet</v>
          </cell>
        </row>
        <row r="32">
          <cell r="A32">
            <v>34699</v>
          </cell>
          <cell r="D32" t="str">
            <v>bta</v>
          </cell>
          <cell r="E32">
            <v>0</v>
          </cell>
          <cell r="F32">
            <v>82644803584</v>
          </cell>
          <cell r="G32">
            <v>103373201408</v>
          </cell>
          <cell r="H32">
            <v>125242302464</v>
          </cell>
          <cell r="I32">
            <v>185470500864</v>
          </cell>
          <cell r="J32">
            <v>192623607808</v>
          </cell>
          <cell r="K32">
            <v>200252473344</v>
          </cell>
          <cell r="L32">
            <v>196203741184</v>
          </cell>
          <cell r="M32">
            <v>197988237312</v>
          </cell>
          <cell r="N32">
            <v>195364716544</v>
          </cell>
          <cell r="O32">
            <v>195610509312</v>
          </cell>
          <cell r="P32">
            <v>199057817600</v>
          </cell>
          <cell r="Q32">
            <v>204832882688</v>
          </cell>
        </row>
        <row r="33">
          <cell r="A33">
            <v>35064</v>
          </cell>
          <cell r="D33" t="str">
            <v>bsf</v>
          </cell>
          <cell r="E33">
            <v>0</v>
          </cell>
          <cell r="F33">
            <v>40635998208</v>
          </cell>
          <cell r="G33">
            <v>45292601344</v>
          </cell>
          <cell r="H33">
            <v>50628800512</v>
          </cell>
          <cell r="I33">
            <v>56670801920</v>
          </cell>
          <cell r="J33">
            <v>55931498496</v>
          </cell>
          <cell r="K33">
            <v>57049481216</v>
          </cell>
          <cell r="L33">
            <v>62086946816</v>
          </cell>
          <cell r="M33">
            <v>71568228352</v>
          </cell>
          <cell r="N33">
            <v>84788789248</v>
          </cell>
          <cell r="O33">
            <v>103045529600</v>
          </cell>
          <cell r="P33">
            <v>124372303872</v>
          </cell>
          <cell r="Q33">
            <v>149166637056</v>
          </cell>
        </row>
        <row r="34">
          <cell r="A34">
            <v>35430</v>
          </cell>
          <cell r="D34" t="str">
            <v>cac</v>
          </cell>
        </row>
        <row r="35">
          <cell r="A35">
            <v>35795</v>
          </cell>
          <cell r="D35" t="str">
            <v>cam</v>
          </cell>
        </row>
        <row r="36">
          <cell r="A36">
            <v>36160</v>
          </cell>
          <cell r="D36" t="str">
            <v>cce</v>
          </cell>
          <cell r="F36">
            <v>-59547701248</v>
          </cell>
          <cell r="G36">
            <v>-19615399936</v>
          </cell>
          <cell r="H36">
            <v>-19685699584</v>
          </cell>
          <cell r="I36">
            <v>-58055598080</v>
          </cell>
          <cell r="J36">
            <v>-18653800448</v>
          </cell>
          <cell r="K36">
            <v>-23391299584</v>
          </cell>
          <cell r="L36">
            <v>-7733792256</v>
          </cell>
          <cell r="M36">
            <v>-15325097984</v>
          </cell>
          <cell r="N36">
            <v>-2994140928</v>
          </cell>
          <cell r="O36">
            <v>-1269837312</v>
          </cell>
          <cell r="P36">
            <v>-807569792</v>
          </cell>
          <cell r="Q36">
            <v>-1352421248</v>
          </cell>
        </row>
        <row r="37">
          <cell r="A37">
            <v>36525</v>
          </cell>
          <cell r="B37">
            <v>92.41302490234375</v>
          </cell>
          <cell r="D37" t="str">
            <v>cde</v>
          </cell>
          <cell r="F37">
            <v>0</v>
          </cell>
          <cell r="G37">
            <v>3428699904</v>
          </cell>
          <cell r="H37">
            <v>4110899968</v>
          </cell>
          <cell r="I37">
            <v>6122200064</v>
          </cell>
          <cell r="J37">
            <v>9463300096</v>
          </cell>
          <cell r="K37">
            <v>10429448192</v>
          </cell>
          <cell r="L37">
            <v>10538830848</v>
          </cell>
          <cell r="M37">
            <v>11041590272</v>
          </cell>
          <cell r="N37">
            <v>10658818048</v>
          </cell>
          <cell r="O37">
            <v>10210035712</v>
          </cell>
          <cell r="P37">
            <v>9758283776</v>
          </cell>
          <cell r="Q37">
            <v>9351465984</v>
          </cell>
        </row>
        <row r="38">
          <cell r="A38">
            <v>36891</v>
          </cell>
          <cell r="B38">
            <v>121.96331024169922</v>
          </cell>
          <cell r="D38" t="str">
            <v>cdi</v>
          </cell>
        </row>
        <row r="39">
          <cell r="A39">
            <v>37256</v>
          </cell>
          <cell r="B39">
            <v>144.29693603515625</v>
          </cell>
          <cell r="D39" t="str">
            <v>cdp</v>
          </cell>
          <cell r="F39">
            <v>-1082899968</v>
          </cell>
          <cell r="G39">
            <v>-1547900032</v>
          </cell>
          <cell r="H39">
            <v>-1592300032</v>
          </cell>
          <cell r="I39">
            <v>-1925009664</v>
          </cell>
          <cell r="J39">
            <v>-1687644800</v>
          </cell>
          <cell r="K39">
            <v>-1674995840</v>
          </cell>
          <cell r="L39">
            <v>-1714792576</v>
          </cell>
          <cell r="M39">
            <v>-1759177216</v>
          </cell>
          <cell r="N39">
            <v>-1759177216</v>
          </cell>
          <cell r="O39">
            <v>-1759177216</v>
          </cell>
          <cell r="P39">
            <v>-1951406976</v>
          </cell>
          <cell r="Q39">
            <v>-2077173632</v>
          </cell>
        </row>
        <row r="40">
          <cell r="A40">
            <v>37621</v>
          </cell>
          <cell r="D40" t="str">
            <v>cfx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</row>
        <row r="41">
          <cell r="A41">
            <v>37986</v>
          </cell>
          <cell r="D41" t="str">
            <v>cii</v>
          </cell>
          <cell r="F41">
            <v>325000000</v>
          </cell>
          <cell r="G41">
            <v>372400000</v>
          </cell>
          <cell r="H41">
            <v>240300000</v>
          </cell>
          <cell r="I41">
            <v>252500000</v>
          </cell>
          <cell r="J41">
            <v>-2338700032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</row>
        <row r="42">
          <cell r="A42">
            <v>38352</v>
          </cell>
          <cell r="D42" t="str">
            <v>civ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</row>
        <row r="43">
          <cell r="A43">
            <v>38717</v>
          </cell>
          <cell r="D43" t="str">
            <v>cni</v>
          </cell>
          <cell r="F43">
            <v>-1335399936</v>
          </cell>
          <cell r="G43">
            <v>-1676199936</v>
          </cell>
          <cell r="H43">
            <v>-2360999936</v>
          </cell>
          <cell r="I43">
            <v>-4045199872</v>
          </cell>
          <cell r="J43">
            <v>-6098599936</v>
          </cell>
          <cell r="K43">
            <v>-6746233344</v>
          </cell>
          <cell r="L43">
            <v>-5845801472</v>
          </cell>
          <cell r="M43">
            <v>-5283276288</v>
          </cell>
          <cell r="N43">
            <v>-4319075840</v>
          </cell>
          <cell r="O43">
            <v>-2649903872</v>
          </cell>
          <cell r="P43">
            <v>-588564160</v>
          </cell>
          <cell r="Q43">
            <v>1768254592</v>
          </cell>
        </row>
        <row r="44">
          <cell r="D44" t="str">
            <v>coi</v>
          </cell>
          <cell r="F44">
            <v>5029300224</v>
          </cell>
          <cell r="G44">
            <v>1747500032</v>
          </cell>
          <cell r="H44">
            <v>2387800064</v>
          </cell>
          <cell r="I44">
            <v>-631699968</v>
          </cell>
          <cell r="J44">
            <v>-4041200128</v>
          </cell>
          <cell r="K44">
            <v>-184005600</v>
          </cell>
          <cell r="L44">
            <v>9711333376</v>
          </cell>
          <cell r="M44">
            <v>-9880520704</v>
          </cell>
          <cell r="N44">
            <v>13346227200</v>
          </cell>
          <cell r="O44">
            <v>1183328128</v>
          </cell>
          <cell r="P44">
            <v>-992436736</v>
          </cell>
          <cell r="Q44">
            <v>-2049533824</v>
          </cell>
        </row>
        <row r="45">
          <cell r="D45" t="str">
            <v>cot</v>
          </cell>
          <cell r="F45">
            <v>-2283599872</v>
          </cell>
          <cell r="G45">
            <v>-2294500096</v>
          </cell>
          <cell r="H45">
            <v>-344200000</v>
          </cell>
          <cell r="I45">
            <v>-3751500032</v>
          </cell>
          <cell r="J45">
            <v>-63800000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</row>
        <row r="46">
          <cell r="D46" t="str">
            <v>csi</v>
          </cell>
          <cell r="F46">
            <v>36501598208</v>
          </cell>
          <cell r="G46">
            <v>453100000</v>
          </cell>
          <cell r="H46">
            <v>487431776</v>
          </cell>
          <cell r="I46">
            <v>317909600</v>
          </cell>
          <cell r="J46">
            <v>-158255200</v>
          </cell>
          <cell r="K46">
            <v>5.6843418860808015E-6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</row>
        <row r="47">
          <cell r="D47" t="str">
            <v>cta</v>
          </cell>
          <cell r="F47">
            <v>-1802700032</v>
          </cell>
          <cell r="G47">
            <v>-2146000000</v>
          </cell>
          <cell r="H47">
            <v>-3123500032</v>
          </cell>
          <cell r="I47">
            <v>-3046599936</v>
          </cell>
          <cell r="J47">
            <v>-1499900032</v>
          </cell>
          <cell r="K47">
            <v>-1375645184</v>
          </cell>
          <cell r="L47">
            <v>-3177533440</v>
          </cell>
          <cell r="M47">
            <v>-5289628160</v>
          </cell>
          <cell r="N47">
            <v>-7049287168</v>
          </cell>
          <cell r="O47">
            <v>-9419255808</v>
          </cell>
          <cell r="P47">
            <v>-10954436608</v>
          </cell>
          <cell r="Q47">
            <v>-12645417984</v>
          </cell>
        </row>
        <row r="48">
          <cell r="D48" t="str">
            <v>cwo</v>
          </cell>
          <cell r="F48">
            <v>-3100000000</v>
          </cell>
          <cell r="G48">
            <v>-1236000000</v>
          </cell>
          <cell r="H48">
            <v>-631699968</v>
          </cell>
          <cell r="I48">
            <v>848000000</v>
          </cell>
          <cell r="J48">
            <v>-680100032</v>
          </cell>
          <cell r="K48">
            <v>256188592</v>
          </cell>
          <cell r="L48">
            <v>291397600</v>
          </cell>
          <cell r="M48">
            <v>286303968</v>
          </cell>
          <cell r="N48">
            <v>53999792</v>
          </cell>
          <cell r="O48">
            <v>114423664</v>
          </cell>
          <cell r="P48">
            <v>330154080</v>
          </cell>
          <cell r="Q48">
            <v>256206912</v>
          </cell>
        </row>
        <row r="49">
          <cell r="D49" t="str">
            <v>cwt</v>
          </cell>
          <cell r="F49">
            <v>-2651300096</v>
          </cell>
          <cell r="G49">
            <v>262200000</v>
          </cell>
          <cell r="H49">
            <v>-5036400128</v>
          </cell>
          <cell r="I49">
            <v>433300000</v>
          </cell>
          <cell r="J49">
            <v>-3110700032</v>
          </cell>
          <cell r="K49">
            <v>3608604672</v>
          </cell>
          <cell r="L49">
            <v>3550602240</v>
          </cell>
          <cell r="M49">
            <v>737739392</v>
          </cell>
          <cell r="N49">
            <v>881181248</v>
          </cell>
          <cell r="O49">
            <v>370396960</v>
          </cell>
          <cell r="P49">
            <v>2289483776</v>
          </cell>
          <cell r="Q49">
            <v>2803170304</v>
          </cell>
        </row>
        <row r="50">
          <cell r="D50" t="str">
            <v>coc</v>
          </cell>
          <cell r="E50">
            <v>0</v>
          </cell>
          <cell r="F50">
            <v>7308400128</v>
          </cell>
          <cell r="G50">
            <v>12420800512</v>
          </cell>
          <cell r="H50">
            <v>12272368640</v>
          </cell>
          <cell r="I50">
            <v>21836500992</v>
          </cell>
          <cell r="J50">
            <v>19279200256</v>
          </cell>
          <cell r="K50">
            <v>26525089792</v>
          </cell>
          <cell r="L50">
            <v>39867756544</v>
          </cell>
          <cell r="M50">
            <v>23998478336</v>
          </cell>
          <cell r="N50">
            <v>51288326144</v>
          </cell>
          <cell r="O50">
            <v>43963265024</v>
          </cell>
          <cell r="P50">
            <v>46206664704</v>
          </cell>
          <cell r="Q50">
            <v>48109985792</v>
          </cell>
        </row>
        <row r="51">
          <cell r="D51" t="str">
            <v>ccn</v>
          </cell>
          <cell r="E51">
            <v>0</v>
          </cell>
          <cell r="F51">
            <v>-21917300736</v>
          </cell>
          <cell r="G51">
            <v>-14033699840</v>
          </cell>
          <cell r="H51">
            <v>-14106600448</v>
          </cell>
          <cell r="I51">
            <v>-48417001472</v>
          </cell>
          <cell r="J51">
            <v>-11221499904</v>
          </cell>
          <cell r="K51">
            <v>-6663083520</v>
          </cell>
          <cell r="L51">
            <v>21395836928</v>
          </cell>
          <cell r="M51">
            <v>-3658701312</v>
          </cell>
          <cell r="N51">
            <v>35166646272</v>
          </cell>
          <cell r="O51">
            <v>28865089536</v>
          </cell>
          <cell r="P51">
            <v>31904686080</v>
          </cell>
          <cell r="Q51">
            <v>33803227136</v>
          </cell>
        </row>
        <row r="52">
          <cell r="D52" t="str">
            <v>cfc</v>
          </cell>
          <cell r="E52">
            <v>0</v>
          </cell>
          <cell r="F52">
            <v>4495300096</v>
          </cell>
          <cell r="G52">
            <v>8970999808</v>
          </cell>
          <cell r="H52">
            <v>7028168192</v>
          </cell>
          <cell r="I52">
            <v>14997199872</v>
          </cell>
          <cell r="J52">
            <v>9342000128</v>
          </cell>
          <cell r="K52">
            <v>18403211264</v>
          </cell>
          <cell r="L52">
            <v>30844422144</v>
          </cell>
          <cell r="M52">
            <v>13425572864</v>
          </cell>
          <cell r="N52">
            <v>39919964160</v>
          </cell>
          <cell r="O52">
            <v>31894104064</v>
          </cell>
          <cell r="P52">
            <v>34663661568</v>
          </cell>
          <cell r="Q52">
            <v>37232820224</v>
          </cell>
        </row>
        <row r="53">
          <cell r="D53" t="str">
            <v>pai</v>
          </cell>
          <cell r="F53">
            <v>325000000</v>
          </cell>
          <cell r="G53">
            <v>372400000</v>
          </cell>
          <cell r="H53">
            <v>240300000</v>
          </cell>
          <cell r="I53">
            <v>252500000</v>
          </cell>
          <cell r="J53">
            <v>-2338700032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</row>
        <row r="54">
          <cell r="D54" t="str">
            <v>pco</v>
          </cell>
        </row>
        <row r="55">
          <cell r="D55" t="str">
            <v>pdp</v>
          </cell>
          <cell r="F55">
            <v>-1082899968</v>
          </cell>
          <cell r="G55">
            <v>-1547900032</v>
          </cell>
          <cell r="H55">
            <v>-1592300032</v>
          </cell>
          <cell r="I55">
            <v>-1925009664</v>
          </cell>
          <cell r="J55">
            <v>-1687644800</v>
          </cell>
          <cell r="K55">
            <v>-1674995840</v>
          </cell>
          <cell r="L55">
            <v>-1714792576</v>
          </cell>
          <cell r="M55">
            <v>-1759177216</v>
          </cell>
          <cell r="N55">
            <v>-1759177216</v>
          </cell>
          <cell r="O55">
            <v>-1759177216</v>
          </cell>
          <cell r="P55">
            <v>-1951406976</v>
          </cell>
          <cell r="Q55">
            <v>-2077173632</v>
          </cell>
        </row>
        <row r="56">
          <cell r="D56" t="str">
            <v>peb</v>
          </cell>
          <cell r="E56">
            <v>0</v>
          </cell>
          <cell r="F56">
            <v>8030400000</v>
          </cell>
          <cell r="G56">
            <v>11647099904</v>
          </cell>
          <cell r="H56">
            <v>15552668672</v>
          </cell>
          <cell r="I56">
            <v>21186899968</v>
          </cell>
          <cell r="J56">
            <v>27111200768</v>
          </cell>
          <cell r="K56">
            <v>22844303360</v>
          </cell>
          <cell r="L56">
            <v>26314424320</v>
          </cell>
          <cell r="M56">
            <v>32854956032</v>
          </cell>
          <cell r="N56">
            <v>37006917632</v>
          </cell>
          <cell r="O56">
            <v>42295115776</v>
          </cell>
          <cell r="P56">
            <v>44579463168</v>
          </cell>
          <cell r="Q56">
            <v>47100141568</v>
          </cell>
        </row>
        <row r="57">
          <cell r="D57" t="str">
            <v>pfx</v>
          </cell>
        </row>
        <row r="58">
          <cell r="D58" t="str">
            <v>pgp</v>
          </cell>
          <cell r="E58">
            <v>0</v>
          </cell>
          <cell r="F58">
            <v>22249400320</v>
          </cell>
          <cell r="G58">
            <v>25054799872</v>
          </cell>
          <cell r="H58">
            <v>28688267264</v>
          </cell>
          <cell r="I58">
            <v>35621801984</v>
          </cell>
          <cell r="J58">
            <v>45693001728</v>
          </cell>
          <cell r="K58">
            <v>41852268544</v>
          </cell>
          <cell r="L58">
            <v>45451644928</v>
          </cell>
          <cell r="M58">
            <v>51037831168</v>
          </cell>
          <cell r="N58">
            <v>55120355328</v>
          </cell>
          <cell r="O58">
            <v>60652437504</v>
          </cell>
          <cell r="P58">
            <v>63424233472</v>
          </cell>
          <cell r="Q58">
            <v>66482302976</v>
          </cell>
        </row>
        <row r="59">
          <cell r="D59" t="str">
            <v>pie</v>
          </cell>
          <cell r="F59">
            <v>-1335399936</v>
          </cell>
          <cell r="G59">
            <v>-2183200000</v>
          </cell>
          <cell r="H59">
            <v>-2564999936</v>
          </cell>
          <cell r="I59">
            <v>-4575200256</v>
          </cell>
          <cell r="J59">
            <v>-6599600128</v>
          </cell>
          <cell r="K59">
            <v>-7001127936</v>
          </cell>
          <cell r="L59">
            <v>-6098370560</v>
          </cell>
          <cell r="M59">
            <v>-5569618432</v>
          </cell>
          <cell r="N59">
            <v>-4771033088</v>
          </cell>
          <cell r="O59">
            <v>-3699324416</v>
          </cell>
          <cell r="P59">
            <v>-2559348224</v>
          </cell>
          <cell r="Q59">
            <v>-1382316416</v>
          </cell>
        </row>
        <row r="60">
          <cell r="D60" t="str">
            <v>pii</v>
          </cell>
          <cell r="F60">
            <v>0</v>
          </cell>
          <cell r="G60">
            <v>507000000</v>
          </cell>
          <cell r="H60">
            <v>204000000</v>
          </cell>
          <cell r="I60">
            <v>530000000</v>
          </cell>
          <cell r="J60">
            <v>501000000</v>
          </cell>
          <cell r="K60">
            <v>254894672</v>
          </cell>
          <cell r="L60">
            <v>252568752</v>
          </cell>
          <cell r="M60">
            <v>286342400</v>
          </cell>
          <cell r="N60">
            <v>451957088</v>
          </cell>
          <cell r="O60">
            <v>1049420608</v>
          </cell>
          <cell r="P60">
            <v>1970784128</v>
          </cell>
          <cell r="Q60">
            <v>3150571008</v>
          </cell>
        </row>
        <row r="61">
          <cell r="D61" t="str">
            <v>pin</v>
          </cell>
        </row>
        <row r="62">
          <cell r="B62">
            <v>8</v>
          </cell>
          <cell r="D62" t="str">
            <v>pmi</v>
          </cell>
        </row>
        <row r="63">
          <cell r="D63" t="str">
            <v>pnp</v>
          </cell>
          <cell r="E63">
            <v>0</v>
          </cell>
          <cell r="F63">
            <v>5217299968</v>
          </cell>
          <cell r="G63">
            <v>5751399936</v>
          </cell>
          <cell r="H63">
            <v>6441068032</v>
          </cell>
          <cell r="I63">
            <v>7649099776</v>
          </cell>
          <cell r="J63">
            <v>1106599936</v>
          </cell>
          <cell r="K63">
            <v>2792976384</v>
          </cell>
          <cell r="L63">
            <v>6752258560</v>
          </cell>
          <cell r="M63">
            <v>11240460288</v>
          </cell>
          <cell r="N63">
            <v>14979735552</v>
          </cell>
          <cell r="O63">
            <v>20015919104</v>
          </cell>
          <cell r="P63">
            <v>23278178304</v>
          </cell>
          <cell r="Q63">
            <v>26871513088</v>
          </cell>
        </row>
        <row r="64">
          <cell r="D64" t="str">
            <v>poi</v>
          </cell>
          <cell r="F64">
            <v>0</v>
          </cell>
          <cell r="G64">
            <v>197600000</v>
          </cell>
          <cell r="H64">
            <v>243500000</v>
          </cell>
          <cell r="I64">
            <v>8700000</v>
          </cell>
          <cell r="J64">
            <v>179900000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</row>
        <row r="65">
          <cell r="D65" t="str">
            <v>ppr</v>
          </cell>
          <cell r="E65">
            <v>0</v>
          </cell>
          <cell r="F65">
            <v>4134400000</v>
          </cell>
          <cell r="G65">
            <v>4203500032</v>
          </cell>
          <cell r="H65">
            <v>4848768000</v>
          </cell>
          <cell r="I65">
            <v>5724090368</v>
          </cell>
          <cell r="J65">
            <v>-581044800</v>
          </cell>
          <cell r="K65">
            <v>1117980672</v>
          </cell>
          <cell r="L65">
            <v>5037466112</v>
          </cell>
          <cell r="M65">
            <v>9481283584</v>
          </cell>
          <cell r="N65">
            <v>13220558848</v>
          </cell>
          <cell r="O65">
            <v>18256742400</v>
          </cell>
          <cell r="P65">
            <v>21326772224</v>
          </cell>
          <cell r="Q65">
            <v>24794339328</v>
          </cell>
        </row>
        <row r="66">
          <cell r="D66" t="str">
            <v>ppt</v>
          </cell>
          <cell r="E66">
            <v>0</v>
          </cell>
          <cell r="F66">
            <v>7020000256</v>
          </cell>
          <cell r="G66">
            <v>7897399808</v>
          </cell>
          <cell r="H66">
            <v>9564568576</v>
          </cell>
          <cell r="I66">
            <v>10695700480</v>
          </cell>
          <cell r="J66">
            <v>2606500096</v>
          </cell>
          <cell r="K66">
            <v>4168621568</v>
          </cell>
          <cell r="L66">
            <v>9929792512</v>
          </cell>
          <cell r="M66">
            <v>16530088960</v>
          </cell>
          <cell r="N66">
            <v>22029023232</v>
          </cell>
          <cell r="O66">
            <v>29435174912</v>
          </cell>
          <cell r="P66">
            <v>34232614912</v>
          </cell>
          <cell r="Q66">
            <v>39516930048</v>
          </cell>
        </row>
        <row r="67">
          <cell r="D67" t="str">
            <v>pre</v>
          </cell>
          <cell r="F67">
            <v>22249400320</v>
          </cell>
          <cell r="G67">
            <v>25054799872</v>
          </cell>
          <cell r="H67">
            <v>28688267264</v>
          </cell>
          <cell r="I67">
            <v>35621801984</v>
          </cell>
          <cell r="J67">
            <v>45693001728</v>
          </cell>
          <cell r="K67">
            <v>41852268544</v>
          </cell>
          <cell r="L67">
            <v>45451644928</v>
          </cell>
          <cell r="M67">
            <v>51037831168</v>
          </cell>
          <cell r="N67">
            <v>55120355328</v>
          </cell>
          <cell r="O67">
            <v>60652437504</v>
          </cell>
          <cell r="P67">
            <v>63424233472</v>
          </cell>
          <cell r="Q67">
            <v>66482302976</v>
          </cell>
        </row>
        <row r="68">
          <cell r="D68" t="str">
            <v>pop</v>
          </cell>
          <cell r="E68">
            <v>0</v>
          </cell>
          <cell r="F68">
            <v>8030400000</v>
          </cell>
          <cell r="G68">
            <v>8218399744</v>
          </cell>
          <cell r="H68">
            <v>11441768448</v>
          </cell>
          <cell r="I68">
            <v>15064699904</v>
          </cell>
          <cell r="J68">
            <v>17647900672</v>
          </cell>
          <cell r="K68">
            <v>12414855168</v>
          </cell>
          <cell r="L68">
            <v>15775593472</v>
          </cell>
          <cell r="M68">
            <v>21813364736</v>
          </cell>
          <cell r="N68">
            <v>26348099584</v>
          </cell>
          <cell r="O68">
            <v>32085080064</v>
          </cell>
          <cell r="P68">
            <v>34821181440</v>
          </cell>
          <cell r="Q68">
            <v>37748674560</v>
          </cell>
        </row>
        <row r="69">
          <cell r="D69" t="str">
            <v>pta</v>
          </cell>
          <cell r="F69">
            <v>-1802700032</v>
          </cell>
          <cell r="G69">
            <v>-2146000000</v>
          </cell>
          <cell r="H69">
            <v>-3123500032</v>
          </cell>
          <cell r="I69">
            <v>-3046599936</v>
          </cell>
          <cell r="J69">
            <v>-1499900032</v>
          </cell>
          <cell r="K69">
            <v>-1375645184</v>
          </cell>
          <cell r="L69">
            <v>-3177533440</v>
          </cell>
          <cell r="M69">
            <v>-5289628160</v>
          </cell>
          <cell r="N69">
            <v>-7049287168</v>
          </cell>
          <cell r="O69">
            <v>-9419255808</v>
          </cell>
          <cell r="P69">
            <v>-10954436608</v>
          </cell>
          <cell r="Q69">
            <v>-12645417984</v>
          </cell>
        </row>
        <row r="70">
          <cell r="D70" t="str">
            <v>swa</v>
          </cell>
          <cell r="E70">
            <v>121100000</v>
          </cell>
          <cell r="F70">
            <v>121100000</v>
          </cell>
          <cell r="G70">
            <v>121100000</v>
          </cell>
          <cell r="H70">
            <v>121100000</v>
          </cell>
          <cell r="I70">
            <v>121100000</v>
          </cell>
          <cell r="J70">
            <v>121100000</v>
          </cell>
          <cell r="K70">
            <v>121100000</v>
          </cell>
          <cell r="L70">
            <v>121100000</v>
          </cell>
          <cell r="M70">
            <v>121100000</v>
          </cell>
          <cell r="N70">
            <v>121100000</v>
          </cell>
          <cell r="O70">
            <v>121100000</v>
          </cell>
          <cell r="P70">
            <v>121100000</v>
          </cell>
          <cell r="Q70">
            <v>121100000</v>
          </cell>
        </row>
        <row r="71">
          <cell r="D71" t="str">
            <v>vdp</v>
          </cell>
          <cell r="E71">
            <v>0</v>
          </cell>
          <cell r="F71">
            <v>8.9421968460083008</v>
          </cell>
          <cell r="G71">
            <v>12.781998634338379</v>
          </cell>
          <cell r="H71">
            <v>13.148637771606445</v>
          </cell>
          <cell r="I71">
            <v>15.89603328704834</v>
          </cell>
          <cell r="J71">
            <v>13.93596076965332</v>
          </cell>
          <cell r="K71">
            <v>13.831509590148926</v>
          </cell>
          <cell r="L71">
            <v>14.160137176513672</v>
          </cell>
          <cell r="M71">
            <v>14.52664852142334</v>
          </cell>
          <cell r="N71">
            <v>14.52664852142334</v>
          </cell>
          <cell r="O71">
            <v>14.52664852142334</v>
          </cell>
          <cell r="P71">
            <v>16.114013671875</v>
          </cell>
          <cell r="Q71">
            <v>17.152549743652344</v>
          </cell>
        </row>
        <row r="72">
          <cell r="D72" t="str">
            <v>vep</v>
          </cell>
          <cell r="E72">
            <v>0</v>
          </cell>
          <cell r="F72">
            <v>36.934764862060547</v>
          </cell>
          <cell r="G72">
            <v>37.575557708740234</v>
          </cell>
          <cell r="H72">
            <v>42.908905029296875</v>
          </cell>
          <cell r="I72">
            <v>52.068538665771484</v>
          </cell>
          <cell r="J72">
            <v>2.4772915057837963E-3</v>
          </cell>
          <cell r="K72">
            <v>14.031880378723145</v>
          </cell>
          <cell r="L72">
            <v>46.397571563720703</v>
          </cell>
          <cell r="M72">
            <v>83.093009948730469</v>
          </cell>
          <cell r="N72">
            <v>113.97058868408203</v>
          </cell>
          <cell r="O72">
            <v>155.55757141113281</v>
          </cell>
          <cell r="P72">
            <v>182.49612426757812</v>
          </cell>
          <cell r="Q72">
            <v>212.1685791015625</v>
          </cell>
        </row>
        <row r="73">
          <cell r="D73" t="str">
            <v>veg</v>
          </cell>
          <cell r="F73">
            <v>0</v>
          </cell>
          <cell r="G73">
            <v>1.7349312081933022E-2</v>
          </cell>
          <cell r="H73">
            <v>0.14193658530712128</v>
          </cell>
          <cell r="I73">
            <v>0.21346700191497803</v>
          </cell>
          <cell r="J73">
            <v>-0.99995243549346924</v>
          </cell>
          <cell r="K73">
            <v>5663.2021484375</v>
          </cell>
          <cell r="L73">
            <v>2.3065826892852783</v>
          </cell>
          <cell r="M73">
            <v>0.79089128971099854</v>
          </cell>
          <cell r="N73">
            <v>0.37160268425941467</v>
          </cell>
          <cell r="O73">
            <v>0.36489221453666687</v>
          </cell>
          <cell r="P73">
            <v>0.17317420244216919</v>
          </cell>
          <cell r="Q73">
            <v>0.16259221732616425</v>
          </cell>
        </row>
        <row r="74">
          <cell r="D74" t="str">
            <v>vcf</v>
          </cell>
          <cell r="E74">
            <v>0</v>
          </cell>
          <cell r="F74">
            <v>37.120559692382813</v>
          </cell>
          <cell r="G74">
            <v>74.079277038574219</v>
          </cell>
          <cell r="H74">
            <v>58.03607177734375</v>
          </cell>
          <cell r="I74">
            <v>123.84145355224609</v>
          </cell>
          <cell r="J74">
            <v>77.142860412597656</v>
          </cell>
          <cell r="K74">
            <v>151.96707153320312</v>
          </cell>
          <cell r="L74">
            <v>254.70208740234375</v>
          </cell>
          <cell r="M74">
            <v>110.863525390625</v>
          </cell>
          <cell r="N74">
            <v>329.64462280273437</v>
          </cell>
          <cell r="O74">
            <v>263.36996459960937</v>
          </cell>
          <cell r="P74">
            <v>286.239990234375</v>
          </cell>
          <cell r="Q74">
            <v>307.45516967773437</v>
          </cell>
        </row>
        <row r="75">
          <cell r="D75" t="str">
            <v>vva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</row>
        <row r="76">
          <cell r="D76" t="str">
            <v>vbv</v>
          </cell>
          <cell r="E76">
            <v>0</v>
          </cell>
          <cell r="F76">
            <v>335.55740356445312</v>
          </cell>
          <cell r="G76">
            <v>374.00991821289062</v>
          </cell>
          <cell r="H76">
            <v>418.07431030273437</v>
          </cell>
          <cell r="I76">
            <v>467.96697998046875</v>
          </cell>
          <cell r="J76">
            <v>461.86209106445312</v>
          </cell>
          <cell r="K76">
            <v>471.09396362304687</v>
          </cell>
          <cell r="L76">
            <v>512.6915283203125</v>
          </cell>
          <cell r="M76">
            <v>590.98455810546875</v>
          </cell>
          <cell r="N76">
            <v>700.1551513671875</v>
          </cell>
          <cell r="O76">
            <v>850.9127197265625</v>
          </cell>
          <cell r="P76">
            <v>1027.021484375</v>
          </cell>
          <cell r="Q76">
            <v>1231.76416015625</v>
          </cell>
        </row>
        <row r="77">
          <cell r="D77" t="str">
            <v>vsp</v>
          </cell>
          <cell r="L77">
            <v>1020</v>
          </cell>
          <cell r="M77">
            <v>1020</v>
          </cell>
          <cell r="N77">
            <v>1020</v>
          </cell>
          <cell r="O77">
            <v>1020</v>
          </cell>
          <cell r="P77">
            <v>1020</v>
          </cell>
          <cell r="Q77">
            <v>1020</v>
          </cell>
        </row>
        <row r="78">
          <cell r="D78" t="str">
            <v>boc</v>
          </cell>
          <cell r="F78">
            <v>4100600064</v>
          </cell>
          <cell r="G78">
            <v>5029400064</v>
          </cell>
          <cell r="H78">
            <v>5897999872</v>
          </cell>
          <cell r="I78">
            <v>4586999808</v>
          </cell>
          <cell r="J78">
            <v>5237000192</v>
          </cell>
          <cell r="K78">
            <v>5124891648</v>
          </cell>
          <cell r="L78">
            <v>4833494016</v>
          </cell>
          <cell r="M78">
            <v>4547189760</v>
          </cell>
          <cell r="N78">
            <v>4493190144</v>
          </cell>
          <cell r="O78">
            <v>4378766336</v>
          </cell>
          <cell r="P78">
            <v>4240842240</v>
          </cell>
          <cell r="Q78">
            <v>4110402048</v>
          </cell>
        </row>
        <row r="79">
          <cell r="D79" t="str">
            <v>bcp</v>
          </cell>
        </row>
        <row r="80">
          <cell r="D80" t="str">
            <v>bpp</v>
          </cell>
        </row>
        <row r="81">
          <cell r="D81" t="str">
            <v>pet</v>
          </cell>
        </row>
        <row r="82">
          <cell r="D82" t="str">
            <v>tnd</v>
          </cell>
          <cell r="E82">
            <v>0</v>
          </cell>
          <cell r="F82">
            <v>21917300736</v>
          </cell>
          <cell r="G82">
            <v>35951001600</v>
          </cell>
          <cell r="H82">
            <v>50057601024</v>
          </cell>
          <cell r="I82">
            <v>98474500096</v>
          </cell>
          <cell r="J82">
            <v>109695901696</v>
          </cell>
          <cell r="K82">
            <v>116359184384</v>
          </cell>
          <cell r="L82">
            <v>94963343360</v>
          </cell>
          <cell r="M82">
            <v>98622046208</v>
          </cell>
          <cell r="N82">
            <v>63455404032</v>
          </cell>
          <cell r="O82">
            <v>34590314496</v>
          </cell>
          <cell r="P82">
            <v>2685627136</v>
          </cell>
          <cell r="Q82">
            <v>-31117600768</v>
          </cell>
        </row>
        <row r="83">
          <cell r="D83" t="str">
            <v>tfd</v>
          </cell>
          <cell r="I83">
            <v>96064200704</v>
          </cell>
          <cell r="J83">
            <v>93513506816</v>
          </cell>
          <cell r="K83">
            <v>94410579968</v>
          </cell>
          <cell r="L83">
            <v>78307737600</v>
          </cell>
          <cell r="M83">
            <v>72600199168</v>
          </cell>
          <cell r="N83">
            <v>52573720576</v>
          </cell>
          <cell r="O83">
            <v>33410949120</v>
          </cell>
          <cell r="P83">
            <v>13053468672</v>
          </cell>
          <cell r="Q83">
            <v>7435987968</v>
          </cell>
        </row>
        <row r="84">
          <cell r="D84" t="str">
            <v>tfr</v>
          </cell>
          <cell r="F84">
            <v>13729999872</v>
          </cell>
          <cell r="G84">
            <v>12484117504</v>
          </cell>
          <cell r="H84">
            <v>15085299712</v>
          </cell>
          <cell r="I84">
            <v>15939300352</v>
          </cell>
          <cell r="J84">
            <v>18990395392</v>
          </cell>
          <cell r="K84">
            <v>18993999872</v>
          </cell>
          <cell r="L84">
            <v>15546237952</v>
          </cell>
          <cell r="M84">
            <v>14575528960</v>
          </cell>
          <cell r="N84">
            <v>15390144512</v>
          </cell>
          <cell r="O84">
            <v>15798759424</v>
          </cell>
          <cell r="P84">
            <v>16918343680</v>
          </cell>
          <cell r="Q84">
            <v>17452670976</v>
          </cell>
        </row>
        <row r="85">
          <cell r="D85" t="str">
            <v>tfc</v>
          </cell>
          <cell r="E85">
            <v>0</v>
          </cell>
          <cell r="F85">
            <v>12671200256</v>
          </cell>
          <cell r="G85">
            <v>14485900288</v>
          </cell>
          <cell r="H85">
            <v>12066368512</v>
          </cell>
          <cell r="I85">
            <v>22104399872</v>
          </cell>
          <cell r="J85">
            <v>13282599936</v>
          </cell>
          <cell r="K85">
            <v>20127238144</v>
          </cell>
          <cell r="L85">
            <v>35063189504</v>
          </cell>
          <cell r="M85">
            <v>16365365248</v>
          </cell>
          <cell r="N85">
            <v>49032359936</v>
          </cell>
          <cell r="O85">
            <v>50766254080</v>
          </cell>
          <cell r="P85">
            <v>68345753600</v>
          </cell>
          <cell r="Q85">
            <v>87565950976</v>
          </cell>
        </row>
        <row r="86">
          <cell r="D86" t="str">
            <v>tci</v>
          </cell>
          <cell r="E86">
            <v>0</v>
          </cell>
          <cell r="F86">
            <v>1335399936</v>
          </cell>
          <cell r="G86">
            <v>2183200000</v>
          </cell>
          <cell r="H86">
            <v>2564999936</v>
          </cell>
          <cell r="I86">
            <v>4575200256</v>
          </cell>
          <cell r="J86">
            <v>6599600128</v>
          </cell>
          <cell r="K86">
            <v>7001127936</v>
          </cell>
          <cell r="L86">
            <v>6098370560</v>
          </cell>
          <cell r="M86">
            <v>5569618432</v>
          </cell>
          <cell r="N86">
            <v>4771033088</v>
          </cell>
          <cell r="O86">
            <v>3699324416</v>
          </cell>
          <cell r="P86">
            <v>2559348224</v>
          </cell>
          <cell r="Q86">
            <v>1382316416</v>
          </cell>
        </row>
        <row r="87">
          <cell r="D87" t="str">
            <v>tin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</row>
        <row r="88">
          <cell r="D88" t="str">
            <v>tfo</v>
          </cell>
          <cell r="H88">
            <v>4110899968</v>
          </cell>
          <cell r="I88">
            <v>6122200064</v>
          </cell>
          <cell r="J88">
            <v>9463300096</v>
          </cell>
          <cell r="K88">
            <v>10429448192</v>
          </cell>
          <cell r="L88">
            <v>10538830848</v>
          </cell>
          <cell r="M88">
            <v>11041590272</v>
          </cell>
          <cell r="N88">
            <v>10658818048</v>
          </cell>
          <cell r="O88">
            <v>10210035712</v>
          </cell>
          <cell r="P88">
            <v>9758283776</v>
          </cell>
          <cell r="Q88">
            <v>9351465984</v>
          </cell>
        </row>
        <row r="89">
          <cell r="D89" t="str">
            <v>tev</v>
          </cell>
          <cell r="H89">
            <v>-7.2877872735261917E-3</v>
          </cell>
          <cell r="I89">
            <v>3.7672696635127068E-3</v>
          </cell>
          <cell r="J89">
            <v>3.135300800204277E-2</v>
          </cell>
          <cell r="K89">
            <v>-7.9445010051131248E-3</v>
          </cell>
          <cell r="L89">
            <v>-1.1710286140441895E-2</v>
          </cell>
          <cell r="M89">
            <v>1.6244485974311829E-2</v>
          </cell>
        </row>
      </sheetData>
      <sheetData sheetId="8" refreshError="1">
        <row r="2">
          <cell r="D2">
            <v>1993</v>
          </cell>
          <cell r="E2">
            <v>1994</v>
          </cell>
          <cell r="F2">
            <v>1995</v>
          </cell>
          <cell r="G2">
            <v>1996</v>
          </cell>
          <cell r="H2">
            <v>1997</v>
          </cell>
          <cell r="I2">
            <v>1998</v>
          </cell>
          <cell r="J2">
            <v>1999</v>
          </cell>
          <cell r="K2">
            <v>2000</v>
          </cell>
          <cell r="L2">
            <v>2001</v>
          </cell>
        </row>
        <row r="3">
          <cell r="C3" t="str">
            <v>Z-Score</v>
          </cell>
          <cell r="D3">
            <v>2</v>
          </cell>
          <cell r="E3">
            <v>3</v>
          </cell>
          <cell r="F3">
            <v>4</v>
          </cell>
          <cell r="G3">
            <v>5</v>
          </cell>
          <cell r="H3">
            <v>6</v>
          </cell>
          <cell r="I3">
            <v>7</v>
          </cell>
          <cell r="J3">
            <v>8</v>
          </cell>
          <cell r="K3">
            <v>9</v>
          </cell>
          <cell r="L3">
            <v>10</v>
          </cell>
        </row>
        <row r="4">
          <cell r="AC4" t="str">
            <v>ARS</v>
          </cell>
        </row>
        <row r="5">
          <cell r="AC5" t="str">
            <v>BRL</v>
          </cell>
        </row>
        <row r="6">
          <cell r="AC6" t="str">
            <v>CLP</v>
          </cell>
        </row>
        <row r="7">
          <cell r="AC7" t="str">
            <v>CNY</v>
          </cell>
          <cell r="AD7" t="str">
            <v>Rmb</v>
          </cell>
        </row>
        <row r="8">
          <cell r="AC8" t="str">
            <v>COP</v>
          </cell>
          <cell r="AD8" t="str">
            <v>Ps</v>
          </cell>
        </row>
        <row r="9">
          <cell r="AC9" t="str">
            <v>CZK</v>
          </cell>
        </row>
        <row r="10">
          <cell r="AC10" t="str">
            <v>GRD</v>
          </cell>
        </row>
        <row r="11">
          <cell r="AC11" t="str">
            <v>HKD</v>
          </cell>
          <cell r="AD11" t="str">
            <v>HK$</v>
          </cell>
          <cell r="AE11" t="str">
            <v>cents</v>
          </cell>
        </row>
        <row r="12">
          <cell r="AC12" t="str">
            <v>HUF</v>
          </cell>
        </row>
        <row r="13">
          <cell r="AC13" t="str">
            <v>INR</v>
          </cell>
          <cell r="AD13" t="str">
            <v>Rs</v>
          </cell>
          <cell r="AE13" t="str">
            <v>paise</v>
          </cell>
        </row>
        <row r="14">
          <cell r="AC14" t="str">
            <v>IDR</v>
          </cell>
          <cell r="AD14" t="str">
            <v>Rp</v>
          </cell>
          <cell r="AE14" t="str">
            <v>sen</v>
          </cell>
        </row>
        <row r="15">
          <cell r="AC15" t="str">
            <v>KRW</v>
          </cell>
          <cell r="AD15" t="str">
            <v>Won</v>
          </cell>
        </row>
        <row r="16">
          <cell r="AC16" t="str">
            <v>MYR</v>
          </cell>
          <cell r="AD16" t="str">
            <v>RM</v>
          </cell>
          <cell r="AE16" t="str">
            <v>sen</v>
          </cell>
        </row>
        <row r="17">
          <cell r="AC17" t="str">
            <v>MXN</v>
          </cell>
          <cell r="AD17" t="str">
            <v>Ps</v>
          </cell>
        </row>
        <row r="18">
          <cell r="AC18" t="str">
            <v>PKR</v>
          </cell>
          <cell r="AD18" t="str">
            <v>PRs</v>
          </cell>
        </row>
        <row r="19">
          <cell r="AC19" t="str">
            <v>PEN</v>
          </cell>
        </row>
        <row r="20">
          <cell r="AC20" t="str">
            <v>PHP</v>
          </cell>
          <cell r="AD20" t="str">
            <v>Ps</v>
          </cell>
          <cell r="AE20" t="str">
            <v>centavos</v>
          </cell>
        </row>
        <row r="21">
          <cell r="AC21" t="str">
            <v>PLN</v>
          </cell>
        </row>
        <row r="22">
          <cell r="AC22" t="str">
            <v>RUB</v>
          </cell>
        </row>
        <row r="23">
          <cell r="AC23" t="str">
            <v>SGD</v>
          </cell>
          <cell r="AD23" t="str">
            <v>S$</v>
          </cell>
          <cell r="AE23" t="str">
            <v>cents</v>
          </cell>
        </row>
        <row r="24">
          <cell r="AC24" t="str">
            <v>TWD</v>
          </cell>
          <cell r="AD24" t="str">
            <v>NT$</v>
          </cell>
          <cell r="AE24" t="str">
            <v>cents</v>
          </cell>
        </row>
        <row r="25">
          <cell r="AC25" t="str">
            <v>THB</v>
          </cell>
          <cell r="AD25" t="str">
            <v>Bt</v>
          </cell>
        </row>
        <row r="26">
          <cell r="AC26" t="str">
            <v>TRL</v>
          </cell>
        </row>
        <row r="27">
          <cell r="AC27" t="str">
            <v>VEB</v>
          </cell>
        </row>
        <row r="28">
          <cell r="AC28" t="str">
            <v>USD</v>
          </cell>
          <cell r="AD28" t="str">
            <v>US$</v>
          </cell>
          <cell r="AE28" t="str">
            <v>cents</v>
          </cell>
        </row>
        <row r="29">
          <cell r="AC29" t="str">
            <v>GBP</v>
          </cell>
          <cell r="AD29" t="str">
            <v>£</v>
          </cell>
        </row>
        <row r="30">
          <cell r="AC30" t="str">
            <v>DEM</v>
          </cell>
          <cell r="AD30" t="str">
            <v>DM</v>
          </cell>
        </row>
      </sheetData>
      <sheetData sheetId="9" refreshError="1">
        <row r="1">
          <cell r="B1" t="str">
            <v>CLSA Stress Test Calculations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T1" t="str">
            <v>CLSA Stress Test</v>
          </cell>
        </row>
        <row r="2">
          <cell r="B2" t="str">
            <v>Year to 31 December</v>
          </cell>
          <cell r="D2">
            <v>1995</v>
          </cell>
          <cell r="E2">
            <v>1996</v>
          </cell>
          <cell r="F2">
            <v>1997</v>
          </cell>
          <cell r="G2">
            <v>1998</v>
          </cell>
          <cell r="H2">
            <v>1999</v>
          </cell>
          <cell r="I2">
            <v>2000</v>
          </cell>
          <cell r="J2">
            <v>2001</v>
          </cell>
          <cell r="L2">
            <v>1995</v>
          </cell>
          <cell r="M2">
            <v>1996</v>
          </cell>
          <cell r="N2">
            <v>1997</v>
          </cell>
          <cell r="O2">
            <v>1998</v>
          </cell>
          <cell r="P2">
            <v>1999</v>
          </cell>
          <cell r="Q2">
            <v>2000</v>
          </cell>
          <cell r="R2">
            <v>2001</v>
          </cell>
          <cell r="S2" t="str">
            <v>Changing limits here will change limits in all w.sheets</v>
          </cell>
          <cell r="W2" t="str">
            <v>+1</v>
          </cell>
          <cell r="Y2" t="str">
            <v>-1</v>
          </cell>
        </row>
        <row r="3">
          <cell r="C3" t="str">
            <v>Debt &amp; liquidity ratios</v>
          </cell>
        </row>
        <row r="4">
          <cell r="C4" t="str">
            <v>Net debt/equity (%)</v>
          </cell>
          <cell r="E4">
            <v>98.871789411908722</v>
          </cell>
          <cell r="F4">
            <v>173.76584900812358</v>
          </cell>
          <cell r="G4">
            <v>196.12544745935068</v>
          </cell>
          <cell r="H4">
            <v>203.96186241105747</v>
          </cell>
          <cell r="I4">
            <v>152.95218758531004</v>
          </cell>
          <cell r="J4">
            <v>137.8014357473528</v>
          </cell>
          <cell r="P4">
            <v>-1</v>
          </cell>
          <cell r="Q4">
            <v>-1</v>
          </cell>
        </row>
        <row r="5">
          <cell r="C5" t="str">
            <v>Foreign debt/foreign rev (x)</v>
          </cell>
          <cell r="E5">
            <v>0</v>
          </cell>
          <cell r="F5">
            <v>6.026876875555347</v>
          </cell>
          <cell r="G5">
            <v>4.9242527543894123</v>
          </cell>
          <cell r="H5">
            <v>4.97054757314047</v>
          </cell>
          <cell r="I5">
            <v>5.0370860038152081</v>
          </cell>
          <cell r="J5">
            <v>4.9809649699327272</v>
          </cell>
          <cell r="P5">
            <v>-1</v>
          </cell>
          <cell r="Q5">
            <v>-1</v>
          </cell>
        </row>
        <row r="6">
          <cell r="C6" t="str">
            <v>Net debt/free cash flow(x)</v>
          </cell>
          <cell r="E6">
            <v>7.1224250269052183</v>
          </cell>
          <cell r="F6">
            <v>6.5661924183496003</v>
          </cell>
          <cell r="G6">
            <v>11.742228665488625</v>
          </cell>
          <cell r="H6">
            <v>6.3227652345446659</v>
          </cell>
          <cell r="I6">
            <v>3.0787849717739877</v>
          </cell>
          <cell r="J6">
            <v>7.3458352360106787</v>
          </cell>
          <cell r="P6">
            <v>-1</v>
          </cell>
          <cell r="Q6">
            <v>0</v>
          </cell>
        </row>
        <row r="7">
          <cell r="C7" t="str">
            <v>Cash/current liab(x)</v>
          </cell>
          <cell r="E7">
            <v>0.23529906038519835</v>
          </cell>
          <cell r="F7">
            <v>0.24298118913808051</v>
          </cell>
          <cell r="G7">
            <v>0.13066949537449599</v>
          </cell>
          <cell r="H7">
            <v>6.5283644983279501E-2</v>
          </cell>
          <cell r="I7">
            <v>0.13026167610382788</v>
          </cell>
          <cell r="J7">
            <v>0.10063479627285848</v>
          </cell>
          <cell r="P7">
            <v>-1</v>
          </cell>
          <cell r="Q7">
            <v>-1</v>
          </cell>
        </row>
        <row r="8">
          <cell r="C8" t="str">
            <v>(FCF+cash)/ (curr matur+int payment)(x)</v>
          </cell>
          <cell r="E8">
            <v>0.97329040889482032</v>
          </cell>
          <cell r="F8">
            <v>1.1954656950974136</v>
          </cell>
          <cell r="G8">
            <v>0.55007249675947478</v>
          </cell>
          <cell r="H8">
            <v>1.0037828887480185</v>
          </cell>
          <cell r="I8">
            <v>1.4012003549671919</v>
          </cell>
          <cell r="J8">
            <v>0.76059466133688569</v>
          </cell>
          <cell r="P8">
            <v>0</v>
          </cell>
          <cell r="Q8">
            <v>0</v>
          </cell>
        </row>
        <row r="9">
          <cell r="C9" t="str">
            <v>Activity ratios</v>
          </cell>
        </row>
        <row r="10">
          <cell r="C10" t="str">
            <v>Receivables</v>
          </cell>
        </row>
        <row r="11">
          <cell r="C11" t="str">
            <v>No. of days</v>
          </cell>
          <cell r="E11">
            <v>229.96260907115342</v>
          </cell>
          <cell r="F11">
            <v>223.98819918385405</v>
          </cell>
          <cell r="G11">
            <v>177.93718834929942</v>
          </cell>
          <cell r="H11">
            <v>168.0653228143446</v>
          </cell>
          <cell r="I11">
            <v>127.074615041752</v>
          </cell>
          <cell r="J11">
            <v>106.48837552109048</v>
          </cell>
          <cell r="P11">
            <v>-1</v>
          </cell>
          <cell r="Q11">
            <v>-1</v>
          </cell>
        </row>
        <row r="12">
          <cell r="C12" t="str">
            <v>No. of days change (x)</v>
          </cell>
          <cell r="E12">
            <v>1.2611764793409799</v>
          </cell>
          <cell r="F12">
            <v>0.97402008130177886</v>
          </cell>
          <cell r="G12">
            <v>0.79440429896596909</v>
          </cell>
          <cell r="H12">
            <v>0.9445205039680864</v>
          </cell>
          <cell r="I12">
            <v>0.75610252557647784</v>
          </cell>
          <cell r="J12">
            <v>0.83799880476602151</v>
          </cell>
          <cell r="P12">
            <v>1</v>
          </cell>
          <cell r="Q12">
            <v>1</v>
          </cell>
        </row>
        <row r="13">
          <cell r="C13" t="str">
            <v>Inventories (FG+WIP)</v>
          </cell>
        </row>
        <row r="14">
          <cell r="C14" t="str">
            <v>No. of days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P14">
            <v>1</v>
          </cell>
          <cell r="Q14">
            <v>1</v>
          </cell>
        </row>
        <row r="15">
          <cell r="C15" t="str">
            <v>No. of days change (x)</v>
          </cell>
          <cell r="E15" t="str">
            <v>na</v>
          </cell>
          <cell r="F15" t="str">
            <v>na</v>
          </cell>
          <cell r="G15" t="str">
            <v>na</v>
          </cell>
          <cell r="H15" t="str">
            <v>na</v>
          </cell>
          <cell r="I15" t="str">
            <v>na</v>
          </cell>
          <cell r="J15" t="str">
            <v>na</v>
          </cell>
          <cell r="P15">
            <v>-1</v>
          </cell>
          <cell r="Q15">
            <v>-1</v>
          </cell>
        </row>
        <row r="16">
          <cell r="C16" t="str">
            <v>Operational ratios</v>
          </cell>
        </row>
        <row r="17">
          <cell r="C17" t="str">
            <v>Operating profit margin (%)</v>
          </cell>
          <cell r="E17">
            <v>39.883093470611634</v>
          </cell>
          <cell r="F17">
            <v>42.290673309470719</v>
          </cell>
          <cell r="G17">
            <v>38.622764985005624</v>
          </cell>
          <cell r="H17">
            <v>29.663517892579833</v>
          </cell>
          <cell r="I17">
            <v>34.70852044406783</v>
          </cell>
          <cell r="J17">
            <v>42.739599698501046</v>
          </cell>
          <cell r="P17">
            <v>1</v>
          </cell>
          <cell r="Q17">
            <v>1</v>
          </cell>
        </row>
        <row r="18">
          <cell r="C18" t="str">
            <v>Operating leverage (FC/sales) (%)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P18">
            <v>1</v>
          </cell>
          <cell r="Q18">
            <v>1</v>
          </cell>
        </row>
        <row r="19">
          <cell r="C19" t="str">
            <v>Foreign sales to total sales (%)</v>
          </cell>
          <cell r="E19">
            <v>52.583516366392978</v>
          </cell>
          <cell r="F19">
            <v>44.745912514923717</v>
          </cell>
          <cell r="G19">
            <v>41.560840115178877</v>
          </cell>
          <cell r="H19">
            <v>45.383441645537772</v>
          </cell>
          <cell r="I19">
            <v>34.203906099827222</v>
          </cell>
          <cell r="J19">
            <v>28.558284367574483</v>
          </cell>
          <cell r="P19">
            <v>0</v>
          </cell>
          <cell r="Q19">
            <v>0</v>
          </cell>
        </row>
        <row r="20">
          <cell r="C20" t="str">
            <v>Foreign costs to domestic sales (%)</v>
          </cell>
          <cell r="E20">
            <v>-30.220611438535617</v>
          </cell>
          <cell r="F20">
            <v>-31.104786263787059</v>
          </cell>
          <cell r="G20">
            <v>-35.439612062294238</v>
          </cell>
          <cell r="H20">
            <v>-45.626588529757925</v>
          </cell>
          <cell r="I20">
            <v>-35.240553176412995</v>
          </cell>
          <cell r="J20">
            <v>-30.282208207844384</v>
          </cell>
          <cell r="P20">
            <v>1</v>
          </cell>
          <cell r="Q20">
            <v>1</v>
          </cell>
        </row>
        <row r="21">
          <cell r="C21" t="str">
            <v>Capital efficiency ratios</v>
          </cell>
        </row>
        <row r="22">
          <cell r="C22" t="str">
            <v>ROAE (%)</v>
          </cell>
          <cell r="E22">
            <v>13.429887193828796</v>
          </cell>
          <cell r="F22">
            <v>14.257461542502055</v>
          </cell>
          <cell r="G22">
            <v>1.9655014718380655</v>
          </cell>
          <cell r="H22">
            <v>4.9441532391019809</v>
          </cell>
          <cell r="I22">
            <v>11.335338269813404</v>
          </cell>
          <cell r="J22">
            <v>16.820089867633072</v>
          </cell>
          <cell r="P22">
            <v>1</v>
          </cell>
          <cell r="Q22">
            <v>1</v>
          </cell>
        </row>
        <row r="23">
          <cell r="C23" t="str">
            <v>ROCE (%)</v>
          </cell>
          <cell r="E23">
            <v>12.603255661105209</v>
          </cell>
          <cell r="F23">
            <v>11.397168298729683</v>
          </cell>
          <cell r="G23">
            <v>5.5488435956837954</v>
          </cell>
          <cell r="H23">
            <v>6.4808398007306476</v>
          </cell>
          <cell r="I23">
            <v>9.5291794224117226</v>
          </cell>
          <cell r="J23">
            <v>13.21756278858085</v>
          </cell>
          <cell r="P23">
            <v>1</v>
          </cell>
          <cell r="Q23">
            <v>1</v>
          </cell>
        </row>
        <row r="24">
          <cell r="C24" t="str">
            <v>EVATM/cap employed (%)</v>
          </cell>
          <cell r="E24">
            <v>9.3577758716287285</v>
          </cell>
          <cell r="F24">
            <v>9.1233919963511898</v>
          </cell>
          <cell r="G24">
            <v>4.6448005715776608</v>
          </cell>
          <cell r="H24">
            <v>5.6826718510413574</v>
          </cell>
          <cell r="I24">
            <v>7.640049262301936</v>
          </cell>
          <cell r="J24">
            <v>10.053901338549402</v>
          </cell>
          <cell r="P24">
            <v>1</v>
          </cell>
          <cell r="Q24">
            <v>1</v>
          </cell>
        </row>
      </sheetData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rent Price Information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rent Price Information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Bank"/>
      <sheetName val="best (5)"/>
      <sheetName val="best (4)"/>
      <sheetName val="best (2)"/>
      <sheetName val="best (1)"/>
      <sheetName val="ICI"/>
      <sheetName val="PK-ICI"/>
      <sheetName val="Separation"/>
      <sheetName val="HY"/>
      <sheetName val="DepSch"/>
      <sheetName val="CF"/>
      <sheetName val="Ratios"/>
      <sheetName val="BS"/>
      <sheetName val="Loan"/>
      <sheetName val="SBU"/>
      <sheetName val="Total"/>
      <sheetName val="Chart2"/>
      <sheetName val="Dmd Chart"/>
      <sheetName val="PTA Demand"/>
      <sheetName val="BE"/>
      <sheetName val="Chart1"/>
      <sheetName val="Sheet1"/>
      <sheetName val="Sheet2"/>
      <sheetName val="CFVal"/>
      <sheetName val="PTAmod"/>
      <sheetName val="PTA"/>
      <sheetName val="Sodamod"/>
      <sheetName val="Soda Ash"/>
      <sheetName val="PSFmod"/>
      <sheetName val="PSF"/>
      <sheetName val="Others"/>
      <sheetName val="Paintmod"/>
      <sheetName val="Pai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46">
          <cell r="B146" t="str">
            <v>pni</v>
          </cell>
          <cell r="C146" t="str">
            <v>Net interest income</v>
          </cell>
          <cell r="D146">
            <v>1000000</v>
          </cell>
          <cell r="E146">
            <v>0</v>
          </cell>
          <cell r="F146">
            <v>-46.136000000000017</v>
          </cell>
          <cell r="G146">
            <v>-58.878</v>
          </cell>
          <cell r="H146">
            <v>-55.881000000000007</v>
          </cell>
          <cell r="I146">
            <v>-69.76700000000001</v>
          </cell>
          <cell r="J146">
            <v>-51.769000000000005</v>
          </cell>
          <cell r="K146">
            <v>-105.39699999999999</v>
          </cell>
          <cell r="L146">
            <v>-405.51300000000003</v>
          </cell>
          <cell r="M146">
            <v>-1475.6959999999999</v>
          </cell>
          <cell r="N146">
            <v>-2966.6489999999999</v>
          </cell>
          <cell r="O146">
            <v>-3169.5455377978183</v>
          </cell>
          <cell r="P146">
            <v>-2954.3473707651469</v>
          </cell>
          <cell r="Q146">
            <v>-2733.6718848392852</v>
          </cell>
          <cell r="R146">
            <v>-2402.7205963347083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1</v>
          </cell>
        </row>
        <row r="147">
          <cell r="B147" t="str">
            <v>pdl</v>
          </cell>
          <cell r="C147" t="str">
            <v>Dealing profits</v>
          </cell>
          <cell r="D147">
            <v>1000000</v>
          </cell>
          <cell r="Z147">
            <v>1</v>
          </cell>
        </row>
        <row r="149">
          <cell r="B149" t="str">
            <v>pri</v>
          </cell>
          <cell r="C149" t="str">
            <v>Rental income</v>
          </cell>
          <cell r="D149">
            <v>1000000</v>
          </cell>
          <cell r="Z149">
            <v>1</v>
          </cell>
        </row>
        <row r="150">
          <cell r="B150" t="str">
            <v>pfc</v>
          </cell>
          <cell r="C150" t="str">
            <v>Fee/Commission income</v>
          </cell>
          <cell r="D150">
            <v>1000000</v>
          </cell>
          <cell r="Z150">
            <v>1</v>
          </cell>
        </row>
        <row r="151">
          <cell r="B151" t="str">
            <v>poo</v>
          </cell>
          <cell r="C151" t="str">
            <v>Other income</v>
          </cell>
          <cell r="D151">
            <v>1000000</v>
          </cell>
          <cell r="Z151">
            <v>1</v>
          </cell>
        </row>
        <row r="152">
          <cell r="B152" t="str">
            <v>pti</v>
          </cell>
          <cell r="C152" t="str">
            <v>Total non-interest income</v>
          </cell>
          <cell r="D152">
            <v>1000000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1</v>
          </cell>
        </row>
        <row r="153">
          <cell r="B153" t="str">
            <v>ppi</v>
          </cell>
          <cell r="C153" t="str">
            <v>Operating revenue</v>
          </cell>
          <cell r="D153">
            <v>1000000</v>
          </cell>
          <cell r="E153">
            <v>0</v>
          </cell>
          <cell r="F153">
            <v>-46.136000000000017</v>
          </cell>
          <cell r="G153">
            <v>-58.878</v>
          </cell>
          <cell r="H153">
            <v>-55.881000000000007</v>
          </cell>
          <cell r="I153">
            <v>-69.76700000000001</v>
          </cell>
          <cell r="J153">
            <v>-51.769000000000005</v>
          </cell>
          <cell r="K153">
            <v>-105.39699999999999</v>
          </cell>
          <cell r="L153">
            <v>-405.51300000000003</v>
          </cell>
          <cell r="M153">
            <v>-1475.6959999999999</v>
          </cell>
          <cell r="N153">
            <v>-2966.6489999999999</v>
          </cell>
          <cell r="O153">
            <v>-3169.5455377978183</v>
          </cell>
          <cell r="P153">
            <v>-2954.3473707651469</v>
          </cell>
          <cell r="Q153">
            <v>-2733.6718848392852</v>
          </cell>
          <cell r="R153">
            <v>-2402.7205963347083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1</v>
          </cell>
        </row>
        <row r="154">
          <cell r="B154" t="str">
            <v>prx</v>
          </cell>
          <cell r="C154" t="str">
            <v>Re-insurance expenses</v>
          </cell>
          <cell r="D154">
            <v>1000000</v>
          </cell>
          <cell r="Z154">
            <v>1</v>
          </cell>
        </row>
        <row r="155">
          <cell r="B155" t="str">
            <v>pcx</v>
          </cell>
          <cell r="C155" t="str">
            <v>Commissions paid</v>
          </cell>
          <cell r="D155">
            <v>1000000</v>
          </cell>
          <cell r="Z155">
            <v>1</v>
          </cell>
        </row>
        <row r="156">
          <cell r="B156" t="str">
            <v>psr</v>
          </cell>
          <cell r="C156" t="str">
            <v>Staff and related expenses</v>
          </cell>
          <cell r="D156">
            <v>1000000</v>
          </cell>
          <cell r="Z156">
            <v>1</v>
          </cell>
        </row>
        <row r="157">
          <cell r="B157" t="str">
            <v>prl</v>
          </cell>
          <cell r="C157" t="str">
            <v>Property related expenses</v>
          </cell>
          <cell r="D157">
            <v>1000000</v>
          </cell>
          <cell r="Z157">
            <v>1</v>
          </cell>
        </row>
        <row r="158">
          <cell r="B158" t="str">
            <v>pox</v>
          </cell>
          <cell r="C158" t="str">
            <v>Other expenses</v>
          </cell>
          <cell r="D158">
            <v>1000000</v>
          </cell>
          <cell r="Z158">
            <v>1</v>
          </cell>
        </row>
        <row r="159">
          <cell r="B159" t="str">
            <v>pxp</v>
          </cell>
          <cell r="C159" t="str">
            <v>Total operating expenses</v>
          </cell>
          <cell r="D159">
            <v>1000000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1</v>
          </cell>
        </row>
        <row r="160">
          <cell r="B160" t="str">
            <v>ppb</v>
          </cell>
          <cell r="C160" t="str">
            <v>Operating profit before provisions</v>
          </cell>
          <cell r="D160">
            <v>1000000</v>
          </cell>
          <cell r="E160">
            <v>0</v>
          </cell>
          <cell r="F160">
            <v>-46.136000000000017</v>
          </cell>
          <cell r="G160">
            <v>-58.878</v>
          </cell>
          <cell r="H160">
            <v>-55.881000000000007</v>
          </cell>
          <cell r="I160">
            <v>-69.76700000000001</v>
          </cell>
          <cell r="J160">
            <v>-51.769000000000005</v>
          </cell>
          <cell r="K160">
            <v>-105.39699999999999</v>
          </cell>
          <cell r="L160">
            <v>-405.51300000000003</v>
          </cell>
          <cell r="M160">
            <v>-1475.6959999999999</v>
          </cell>
          <cell r="N160">
            <v>-2966.6489999999999</v>
          </cell>
          <cell r="O160">
            <v>-3169.5455377978183</v>
          </cell>
          <cell r="P160">
            <v>-2954.3473707651469</v>
          </cell>
          <cell r="Q160">
            <v>-2733.6718848392852</v>
          </cell>
          <cell r="R160">
            <v>-2402.7205963347083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1</v>
          </cell>
        </row>
        <row r="161">
          <cell r="B161" t="str">
            <v>psv</v>
          </cell>
          <cell r="C161" t="str">
            <v>Specific provisions (was psp)</v>
          </cell>
          <cell r="D161">
            <v>1000000</v>
          </cell>
          <cell r="Z161">
            <v>1</v>
          </cell>
        </row>
        <row r="162">
          <cell r="B162" t="str">
            <v>pgv</v>
          </cell>
          <cell r="C162" t="str">
            <v>General provisions (was pgp)</v>
          </cell>
          <cell r="D162">
            <v>1000000</v>
          </cell>
          <cell r="Z162">
            <v>1</v>
          </cell>
        </row>
        <row r="163">
          <cell r="B163" t="str">
            <v>pov</v>
          </cell>
          <cell r="C163" t="str">
            <v>Other provisions</v>
          </cell>
          <cell r="D163">
            <v>1000000</v>
          </cell>
          <cell r="Z163">
            <v>1</v>
          </cell>
        </row>
        <row r="164">
          <cell r="B164" t="str">
            <v>ppl</v>
          </cell>
          <cell r="C164" t="str">
            <v>Total provisions for loan losses</v>
          </cell>
          <cell r="D164">
            <v>1000000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1</v>
          </cell>
        </row>
        <row r="165">
          <cell r="B165" t="str">
            <v>pof</v>
          </cell>
          <cell r="C165" t="str">
            <v>Operating profit (financial)</v>
          </cell>
          <cell r="D165">
            <v>1000000</v>
          </cell>
          <cell r="E165">
            <v>0</v>
          </cell>
          <cell r="F165">
            <v>-46.136000000000017</v>
          </cell>
          <cell r="G165">
            <v>-58.878</v>
          </cell>
          <cell r="H165">
            <v>-55.881000000000007</v>
          </cell>
          <cell r="I165">
            <v>-69.76700000000001</v>
          </cell>
          <cell r="J165">
            <v>-51.769000000000005</v>
          </cell>
          <cell r="K165">
            <v>-105.39699999999999</v>
          </cell>
          <cell r="L165">
            <v>-405.51300000000003</v>
          </cell>
          <cell r="M165">
            <v>-1475.6959999999999</v>
          </cell>
          <cell r="N165">
            <v>-2966.6489999999999</v>
          </cell>
          <cell r="O165">
            <v>-3169.5455377978183</v>
          </cell>
          <cell r="P165">
            <v>-2954.3473707651469</v>
          </cell>
          <cell r="Q165">
            <v>-2733.6718848392852</v>
          </cell>
          <cell r="R165">
            <v>-2402.7205963347083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1</v>
          </cell>
        </row>
        <row r="186">
          <cell r="B186" t="str">
            <v>bnl</v>
          </cell>
          <cell r="C186" t="str">
            <v>Net loans and advances</v>
          </cell>
          <cell r="D186">
            <v>1000000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1</v>
          </cell>
        </row>
        <row r="187">
          <cell r="B187" t="str">
            <v>anl</v>
          </cell>
          <cell r="C187" t="str">
            <v>Average net loans</v>
          </cell>
          <cell r="D187">
            <v>1000000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</row>
        <row r="196">
          <cell r="B196" t="str">
            <v>bcr</v>
          </cell>
          <cell r="C196" t="str">
            <v>Central bank reserves</v>
          </cell>
          <cell r="D196">
            <v>1000000</v>
          </cell>
          <cell r="Z196">
            <v>1</v>
          </cell>
        </row>
        <row r="197">
          <cell r="B197" t="str">
            <v>bct</v>
          </cell>
          <cell r="C197" t="str">
            <v>Cash and central bank reserves</v>
          </cell>
          <cell r="D197">
            <v>1000000</v>
          </cell>
          <cell r="E197">
            <v>0</v>
          </cell>
          <cell r="F197">
            <v>133.00299999999999</v>
          </cell>
          <cell r="G197">
            <v>39.865000000000002</v>
          </cell>
          <cell r="H197">
            <v>128.61500000000001</v>
          </cell>
          <cell r="I197">
            <v>45.168000000000006</v>
          </cell>
          <cell r="J197">
            <v>1355.3899999999999</v>
          </cell>
          <cell r="K197">
            <v>3505.55</v>
          </cell>
          <cell r="L197">
            <v>714.52300000000002</v>
          </cell>
          <cell r="M197">
            <v>218.72399999999999</v>
          </cell>
          <cell r="N197">
            <v>730.64</v>
          </cell>
          <cell r="O197">
            <v>1674.4823346868211</v>
          </cell>
          <cell r="P197">
            <v>1093.0811333171446</v>
          </cell>
          <cell r="Q197">
            <v>918.54842237960702</v>
          </cell>
          <cell r="R197">
            <v>545.23009624669203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1</v>
          </cell>
        </row>
        <row r="198">
          <cell r="B198" t="str">
            <v>bcw</v>
          </cell>
          <cell r="C198" t="str">
            <v>Placement with other banks</v>
          </cell>
          <cell r="D198">
            <v>1000000</v>
          </cell>
          <cell r="Z198">
            <v>1</v>
          </cell>
        </row>
        <row r="199">
          <cell r="B199" t="str">
            <v>boi</v>
          </cell>
          <cell r="C199" t="str">
            <v>Other interest earning assets</v>
          </cell>
          <cell r="D199">
            <v>1000000</v>
          </cell>
          <cell r="Z199">
            <v>1</v>
          </cell>
        </row>
        <row r="200">
          <cell r="B200" t="str">
            <v>bri</v>
          </cell>
          <cell r="C200" t="str">
            <v>Cash, reserves &amp; int earning assets</v>
          </cell>
          <cell r="D200">
            <v>1000000</v>
          </cell>
          <cell r="E200">
            <v>0</v>
          </cell>
          <cell r="F200">
            <v>133.00299999999999</v>
          </cell>
          <cell r="G200">
            <v>39.865000000000002</v>
          </cell>
          <cell r="H200">
            <v>128.61500000000001</v>
          </cell>
          <cell r="I200">
            <v>45.168000000000006</v>
          </cell>
          <cell r="J200">
            <v>1355.3899999999999</v>
          </cell>
          <cell r="K200">
            <v>3505.55</v>
          </cell>
          <cell r="L200">
            <v>714.52300000000002</v>
          </cell>
          <cell r="M200">
            <v>218.72399999999999</v>
          </cell>
          <cell r="N200">
            <v>730.64</v>
          </cell>
          <cell r="O200">
            <v>1674.4823346868211</v>
          </cell>
          <cell r="P200">
            <v>1093.0811333171446</v>
          </cell>
          <cell r="Q200">
            <v>918.54842237960702</v>
          </cell>
          <cell r="R200">
            <v>545.23009624669203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</row>
        <row r="201">
          <cell r="B201" t="str">
            <v>bie</v>
          </cell>
          <cell r="C201" t="str">
            <v>Total interest earning assets</v>
          </cell>
          <cell r="D201">
            <v>1000000</v>
          </cell>
          <cell r="E201">
            <v>0</v>
          </cell>
          <cell r="F201">
            <v>133.00299999999999</v>
          </cell>
          <cell r="G201">
            <v>39.865000000000002</v>
          </cell>
          <cell r="H201">
            <v>128.61500000000001</v>
          </cell>
          <cell r="I201">
            <v>45.168000000000006</v>
          </cell>
          <cell r="J201">
            <v>1355.3899999999999</v>
          </cell>
          <cell r="K201">
            <v>3505.55</v>
          </cell>
          <cell r="L201">
            <v>714.52300000000002</v>
          </cell>
          <cell r="M201">
            <v>218.72399999999999</v>
          </cell>
          <cell r="N201">
            <v>730.64</v>
          </cell>
          <cell r="O201">
            <v>1674.4823346868211</v>
          </cell>
          <cell r="P201">
            <v>1093.0811333171446</v>
          </cell>
          <cell r="Q201">
            <v>918.54842237960702</v>
          </cell>
          <cell r="R201">
            <v>545.23009624669203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</row>
        <row r="202">
          <cell r="B202" t="str">
            <v>aie</v>
          </cell>
          <cell r="C202" t="str">
            <v>Average interest earning assets</v>
          </cell>
          <cell r="D202">
            <v>1000000</v>
          </cell>
          <cell r="F202">
            <v>66.501499999999993</v>
          </cell>
          <cell r="G202">
            <v>86.433999999999997</v>
          </cell>
          <cell r="H202">
            <v>84.240000000000009</v>
          </cell>
          <cell r="I202">
            <v>86.891500000000008</v>
          </cell>
          <cell r="J202">
            <v>700.279</v>
          </cell>
          <cell r="K202">
            <v>2430.4700000000003</v>
          </cell>
          <cell r="L202">
            <v>2110.0365000000002</v>
          </cell>
          <cell r="M202">
            <v>466.62350000000004</v>
          </cell>
          <cell r="N202">
            <v>474.68200000000002</v>
          </cell>
          <cell r="O202">
            <v>1202.5611673434105</v>
          </cell>
          <cell r="P202">
            <v>1383.7817340019828</v>
          </cell>
          <cell r="Q202">
            <v>1005.8147778483758</v>
          </cell>
          <cell r="R202">
            <v>731.88925931314952</v>
          </cell>
          <cell r="S202">
            <v>272.61504812334601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</row>
        <row r="216">
          <cell r="B216" t="str">
            <v>bni</v>
          </cell>
          <cell r="C216" t="str">
            <v>Total non-interest earning assets</v>
          </cell>
          <cell r="D216">
            <v>1000000</v>
          </cell>
          <cell r="E216">
            <v>0</v>
          </cell>
          <cell r="F216">
            <v>1190.49</v>
          </cell>
          <cell r="G216">
            <v>1220.1959999999999</v>
          </cell>
          <cell r="H216">
            <v>1510.7729999999999</v>
          </cell>
          <cell r="I216">
            <v>2186.788</v>
          </cell>
          <cell r="J216">
            <v>3518.337</v>
          </cell>
          <cell r="K216">
            <v>15982.097</v>
          </cell>
          <cell r="L216">
            <v>23688.029000000002</v>
          </cell>
          <cell r="M216">
            <v>28932.222000000002</v>
          </cell>
          <cell r="N216">
            <v>27691.391</v>
          </cell>
          <cell r="O216">
            <v>26687.361282249414</v>
          </cell>
          <cell r="P216">
            <v>25929.357111230707</v>
          </cell>
          <cell r="Q216">
            <v>24700.21269595507</v>
          </cell>
          <cell r="R216">
            <v>23528.00444216789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</row>
        <row r="229">
          <cell r="B229" t="str">
            <v>bdb</v>
          </cell>
          <cell r="C229" t="str">
            <v>Deposits from banks</v>
          </cell>
          <cell r="D229">
            <v>1000000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</row>
        <row r="230">
          <cell r="B230" t="str">
            <v>bdc</v>
          </cell>
          <cell r="C230" t="str">
            <v>Current deposits</v>
          </cell>
          <cell r="D230">
            <v>1000000</v>
          </cell>
          <cell r="Z230">
            <v>1</v>
          </cell>
        </row>
        <row r="231">
          <cell r="B231" t="str">
            <v>bds</v>
          </cell>
          <cell r="C231" t="str">
            <v>Savings deposits</v>
          </cell>
          <cell r="D231">
            <v>1000000</v>
          </cell>
          <cell r="Z231">
            <v>1</v>
          </cell>
        </row>
        <row r="232">
          <cell r="B232" t="str">
            <v>bdt</v>
          </cell>
          <cell r="C232" t="str">
            <v>Time deposits</v>
          </cell>
          <cell r="D232">
            <v>1000000</v>
          </cell>
          <cell r="Z232">
            <v>1</v>
          </cell>
        </row>
        <row r="233">
          <cell r="B233" t="str">
            <v>bud</v>
          </cell>
          <cell r="C233" t="str">
            <v>Customer deposits</v>
          </cell>
          <cell r="D233">
            <v>1000000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1</v>
          </cell>
        </row>
        <row r="234">
          <cell r="B234" t="str">
            <v>bdi</v>
          </cell>
          <cell r="C234" t="str">
            <v>Certificates of deposits in issue</v>
          </cell>
          <cell r="D234">
            <v>1000000</v>
          </cell>
          <cell r="Z234">
            <v>1</v>
          </cell>
        </row>
        <row r="235">
          <cell r="B235" t="str">
            <v>bdd</v>
          </cell>
          <cell r="C235" t="str">
            <v>Customer deposits and CDs</v>
          </cell>
          <cell r="D235">
            <v>1000000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1</v>
          </cell>
        </row>
        <row r="237">
          <cell r="B237" t="str">
            <v>beq</v>
          </cell>
          <cell r="C237" t="str">
            <v>Capital-eq interest-bearing liabilit</v>
          </cell>
          <cell r="D237">
            <v>1000000</v>
          </cell>
          <cell r="Z237">
            <v>1</v>
          </cell>
        </row>
        <row r="239">
          <cell r="B239" t="str">
            <v>bib</v>
          </cell>
          <cell r="C239" t="str">
            <v>Other interest-bearing liabilities</v>
          </cell>
          <cell r="D239">
            <v>1000000</v>
          </cell>
          <cell r="Z239">
            <v>1</v>
          </cell>
        </row>
        <row r="240">
          <cell r="B240" t="str">
            <v>bab</v>
          </cell>
          <cell r="C240" t="str">
            <v>Total interest bearing liabilities</v>
          </cell>
          <cell r="D240">
            <v>1000000</v>
          </cell>
          <cell r="E240">
            <v>0</v>
          </cell>
          <cell r="F240">
            <v>250.96199999999999</v>
          </cell>
          <cell r="G240">
            <v>205.648</v>
          </cell>
          <cell r="H240">
            <v>324.76899999999995</v>
          </cell>
          <cell r="I240">
            <v>529.68799999999999</v>
          </cell>
          <cell r="J240">
            <v>1353.277</v>
          </cell>
          <cell r="K240">
            <v>9264.1449999999986</v>
          </cell>
          <cell r="L240">
            <v>12813.223</v>
          </cell>
          <cell r="M240">
            <v>12834.063</v>
          </cell>
          <cell r="N240">
            <v>11932.157000000001</v>
          </cell>
          <cell r="O240">
            <v>13114.662644444446</v>
          </cell>
          <cell r="P240">
            <v>12391.920400000005</v>
          </cell>
          <cell r="Q240">
            <v>10134.856051111112</v>
          </cell>
          <cell r="R240">
            <v>10895.436779751115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1</v>
          </cell>
        </row>
        <row r="324">
          <cell r="B324" t="str">
            <v>osi</v>
          </cell>
          <cell r="C324" t="str">
            <v>Short-term interest-earning assets</v>
          </cell>
          <cell r="D324">
            <v>1000000</v>
          </cell>
          <cell r="Z324">
            <v>1</v>
          </cell>
        </row>
        <row r="325">
          <cell r="B325" t="str">
            <v>oli</v>
          </cell>
          <cell r="C325" t="str">
            <v>Long-term interest-earning assets</v>
          </cell>
          <cell r="D325">
            <v>1000000</v>
          </cell>
          <cell r="E325">
            <v>0</v>
          </cell>
          <cell r="F325">
            <v>133.00299999999999</v>
          </cell>
          <cell r="G325">
            <v>39.865000000000002</v>
          </cell>
          <cell r="H325">
            <v>128.61500000000001</v>
          </cell>
          <cell r="I325">
            <v>45.168000000000006</v>
          </cell>
          <cell r="J325">
            <v>1355.3899999999999</v>
          </cell>
          <cell r="K325">
            <v>3505.55</v>
          </cell>
          <cell r="L325">
            <v>714.52300000000002</v>
          </cell>
          <cell r="M325">
            <v>218.72399999999999</v>
          </cell>
          <cell r="N325">
            <v>730.64</v>
          </cell>
          <cell r="O325">
            <v>1674.4823346868211</v>
          </cell>
          <cell r="P325">
            <v>1093.0811333171446</v>
          </cell>
          <cell r="Q325">
            <v>918.54842237960702</v>
          </cell>
          <cell r="R325">
            <v>545.23009624669203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1</v>
          </cell>
        </row>
        <row r="326">
          <cell r="C326" t="str">
            <v>Interest-earning assets</v>
          </cell>
          <cell r="D326">
            <v>1000000</v>
          </cell>
          <cell r="E326">
            <v>0</v>
          </cell>
          <cell r="F326">
            <v>133.00299999999999</v>
          </cell>
          <cell r="G326">
            <v>39.865000000000002</v>
          </cell>
          <cell r="H326">
            <v>128.61500000000001</v>
          </cell>
          <cell r="I326">
            <v>45.168000000000006</v>
          </cell>
          <cell r="J326">
            <v>1355.3899999999999</v>
          </cell>
          <cell r="K326">
            <v>3505.55</v>
          </cell>
          <cell r="L326">
            <v>714.52300000000002</v>
          </cell>
          <cell r="M326">
            <v>218.72399999999999</v>
          </cell>
          <cell r="N326">
            <v>730.64</v>
          </cell>
          <cell r="O326">
            <v>1674.4823346868211</v>
          </cell>
          <cell r="P326">
            <v>1093.0811333171446</v>
          </cell>
          <cell r="Q326">
            <v>918.54842237960702</v>
          </cell>
          <cell r="R326">
            <v>545.23009624669203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</row>
        <row r="327">
          <cell r="B327" t="str">
            <v>osb</v>
          </cell>
          <cell r="C327" t="str">
            <v>Short-term interest-bearing liabilit</v>
          </cell>
          <cell r="D327">
            <v>1000000</v>
          </cell>
          <cell r="Z327">
            <v>1</v>
          </cell>
        </row>
        <row r="328">
          <cell r="B328" t="str">
            <v>oll</v>
          </cell>
          <cell r="C328" t="str">
            <v>Long-term interest-bearing liabiliti</v>
          </cell>
          <cell r="D328">
            <v>1000000</v>
          </cell>
          <cell r="E328">
            <v>0</v>
          </cell>
          <cell r="F328">
            <v>250.96199999999999</v>
          </cell>
          <cell r="G328">
            <v>205.648</v>
          </cell>
          <cell r="H328">
            <v>324.76899999999995</v>
          </cell>
          <cell r="I328">
            <v>529.68799999999999</v>
          </cell>
          <cell r="J328">
            <v>1353.277</v>
          </cell>
          <cell r="K328">
            <v>9264.1449999999986</v>
          </cell>
          <cell r="L328">
            <v>12813.223</v>
          </cell>
          <cell r="M328">
            <v>12834.063</v>
          </cell>
          <cell r="N328">
            <v>11932.157000000001</v>
          </cell>
          <cell r="O328">
            <v>13114.662644444446</v>
          </cell>
          <cell r="P328">
            <v>12391.920400000005</v>
          </cell>
          <cell r="Q328">
            <v>10134.856051111112</v>
          </cell>
          <cell r="R328">
            <v>10895.436779751115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1</v>
          </cell>
        </row>
        <row r="329">
          <cell r="B329" t="str">
            <v>otl</v>
          </cell>
          <cell r="C329" t="str">
            <v>Interest bearing liabilities</v>
          </cell>
          <cell r="D329">
            <v>1000000</v>
          </cell>
          <cell r="E329">
            <v>0</v>
          </cell>
          <cell r="F329">
            <v>250.96199999999999</v>
          </cell>
          <cell r="G329">
            <v>205.648</v>
          </cell>
          <cell r="H329">
            <v>324.76899999999995</v>
          </cell>
          <cell r="I329">
            <v>529.68799999999999</v>
          </cell>
          <cell r="J329">
            <v>1353.277</v>
          </cell>
          <cell r="K329">
            <v>9264.1449999999986</v>
          </cell>
          <cell r="L329">
            <v>12813.223</v>
          </cell>
          <cell r="M329">
            <v>12834.063</v>
          </cell>
          <cell r="N329">
            <v>11932.157000000001</v>
          </cell>
          <cell r="O329">
            <v>13114.662644444446</v>
          </cell>
          <cell r="P329">
            <v>12391.920400000005</v>
          </cell>
          <cell r="Q329">
            <v>10134.856051111112</v>
          </cell>
          <cell r="R329">
            <v>10895.436779751115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</row>
        <row r="331">
          <cell r="B331" t="str">
            <v>ost</v>
          </cell>
          <cell r="C331" t="str">
            <v>Short-term investments</v>
          </cell>
          <cell r="D331">
            <v>1000000</v>
          </cell>
          <cell r="Z331">
            <v>1</v>
          </cell>
        </row>
        <row r="332">
          <cell r="B332" t="str">
            <v>olt</v>
          </cell>
          <cell r="C332" t="str">
            <v>Long-term investments</v>
          </cell>
          <cell r="D332">
            <v>1000000</v>
          </cell>
          <cell r="Z332">
            <v>1</v>
          </cell>
        </row>
        <row r="333">
          <cell r="B333" t="str">
            <v>oti</v>
          </cell>
          <cell r="C333" t="str">
            <v>Total investments</v>
          </cell>
          <cell r="D333">
            <v>1000000</v>
          </cell>
          <cell r="Z333">
            <v>1</v>
          </cell>
        </row>
        <row r="334">
          <cell r="B334" t="str">
            <v>omv</v>
          </cell>
          <cell r="C334" t="str">
            <v>Market value of investments</v>
          </cell>
          <cell r="D334">
            <v>1000000</v>
          </cell>
          <cell r="Z334">
            <v>1</v>
          </cell>
        </row>
        <row r="340">
          <cell r="B340" t="str">
            <v>oal</v>
          </cell>
          <cell r="C340" t="str">
            <v>Due to affiliated companies (liabili</v>
          </cell>
          <cell r="D340">
            <v>1000000</v>
          </cell>
          <cell r="Z340">
            <v>1</v>
          </cell>
        </row>
        <row r="341">
          <cell r="B341" t="str">
            <v>oaa</v>
          </cell>
          <cell r="C341" t="str">
            <v>Due from affiliated companies (asset</v>
          </cell>
          <cell r="D341">
            <v>1000000</v>
          </cell>
          <cell r="Z341">
            <v>1</v>
          </cell>
        </row>
        <row r="342">
          <cell r="B342" t="str">
            <v>oan</v>
          </cell>
          <cell r="C342" t="str">
            <v>Net amount due from affiliates</v>
          </cell>
          <cell r="D342">
            <v>1000000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1</v>
          </cell>
        </row>
        <row r="344">
          <cell r="B344" t="str">
            <v>ogp</v>
          </cell>
          <cell r="C344" t="str">
            <v>General provisions for loans</v>
          </cell>
          <cell r="D344">
            <v>1000000</v>
          </cell>
          <cell r="Z344">
            <v>1</v>
          </cell>
        </row>
        <row r="345">
          <cell r="B345" t="str">
            <v>osp</v>
          </cell>
          <cell r="C345" t="str">
            <v>Specific provisions for loans</v>
          </cell>
          <cell r="D345">
            <v>1000000</v>
          </cell>
          <cell r="Z345">
            <v>1</v>
          </cell>
        </row>
        <row r="346">
          <cell r="B346" t="str">
            <v>otp</v>
          </cell>
          <cell r="C346" t="str">
            <v>Total provisions for loans</v>
          </cell>
          <cell r="D346">
            <v>1000000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1</v>
          </cell>
        </row>
        <row r="347">
          <cell r="B347" t="str">
            <v>oop</v>
          </cell>
          <cell r="C347" t="str">
            <v>Other provisions</v>
          </cell>
          <cell r="D347">
            <v>1000000</v>
          </cell>
          <cell r="Z347">
            <v>1</v>
          </cell>
        </row>
        <row r="348">
          <cell r="B348" t="str">
            <v>opt</v>
          </cell>
          <cell r="C348" t="str">
            <v>Total provisions</v>
          </cell>
          <cell r="D348">
            <v>1000000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1</v>
          </cell>
        </row>
        <row r="349">
          <cell r="B349" t="str">
            <v>ons</v>
          </cell>
          <cell r="C349" t="str">
            <v>NPLs on which interest is in suspens</v>
          </cell>
          <cell r="D349">
            <v>1000000</v>
          </cell>
          <cell r="Z349">
            <v>1</v>
          </cell>
        </row>
        <row r="350">
          <cell r="B350" t="str">
            <v>onc</v>
          </cell>
          <cell r="C350" t="str">
            <v>NPLs on which accrual has ceased</v>
          </cell>
          <cell r="D350">
            <v>1000000</v>
          </cell>
          <cell r="Z350">
            <v>1</v>
          </cell>
        </row>
        <row r="351">
          <cell r="B351" t="str">
            <v>onp</v>
          </cell>
          <cell r="C351" t="str">
            <v>Non-performing loans</v>
          </cell>
          <cell r="D351">
            <v>1000000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1</v>
          </cell>
        </row>
        <row r="353">
          <cell r="B353" t="str">
            <v>oai</v>
          </cell>
          <cell r="C353" t="str">
            <v>Accrued interest income (P&amp;L)</v>
          </cell>
          <cell r="D353">
            <v>1000000</v>
          </cell>
          <cell r="Z353">
            <v>1</v>
          </cell>
        </row>
        <row r="354">
          <cell r="B354" t="str">
            <v>oar</v>
          </cell>
          <cell r="C354" t="str">
            <v>Accrued interest receivables (B/S)</v>
          </cell>
          <cell r="D354">
            <v>1000000</v>
          </cell>
          <cell r="Z354">
            <v>1</v>
          </cell>
        </row>
        <row r="355">
          <cell r="B355" t="str">
            <v>ois</v>
          </cell>
          <cell r="C355" t="str">
            <v>Interest suspended during the period</v>
          </cell>
          <cell r="D355">
            <v>1000000</v>
          </cell>
          <cell r="Z355">
            <v>1</v>
          </cell>
        </row>
        <row r="356">
          <cell r="B356" t="str">
            <v>osn</v>
          </cell>
          <cell r="C356" t="str">
            <v>Total suspended interest</v>
          </cell>
          <cell r="D356">
            <v>1000000</v>
          </cell>
          <cell r="Z356">
            <v>1</v>
          </cell>
        </row>
        <row r="357">
          <cell r="C357" t="str">
            <v>Write-off and write-backs</v>
          </cell>
        </row>
        <row r="358">
          <cell r="B358" t="str">
            <v>olo</v>
          </cell>
          <cell r="C358" t="str">
            <v>Loans written off</v>
          </cell>
          <cell r="D358">
            <v>1000000</v>
          </cell>
          <cell r="Z358">
            <v>1</v>
          </cell>
        </row>
        <row r="359">
          <cell r="B359" t="str">
            <v>olb</v>
          </cell>
          <cell r="C359" t="str">
            <v>Loans written back</v>
          </cell>
          <cell r="D359">
            <v>1000000</v>
          </cell>
          <cell r="Z359">
            <v>1</v>
          </cell>
        </row>
        <row r="360">
          <cell r="B360" t="str">
            <v>oln</v>
          </cell>
          <cell r="C360" t="str">
            <v>Net write-offs</v>
          </cell>
          <cell r="D360">
            <v>1000000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1</v>
          </cell>
        </row>
        <row r="361">
          <cell r="C361" t="str">
            <v>Capital adequacy</v>
          </cell>
        </row>
        <row r="362">
          <cell r="B362" t="str">
            <v>oca</v>
          </cell>
          <cell r="C362" t="str">
            <v>CAR - tier 1</v>
          </cell>
          <cell r="D362">
            <v>0.01</v>
          </cell>
          <cell r="Z362">
            <v>1</v>
          </cell>
        </row>
        <row r="363">
          <cell r="B363" t="str">
            <v>ocr</v>
          </cell>
          <cell r="C363" t="str">
            <v>CAR - tier 2</v>
          </cell>
          <cell r="D363">
            <v>0.01</v>
          </cell>
          <cell r="Z363">
            <v>1</v>
          </cell>
        </row>
        <row r="364">
          <cell r="B364" t="str">
            <v>occ</v>
          </cell>
          <cell r="C364" t="str">
            <v>CAR - total</v>
          </cell>
          <cell r="D364">
            <v>0.01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1</v>
          </cell>
        </row>
        <row r="365">
          <cell r="B365" t="str">
            <v>orw</v>
          </cell>
          <cell r="C365" t="str">
            <v>Risk weighted assets</v>
          </cell>
          <cell r="D365">
            <v>1000000</v>
          </cell>
          <cell r="Z365">
            <v>1</v>
          </cell>
        </row>
        <row r="366">
          <cell r="B366" t="str">
            <v>olr</v>
          </cell>
          <cell r="C366" t="str">
            <v>Liquidity ratio</v>
          </cell>
          <cell r="D366">
            <v>0.01</v>
          </cell>
          <cell r="Z366">
            <v>1</v>
          </cell>
        </row>
        <row r="367">
          <cell r="C367" t="str">
            <v>Loan breakdown (by end-use)</v>
          </cell>
        </row>
        <row r="368">
          <cell r="B368" t="str">
            <v>oba</v>
          </cell>
          <cell r="C368" t="str">
            <v>Purchase of residential property - o</v>
          </cell>
          <cell r="D368">
            <v>0.01</v>
          </cell>
          <cell r="Z368">
            <v>1</v>
          </cell>
        </row>
        <row r="369">
          <cell r="B369" t="str">
            <v>obb</v>
          </cell>
          <cell r="C369" t="str">
            <v>Property development, investment and</v>
          </cell>
          <cell r="D369">
            <v>0.01</v>
          </cell>
          <cell r="Z369">
            <v>1</v>
          </cell>
        </row>
        <row r="370">
          <cell r="B370" t="str">
            <v>obc</v>
          </cell>
          <cell r="C370" t="str">
            <v>Consumer related</v>
          </cell>
          <cell r="D370">
            <v>0.01</v>
          </cell>
          <cell r="Z370">
            <v>1</v>
          </cell>
        </row>
        <row r="371">
          <cell r="B371" t="str">
            <v>obd</v>
          </cell>
          <cell r="C371" t="str">
            <v>International trade related</v>
          </cell>
          <cell r="D371">
            <v>0.01</v>
          </cell>
          <cell r="Z371">
            <v>1</v>
          </cell>
        </row>
        <row r="372">
          <cell r="B372" t="str">
            <v>obe</v>
          </cell>
          <cell r="C372" t="str">
            <v>Stock and share related</v>
          </cell>
          <cell r="D372">
            <v>0.01</v>
          </cell>
          <cell r="Z372">
            <v>1</v>
          </cell>
        </row>
        <row r="373">
          <cell r="B373" t="str">
            <v>oco</v>
          </cell>
          <cell r="C373" t="str">
            <v>Corporate</v>
          </cell>
          <cell r="D373">
            <v>0.01</v>
          </cell>
          <cell r="Z373">
            <v>1</v>
          </cell>
        </row>
        <row r="374">
          <cell r="B374" t="str">
            <v>oot</v>
          </cell>
          <cell r="C374" t="str">
            <v>Other</v>
          </cell>
          <cell r="D374">
            <v>0.01</v>
          </cell>
          <cell r="E374">
            <v>100</v>
          </cell>
          <cell r="F374">
            <v>100</v>
          </cell>
          <cell r="G374">
            <v>100</v>
          </cell>
          <cell r="H374">
            <v>100</v>
          </cell>
          <cell r="I374">
            <v>100</v>
          </cell>
          <cell r="J374">
            <v>100</v>
          </cell>
          <cell r="K374">
            <v>100</v>
          </cell>
          <cell r="L374">
            <v>100</v>
          </cell>
          <cell r="M374">
            <v>100</v>
          </cell>
          <cell r="N374">
            <v>100</v>
          </cell>
          <cell r="O374">
            <v>100</v>
          </cell>
          <cell r="P374">
            <v>100</v>
          </cell>
          <cell r="Q374">
            <v>100</v>
          </cell>
          <cell r="R374">
            <v>100</v>
          </cell>
          <cell r="S374">
            <v>100</v>
          </cell>
          <cell r="T374">
            <v>100</v>
          </cell>
          <cell r="U374">
            <v>100</v>
          </cell>
          <cell r="V374">
            <v>100</v>
          </cell>
          <cell r="W374">
            <v>100</v>
          </cell>
          <cell r="X374">
            <v>100</v>
          </cell>
          <cell r="Y374">
            <v>100</v>
          </cell>
          <cell r="Z374">
            <v>1</v>
          </cell>
        </row>
        <row r="375">
          <cell r="B375" t="str">
            <v>obt</v>
          </cell>
          <cell r="C375" t="str">
            <v>Total = 100%</v>
          </cell>
          <cell r="D375">
            <v>0.01</v>
          </cell>
          <cell r="E375">
            <v>100</v>
          </cell>
          <cell r="F375">
            <v>100</v>
          </cell>
          <cell r="G375">
            <v>100</v>
          </cell>
          <cell r="H375">
            <v>100</v>
          </cell>
          <cell r="I375">
            <v>100</v>
          </cell>
          <cell r="J375">
            <v>100</v>
          </cell>
          <cell r="K375">
            <v>100</v>
          </cell>
          <cell r="L375">
            <v>100</v>
          </cell>
          <cell r="M375">
            <v>100</v>
          </cell>
          <cell r="N375">
            <v>100</v>
          </cell>
          <cell r="O375">
            <v>100</v>
          </cell>
          <cell r="P375">
            <v>100</v>
          </cell>
          <cell r="Q375">
            <v>100</v>
          </cell>
          <cell r="R375">
            <v>100</v>
          </cell>
          <cell r="S375">
            <v>100</v>
          </cell>
          <cell r="T375">
            <v>100</v>
          </cell>
          <cell r="U375">
            <v>100</v>
          </cell>
          <cell r="V375">
            <v>100</v>
          </cell>
          <cell r="W375">
            <v>100</v>
          </cell>
          <cell r="X375">
            <v>100</v>
          </cell>
          <cell r="Y375">
            <v>100</v>
          </cell>
          <cell r="Z375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/>
      <sheetData sheetId="20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Input"/>
      <sheetName val="Returns"/>
      <sheetName val="IRR"/>
      <sheetName val="DCF FCFE"/>
      <sheetName val="DCF FCFF"/>
      <sheetName val="DCF EBITDAx"/>
      <sheetName val="Assumptions"/>
      <sheetName val="Summary"/>
      <sheetName val="Ratios"/>
      <sheetName val="IS"/>
      <sheetName val="BS"/>
      <sheetName val="CF"/>
      <sheetName val="GRM Sheet"/>
      <sheetName val="Production"/>
      <sheetName val="Product Prices"/>
      <sheetName val="Sales"/>
      <sheetName val="Debt"/>
      <sheetName val="SBM Sheet"/>
      <sheetName val="PMB Income"/>
      <sheetName val="Isom Sheet"/>
      <sheetName val="P&amp;G"/>
      <sheetName val="Taxation"/>
      <sheetName val="Fixed Assets"/>
      <sheetName val="Tax Depreciation"/>
      <sheetName val="Conversion Factors"/>
      <sheetName val="Leased assets "/>
    </sheetNames>
    <sheetDataSet>
      <sheetData sheetId="0">
        <row r="3">
          <cell r="B3" t="str">
            <v>Base Case</v>
          </cell>
        </row>
        <row r="4">
          <cell r="B4" t="str">
            <v>High Case</v>
          </cell>
        </row>
        <row r="5">
          <cell r="B5" t="str">
            <v>Low Case</v>
          </cell>
        </row>
        <row r="9">
          <cell r="B9" t="str">
            <v>Base Case</v>
          </cell>
        </row>
        <row r="13">
          <cell r="B13">
            <v>40359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sb2pgr"/>
      <sheetName val="Sheet1"/>
      <sheetName val="Ratios"/>
      <sheetName val="CF"/>
      <sheetName val="P&amp;L"/>
      <sheetName val="BS"/>
      <sheetName val="BS-a"/>
      <sheetName val="DCF"/>
      <sheetName val="EVA"/>
      <sheetName val="WACC"/>
      <sheetName val="mratios"/>
      <sheetName val="RMs"/>
      <sheetName val="conv costs"/>
      <sheetName val="FO business"/>
      <sheetName val="Import Valuation"/>
      <sheetName val="PSF-Model"/>
      <sheetName val="PSF-P&amp;L"/>
      <sheetName val="SodaMod"/>
      <sheetName val="Soda-P&amp;L"/>
      <sheetName val="Paints-Mod"/>
      <sheetName val="Paints-P&amp;L"/>
      <sheetName val="Others-Mod"/>
      <sheetName val="Others-P&amp;L"/>
      <sheetName val="Oil"/>
      <sheetName val="HY"/>
      <sheetName val="Hy-5yrs"/>
      <sheetName val="Foreign Loans"/>
      <sheetName val="FMM"/>
      <sheetName val="Redeemable"/>
      <sheetName val="Dep.Schd."/>
      <sheetName val="BS-2"/>
      <sheetName val="PSF supply-demand"/>
      <sheetName val="forex rates"/>
      <sheetName val="PSF Industry"/>
      <sheetName val="Demerger"/>
      <sheetName val="PTA supply-demand"/>
      <sheetName val="Sheet2"/>
    </sheetNames>
    <sheetDataSet>
      <sheetData sheetId="0" refreshError="1"/>
      <sheetData sheetId="1" refreshError="1"/>
      <sheetData sheetId="2" refreshError="1">
        <row r="6">
          <cell r="G6">
            <v>138.8023</v>
          </cell>
        </row>
      </sheetData>
      <sheetData sheetId="3" refreshError="1"/>
      <sheetData sheetId="4" refreshError="1"/>
      <sheetData sheetId="5" refreshError="1"/>
      <sheetData sheetId="6" refreshError="1">
        <row r="4">
          <cell r="H4">
            <v>1261.8391000000001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Ctrl"/>
      <sheetName val="Capital Structure"/>
      <sheetName val="Summary Valuation"/>
      <sheetName val="Valuation - FCFF (P)"/>
      <sheetName val="Valuation - DCF (M)"/>
      <sheetName val="Valuation - FCFE (P)"/>
      <sheetName val="Returns (FCFF)"/>
      <sheetName val="Returns (FCFE)"/>
      <sheetName val="P&amp;L"/>
      <sheetName val="BS"/>
      <sheetName val="CF"/>
      <sheetName val="Ratios"/>
      <sheetName val="SBM Assumptions"/>
      <sheetName val="SBM Port Revenue"/>
      <sheetName val="KPT Assumptions"/>
      <sheetName val="Dep"/>
      <sheetName val="Taxation"/>
      <sheetName val="Financing Requirement"/>
      <sheetName val="UTL Loan Sheet"/>
      <sheetName val="Subsidiary Loan Sheet"/>
      <sheetName val="Conv Sheet"/>
    </sheetNames>
    <sheetDataSet>
      <sheetData sheetId="0"/>
      <sheetData sheetId="1">
        <row r="10">
          <cell r="D10">
            <v>40544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ZO"/>
      <sheetName val="Univ. Q Updates"/>
      <sheetName val="Store Count"/>
      <sheetName val="KOHC"/>
    </sheetNames>
    <sheetDataSet>
      <sheetData sheetId="0" refreshError="1">
        <row r="30">
          <cell r="AO30">
            <v>34912</v>
          </cell>
          <cell r="AP30">
            <v>0.05</v>
          </cell>
          <cell r="AQ30">
            <v>6.25E-2</v>
          </cell>
          <cell r="AS30" t="str">
            <v>F1996</v>
          </cell>
          <cell r="AT30">
            <v>7835000</v>
          </cell>
          <cell r="AU30">
            <v>8253000</v>
          </cell>
          <cell r="AV30">
            <v>8583000</v>
          </cell>
          <cell r="AW30">
            <v>9436800</v>
          </cell>
          <cell r="AX30">
            <v>9436800</v>
          </cell>
        </row>
        <row r="31">
          <cell r="AO31">
            <v>35004</v>
          </cell>
          <cell r="AP31">
            <v>0.05</v>
          </cell>
          <cell r="AQ31">
            <v>5.5000000000000007E-2</v>
          </cell>
          <cell r="AS31" t="str">
            <v>F1997</v>
          </cell>
          <cell r="AT31">
            <v>9813000</v>
          </cell>
          <cell r="AU31">
            <v>10090000</v>
          </cell>
          <cell r="AV31">
            <v>10525000.060000001</v>
          </cell>
          <cell r="AW31">
            <v>11611000.060000001</v>
          </cell>
          <cell r="AX31">
            <v>11611000.060000001</v>
          </cell>
        </row>
        <row r="32">
          <cell r="AO32">
            <v>35096</v>
          </cell>
          <cell r="AP32">
            <v>0.03</v>
          </cell>
          <cell r="AQ32">
            <v>4.5000000000000005E-2</v>
          </cell>
          <cell r="AS32" t="str">
            <v>F1998</v>
          </cell>
          <cell r="AT32">
            <v>11926000</v>
          </cell>
          <cell r="AU32">
            <v>12293000</v>
          </cell>
          <cell r="AV32">
            <v>13457000</v>
          </cell>
          <cell r="AW32">
            <v>14393000</v>
          </cell>
          <cell r="AX32">
            <v>14393000</v>
          </cell>
        </row>
        <row r="33">
          <cell r="AO33">
            <v>35186</v>
          </cell>
          <cell r="AP33">
            <v>0.08</v>
          </cell>
          <cell r="AQ33">
            <v>5.2500000000000005E-2</v>
          </cell>
          <cell r="AS33" t="str">
            <v>F1999</v>
          </cell>
          <cell r="AX33">
            <v>18393000</v>
          </cell>
        </row>
        <row r="34">
          <cell r="AO34">
            <v>35278</v>
          </cell>
          <cell r="AP34">
            <v>7.0000000000000007E-2</v>
          </cell>
          <cell r="AQ34">
            <v>5.7500000000000002E-2</v>
          </cell>
          <cell r="AS34" t="str">
            <v>F2000</v>
          </cell>
          <cell r="AX34">
            <v>21633000</v>
          </cell>
        </row>
        <row r="35">
          <cell r="AO35">
            <v>35370</v>
          </cell>
          <cell r="AP35">
            <v>7.0000000000000007E-2</v>
          </cell>
          <cell r="AQ35">
            <v>6.25E-2</v>
          </cell>
          <cell r="AS35" t="str">
            <v>F2001</v>
          </cell>
          <cell r="AX35">
            <v>25233000</v>
          </cell>
        </row>
        <row r="36">
          <cell r="AO36">
            <v>35462</v>
          </cell>
          <cell r="AP36">
            <v>0.1</v>
          </cell>
          <cell r="AQ36">
            <v>8.0000000000000016E-2</v>
          </cell>
        </row>
        <row r="37">
          <cell r="AO37">
            <v>35551</v>
          </cell>
          <cell r="AP37">
            <v>7.0000000000000007E-2</v>
          </cell>
          <cell r="AQ37">
            <v>7.7500000000000013E-2</v>
          </cell>
          <cell r="AT37">
            <v>0.21532660756139821</v>
          </cell>
          <cell r="AU37">
            <v>0.2183349851337959</v>
          </cell>
          <cell r="AV37">
            <v>0.27857481456394395</v>
          </cell>
          <cell r="AW37">
            <v>0.23960037254534305</v>
          </cell>
        </row>
        <row r="38">
          <cell r="AO38">
            <v>35643</v>
          </cell>
          <cell r="AP38">
            <v>0.08</v>
          </cell>
          <cell r="AQ38">
            <v>0.08</v>
          </cell>
        </row>
        <row r="39">
          <cell r="AO39">
            <v>35735</v>
          </cell>
          <cell r="AP39">
            <v>7.0000000000000007E-2</v>
          </cell>
          <cell r="AQ39">
            <v>0.08</v>
          </cell>
        </row>
        <row r="40">
          <cell r="AO40">
            <v>35827</v>
          </cell>
          <cell r="AP40">
            <v>0.02</v>
          </cell>
          <cell r="AQ40">
            <v>6.0000000000000005E-2</v>
          </cell>
          <cell r="AS40" t="str">
            <v>Comparable Store Sales</v>
          </cell>
          <cell r="AT40" t="str">
            <v>Q1</v>
          </cell>
          <cell r="AU40" t="str">
            <v>Q2</v>
          </cell>
          <cell r="AV40" t="str">
            <v>Q3</v>
          </cell>
          <cell r="AW40" t="str">
            <v>Q4</v>
          </cell>
          <cell r="AX40" t="str">
            <v>Year</v>
          </cell>
          <cell r="AZ40" t="str">
            <v>Comparable Store Sales</v>
          </cell>
          <cell r="BA40" t="str">
            <v>Q1</v>
          </cell>
          <cell r="BB40" t="str">
            <v>Q2</v>
          </cell>
          <cell r="BC40" t="str">
            <v>Q3</v>
          </cell>
          <cell r="BD40" t="str">
            <v>Q4</v>
          </cell>
          <cell r="BE40" t="str">
            <v>Year</v>
          </cell>
        </row>
        <row r="41">
          <cell r="AO41">
            <v>35916</v>
          </cell>
          <cell r="AP41">
            <v>0.02</v>
          </cell>
          <cell r="AQ41">
            <v>4.7500000000000001E-2</v>
          </cell>
          <cell r="AS41" t="str">
            <v>F1989</v>
          </cell>
          <cell r="AT41">
            <v>9.2999999999999999E-2</v>
          </cell>
          <cell r="AU41">
            <v>0.115</v>
          </cell>
          <cell r="AV41">
            <v>0.12</v>
          </cell>
          <cell r="AW41">
            <v>7.6999999999999999E-2</v>
          </cell>
          <cell r="AX41">
            <v>9.8000000000000004E-2</v>
          </cell>
          <cell r="AZ41" t="str">
            <v>F1989</v>
          </cell>
          <cell r="BA41">
            <v>9.2999999999999999E-2</v>
          </cell>
          <cell r="BB41">
            <v>0.115</v>
          </cell>
          <cell r="BC41">
            <v>0.12</v>
          </cell>
          <cell r="BD41">
            <v>7.6999999999999999E-2</v>
          </cell>
          <cell r="BE41">
            <v>9.8000000000000004E-2</v>
          </cell>
        </row>
        <row r="42">
          <cell r="AS42" t="str">
            <v>F1990</v>
          </cell>
          <cell r="AT42">
            <v>0.123</v>
          </cell>
          <cell r="AU42">
            <v>0.108</v>
          </cell>
          <cell r="AV42">
            <v>9.8000000000000004E-2</v>
          </cell>
          <cell r="AW42">
            <v>0.16800000000000001</v>
          </cell>
          <cell r="AX42">
            <v>0.129</v>
          </cell>
          <cell r="AZ42" t="str">
            <v>F1990</v>
          </cell>
          <cell r="BA42">
            <v>0.123</v>
          </cell>
          <cell r="BB42">
            <v>0.108</v>
          </cell>
          <cell r="BC42">
            <v>9.8000000000000004E-2</v>
          </cell>
          <cell r="BD42">
            <v>0.16800000000000001</v>
          </cell>
          <cell r="BE42">
            <v>0.129</v>
          </cell>
        </row>
        <row r="43">
          <cell r="AS43" t="str">
            <v>F1991</v>
          </cell>
          <cell r="AT43">
            <v>8.6999999999999994E-2</v>
          </cell>
          <cell r="AU43">
            <v>7.8E-2</v>
          </cell>
          <cell r="AV43">
            <v>0.13400000000000001</v>
          </cell>
          <cell r="AW43">
            <v>0.161</v>
          </cell>
          <cell r="AX43">
            <v>0.122</v>
          </cell>
          <cell r="AZ43" t="str">
            <v>F1991</v>
          </cell>
          <cell r="BA43">
            <v>8.6999999999999994E-2</v>
          </cell>
          <cell r="BB43">
            <v>7.8E-2</v>
          </cell>
          <cell r="BC43">
            <v>0.13400000000000001</v>
          </cell>
          <cell r="BD43">
            <v>0.161</v>
          </cell>
          <cell r="BE43">
            <v>0.122</v>
          </cell>
        </row>
        <row r="44">
          <cell r="AS44" t="str">
            <v>F1992</v>
          </cell>
          <cell r="AT44">
            <v>0.19900000000000001</v>
          </cell>
          <cell r="AU44">
            <v>0.18</v>
          </cell>
          <cell r="AV44">
            <v>0.188</v>
          </cell>
          <cell r="AW44">
            <v>0.08</v>
          </cell>
          <cell r="AX44">
            <v>0.15</v>
          </cell>
          <cell r="AZ44" t="str">
            <v>F1992</v>
          </cell>
          <cell r="BA44">
            <v>0.19900000000000001</v>
          </cell>
          <cell r="BB44">
            <v>0.18</v>
          </cell>
          <cell r="BC44">
            <v>0.188</v>
          </cell>
          <cell r="BD44">
            <v>0.08</v>
          </cell>
          <cell r="BE44">
            <v>0.15</v>
          </cell>
        </row>
        <row r="45">
          <cell r="AS45" t="str">
            <v>F1993</v>
          </cell>
          <cell r="AT45">
            <v>7.0000000000000007E-2</v>
          </cell>
          <cell r="AU45">
            <v>0.09</v>
          </cell>
          <cell r="AV45">
            <v>0.06</v>
          </cell>
          <cell r="AW45">
            <v>0.11</v>
          </cell>
          <cell r="AX45">
            <v>0.09</v>
          </cell>
          <cell r="AZ45" t="str">
            <v>F1993</v>
          </cell>
          <cell r="BA45">
            <v>7.0000000000000007E-2</v>
          </cell>
          <cell r="BB45">
            <v>0.09</v>
          </cell>
          <cell r="BC45">
            <v>0.06</v>
          </cell>
          <cell r="BD45">
            <v>0.11</v>
          </cell>
          <cell r="BE45">
            <v>0.09</v>
          </cell>
        </row>
        <row r="46">
          <cell r="AS46" t="str">
            <v>F1994</v>
          </cell>
          <cell r="AT46">
            <v>0.14000000000000001</v>
          </cell>
          <cell r="AU46">
            <v>0.1</v>
          </cell>
          <cell r="AV46">
            <v>0.1</v>
          </cell>
          <cell r="AW46">
            <v>0.03</v>
          </cell>
          <cell r="AX46">
            <v>0.09</v>
          </cell>
          <cell r="AZ46" t="str">
            <v>F1994</v>
          </cell>
          <cell r="BA46">
            <v>0.14000000000000001</v>
          </cell>
          <cell r="BB46">
            <v>0.1</v>
          </cell>
          <cell r="BC46">
            <v>0.1</v>
          </cell>
          <cell r="BD46">
            <v>0.03</v>
          </cell>
          <cell r="BE46">
            <v>0.09</v>
          </cell>
        </row>
        <row r="47">
          <cell r="AS47" t="str">
            <v>F1995</v>
          </cell>
          <cell r="AT47">
            <v>0.08</v>
          </cell>
          <cell r="AU47">
            <v>7.0000000000000007E-2</v>
          </cell>
          <cell r="AV47">
            <v>0.05</v>
          </cell>
          <cell r="AW47">
            <v>0.05</v>
          </cell>
          <cell r="AX47">
            <v>6.25E-2</v>
          </cell>
          <cell r="AZ47" t="str">
            <v>F1995</v>
          </cell>
          <cell r="BA47">
            <v>0.08</v>
          </cell>
          <cell r="BB47">
            <v>7.0000000000000007E-2</v>
          </cell>
          <cell r="BC47">
            <v>0.05</v>
          </cell>
          <cell r="BD47">
            <v>0.05</v>
          </cell>
          <cell r="BE47">
            <v>6.25E-2</v>
          </cell>
        </row>
        <row r="48">
          <cell r="AS48" t="str">
            <v>F1996</v>
          </cell>
          <cell r="AT48">
            <v>0.05</v>
          </cell>
          <cell r="AU48">
            <v>0.03</v>
          </cell>
          <cell r="AV48">
            <v>0.08</v>
          </cell>
          <cell r="AW48">
            <v>7.0000000000000007E-2</v>
          </cell>
          <cell r="AX48">
            <v>5.7500000000000002E-2</v>
          </cell>
        </row>
        <row r="49">
          <cell r="AS49" t="str">
            <v>F1997</v>
          </cell>
          <cell r="AT49">
            <v>7.0000000000000007E-2</v>
          </cell>
          <cell r="AU49">
            <v>0.1</v>
          </cell>
          <cell r="AV49">
            <v>7.0000000000000007E-2</v>
          </cell>
          <cell r="AW49">
            <v>0.08</v>
          </cell>
          <cell r="AX49">
            <v>0.08</v>
          </cell>
        </row>
        <row r="50">
          <cell r="AS50" t="str">
            <v>F1998</v>
          </cell>
          <cell r="AT50">
            <v>7.0000000000000007E-2</v>
          </cell>
          <cell r="AU50">
            <v>0.02</v>
          </cell>
          <cell r="AV50">
            <v>0.02</v>
          </cell>
          <cell r="AW50">
            <v>0.04</v>
          </cell>
          <cell r="AX50">
            <v>3.7500000000000006E-2</v>
          </cell>
        </row>
        <row r="51">
          <cell r="AS51" t="str">
            <v>F1999</v>
          </cell>
          <cell r="AX51">
            <v>0.05</v>
          </cell>
        </row>
        <row r="52">
          <cell r="AS52" t="str">
            <v>F2000</v>
          </cell>
          <cell r="AX52">
            <v>0.05</v>
          </cell>
        </row>
        <row r="53">
          <cell r="AS53" t="str">
            <v>F2001</v>
          </cell>
          <cell r="AX53">
            <v>0.05</v>
          </cell>
        </row>
        <row r="58">
          <cell r="AS58" t="str">
            <v>Yr/Yr Square Foot Increase</v>
          </cell>
          <cell r="AZ58" t="str">
            <v>Yr/Yr Square Foot Increase</v>
          </cell>
        </row>
        <row r="59">
          <cell r="AS59" t="str">
            <v>F1989</v>
          </cell>
          <cell r="AZ59" t="str">
            <v>F1989</v>
          </cell>
        </row>
        <row r="60">
          <cell r="AS60" t="str">
            <v>F1990</v>
          </cell>
          <cell r="AT60">
            <v>384000</v>
          </cell>
          <cell r="AU60">
            <v>420000</v>
          </cell>
          <cell r="AV60">
            <v>402000</v>
          </cell>
          <cell r="AW60">
            <v>273000</v>
          </cell>
          <cell r="AX60">
            <v>246000</v>
          </cell>
          <cell r="AZ60" t="str">
            <v>F1990</v>
          </cell>
          <cell r="BA60">
            <v>384000</v>
          </cell>
          <cell r="BB60">
            <v>420000</v>
          </cell>
          <cell r="BC60">
            <v>402000</v>
          </cell>
          <cell r="BD60">
            <v>273000</v>
          </cell>
          <cell r="BE60">
            <v>246000</v>
          </cell>
        </row>
        <row r="61">
          <cell r="AS61" t="str">
            <v>F1991</v>
          </cell>
          <cell r="AT61">
            <v>305000</v>
          </cell>
          <cell r="AU61">
            <v>255000</v>
          </cell>
          <cell r="AV61">
            <v>259000</v>
          </cell>
          <cell r="AW61">
            <v>427000</v>
          </cell>
          <cell r="AX61">
            <v>427000</v>
          </cell>
          <cell r="AZ61" t="str">
            <v>F1991</v>
          </cell>
          <cell r="BA61">
            <v>305000</v>
          </cell>
          <cell r="BB61">
            <v>255000</v>
          </cell>
          <cell r="BC61">
            <v>259000</v>
          </cell>
          <cell r="BD61">
            <v>427000</v>
          </cell>
          <cell r="BE61">
            <v>427000</v>
          </cell>
        </row>
        <row r="62">
          <cell r="AS62" t="str">
            <v>F1992</v>
          </cell>
          <cell r="AT62">
            <v>436000</v>
          </cell>
          <cell r="AU62">
            <v>480000</v>
          </cell>
          <cell r="AV62">
            <v>424000</v>
          </cell>
          <cell r="AW62">
            <v>585000</v>
          </cell>
          <cell r="AX62">
            <v>585000</v>
          </cell>
          <cell r="AZ62" t="str">
            <v>F1992</v>
          </cell>
          <cell r="BA62">
            <v>436000</v>
          </cell>
          <cell r="BB62">
            <v>480000</v>
          </cell>
          <cell r="BC62">
            <v>424000</v>
          </cell>
          <cell r="BD62">
            <v>585000</v>
          </cell>
          <cell r="BE62">
            <v>585000</v>
          </cell>
        </row>
        <row r="63">
          <cell r="AS63" t="str">
            <v>F1993</v>
          </cell>
          <cell r="AT63">
            <v>623000</v>
          </cell>
          <cell r="AU63">
            <v>596000</v>
          </cell>
          <cell r="AV63">
            <v>708000</v>
          </cell>
          <cell r="AW63">
            <v>796000</v>
          </cell>
          <cell r="AX63">
            <v>796000</v>
          </cell>
          <cell r="AZ63" t="str">
            <v>F1993</v>
          </cell>
          <cell r="BA63">
            <v>623000</v>
          </cell>
          <cell r="BB63">
            <v>596000</v>
          </cell>
          <cell r="BC63">
            <v>708000</v>
          </cell>
          <cell r="BD63">
            <v>796000</v>
          </cell>
          <cell r="BE63">
            <v>796000</v>
          </cell>
        </row>
        <row r="64">
          <cell r="AS64" t="str">
            <v>F1994</v>
          </cell>
          <cell r="AT64">
            <v>938000</v>
          </cell>
          <cell r="AU64">
            <v>1119000</v>
          </cell>
          <cell r="AV64">
            <v>1096000</v>
          </cell>
          <cell r="AW64">
            <v>1110000</v>
          </cell>
          <cell r="AX64">
            <v>1110000</v>
          </cell>
          <cell r="AZ64" t="str">
            <v>F1994</v>
          </cell>
          <cell r="BA64">
            <v>938000</v>
          </cell>
          <cell r="BB64">
            <v>1119000</v>
          </cell>
          <cell r="BC64">
            <v>1096000</v>
          </cell>
          <cell r="BD64">
            <v>1110000</v>
          </cell>
          <cell r="BE64">
            <v>1110000</v>
          </cell>
        </row>
        <row r="65">
          <cell r="AS65" t="str">
            <v>F1995</v>
          </cell>
          <cell r="AT65">
            <v>1133000</v>
          </cell>
          <cell r="AU65">
            <v>1234000</v>
          </cell>
          <cell r="AV65">
            <v>1360000</v>
          </cell>
          <cell r="AW65">
            <v>1531000</v>
          </cell>
          <cell r="AX65">
            <v>1531000</v>
          </cell>
          <cell r="AZ65" t="str">
            <v>F1995</v>
          </cell>
          <cell r="BA65">
            <v>1133000</v>
          </cell>
          <cell r="BB65">
            <v>1234000</v>
          </cell>
          <cell r="BC65">
            <v>1360000</v>
          </cell>
          <cell r="BD65">
            <v>1531000</v>
          </cell>
          <cell r="BE65">
            <v>1531000</v>
          </cell>
        </row>
        <row r="66">
          <cell r="AS66" t="str">
            <v>F1996</v>
          </cell>
          <cell r="AT66">
            <v>1618000</v>
          </cell>
          <cell r="AU66">
            <v>1696000</v>
          </cell>
          <cell r="AV66">
            <v>1751000</v>
          </cell>
          <cell r="AW66">
            <v>1956800</v>
          </cell>
          <cell r="AX66">
            <v>1956800</v>
          </cell>
        </row>
        <row r="67">
          <cell r="AS67" t="str">
            <v>F1997</v>
          </cell>
          <cell r="AT67">
            <v>1978000</v>
          </cell>
          <cell r="AU67">
            <v>1837000</v>
          </cell>
          <cell r="AV67">
            <v>1942000.0600000005</v>
          </cell>
          <cell r="AW67">
            <v>2174200.0600000005</v>
          </cell>
          <cell r="AX67">
            <v>2174200.0600000005</v>
          </cell>
        </row>
        <row r="68">
          <cell r="AS68" t="str">
            <v>F1998</v>
          </cell>
          <cell r="AT68">
            <v>2113000</v>
          </cell>
          <cell r="AU68">
            <v>2203000</v>
          </cell>
          <cell r="AV68">
            <v>2931999.9399999995</v>
          </cell>
          <cell r="AW68">
            <v>2781999.9399999995</v>
          </cell>
          <cell r="AX68">
            <v>2781999.9399999995</v>
          </cell>
        </row>
        <row r="69">
          <cell r="AS69" t="str">
            <v>F1999</v>
          </cell>
          <cell r="AX69">
            <v>4000000</v>
          </cell>
        </row>
        <row r="70">
          <cell r="AS70" t="str">
            <v>F2000</v>
          </cell>
          <cell r="AX70">
            <v>3240000</v>
          </cell>
        </row>
        <row r="71">
          <cell r="AS71" t="str">
            <v>F2001</v>
          </cell>
          <cell r="AX71">
            <v>3600000</v>
          </cell>
        </row>
        <row r="76">
          <cell r="AS76" t="str">
            <v>Revenues</v>
          </cell>
          <cell r="AZ76" t="str">
            <v>Revenues</v>
          </cell>
        </row>
        <row r="77">
          <cell r="AS77" t="str">
            <v>F1989</v>
          </cell>
          <cell r="AT77">
            <v>113484</v>
          </cell>
          <cell r="AU77">
            <v>108304</v>
          </cell>
          <cell r="AV77">
            <v>126078</v>
          </cell>
          <cell r="AW77">
            <v>187977</v>
          </cell>
          <cell r="AX77">
            <v>535843</v>
          </cell>
          <cell r="AZ77" t="str">
            <v>F1989</v>
          </cell>
          <cell r="BA77">
            <v>113484</v>
          </cell>
          <cell r="BB77">
            <v>108304</v>
          </cell>
          <cell r="BC77">
            <v>126078</v>
          </cell>
          <cell r="BD77">
            <v>187977</v>
          </cell>
          <cell r="BE77">
            <v>535843</v>
          </cell>
        </row>
        <row r="78">
          <cell r="AS78" t="str">
            <v>F1990</v>
          </cell>
          <cell r="AT78">
            <v>143264</v>
          </cell>
          <cell r="AU78">
            <v>133515</v>
          </cell>
          <cell r="AV78">
            <v>155007</v>
          </cell>
          <cell r="AW78">
            <v>239939</v>
          </cell>
          <cell r="AX78">
            <v>671725</v>
          </cell>
          <cell r="AZ78" t="str">
            <v>F1990</v>
          </cell>
          <cell r="BA78">
            <v>143264</v>
          </cell>
          <cell r="BB78">
            <v>133515</v>
          </cell>
          <cell r="BC78">
            <v>155007</v>
          </cell>
          <cell r="BD78">
            <v>239939</v>
          </cell>
          <cell r="BE78">
            <v>671725</v>
          </cell>
        </row>
        <row r="79">
          <cell r="AS79" t="str">
            <v>F1991</v>
          </cell>
          <cell r="AT79">
            <v>165467</v>
          </cell>
          <cell r="AU79">
            <v>153619</v>
          </cell>
          <cell r="AV79">
            <v>185041</v>
          </cell>
          <cell r="AW79">
            <v>313835</v>
          </cell>
          <cell r="AX79">
            <v>817962</v>
          </cell>
          <cell r="AZ79" t="str">
            <v>F1991</v>
          </cell>
          <cell r="BA79">
            <v>165467</v>
          </cell>
          <cell r="BB79">
            <v>153619</v>
          </cell>
          <cell r="BC79">
            <v>185041</v>
          </cell>
          <cell r="BD79">
            <v>313835</v>
          </cell>
          <cell r="BE79">
            <v>817962</v>
          </cell>
        </row>
        <row r="80">
          <cell r="AS80" t="str">
            <v>F1992</v>
          </cell>
          <cell r="AT80">
            <v>215814</v>
          </cell>
          <cell r="AU80">
            <v>197053</v>
          </cell>
          <cell r="AV80">
            <v>239751</v>
          </cell>
          <cell r="AW80">
            <v>349709</v>
          </cell>
          <cell r="AX80">
            <v>1002327</v>
          </cell>
          <cell r="AZ80" t="str">
            <v>F1992</v>
          </cell>
          <cell r="BA80">
            <v>215814</v>
          </cell>
          <cell r="BB80">
            <v>197053</v>
          </cell>
          <cell r="BC80">
            <v>239751</v>
          </cell>
          <cell r="BD80">
            <v>349709</v>
          </cell>
          <cell r="BE80">
            <v>1002327</v>
          </cell>
        </row>
        <row r="81">
          <cell r="AS81" t="str">
            <v>F1993</v>
          </cell>
          <cell r="AT81">
            <v>252508</v>
          </cell>
          <cell r="AU81">
            <v>242277</v>
          </cell>
          <cell r="AV81">
            <v>282817</v>
          </cell>
          <cell r="AW81">
            <v>439191</v>
          </cell>
          <cell r="AX81">
            <v>1216793</v>
          </cell>
          <cell r="AZ81" t="str">
            <v>F1993</v>
          </cell>
          <cell r="BA81">
            <v>252508</v>
          </cell>
          <cell r="BB81">
            <v>242277</v>
          </cell>
          <cell r="BC81">
            <v>282817</v>
          </cell>
          <cell r="BD81">
            <v>439191</v>
          </cell>
          <cell r="BE81">
            <v>1216793</v>
          </cell>
        </row>
        <row r="82">
          <cell r="AS82" t="str">
            <v>F1994</v>
          </cell>
          <cell r="AT82">
            <v>322846</v>
          </cell>
          <cell r="AU82">
            <v>303203</v>
          </cell>
          <cell r="AV82">
            <v>358159</v>
          </cell>
          <cell r="AW82">
            <v>523821</v>
          </cell>
          <cell r="AX82">
            <v>1508029</v>
          </cell>
          <cell r="AZ82" t="str">
            <v>F1994</v>
          </cell>
          <cell r="BA82">
            <v>322846</v>
          </cell>
          <cell r="BB82">
            <v>303203</v>
          </cell>
          <cell r="BC82">
            <v>358159</v>
          </cell>
          <cell r="BD82">
            <v>523821</v>
          </cell>
          <cell r="BE82">
            <v>1508029</v>
          </cell>
        </row>
        <row r="83">
          <cell r="AS83" t="str">
            <v>F1995</v>
          </cell>
          <cell r="AT83">
            <v>389763</v>
          </cell>
          <cell r="AU83">
            <v>364061</v>
          </cell>
          <cell r="AV83">
            <v>425483</v>
          </cell>
          <cell r="AW83">
            <v>628824</v>
          </cell>
          <cell r="AX83">
            <v>1808131</v>
          </cell>
          <cell r="AZ83" t="str">
            <v>F1995</v>
          </cell>
          <cell r="BA83">
            <v>389763</v>
          </cell>
          <cell r="BB83">
            <v>364061</v>
          </cell>
          <cell r="BC83">
            <v>425483</v>
          </cell>
          <cell r="BD83">
            <v>628824</v>
          </cell>
          <cell r="BE83">
            <v>1808131</v>
          </cell>
        </row>
        <row r="84">
          <cell r="AS84" t="str">
            <v>F1996</v>
          </cell>
          <cell r="AT84">
            <v>463029</v>
          </cell>
          <cell r="AU84">
            <v>425838</v>
          </cell>
          <cell r="AV84">
            <v>524175</v>
          </cell>
          <cell r="AW84">
            <v>829591</v>
          </cell>
          <cell r="AX84">
            <v>2242633</v>
          </cell>
          <cell r="AZ84" t="str">
            <v>F1996</v>
          </cell>
          <cell r="BA84">
            <v>463029</v>
          </cell>
          <cell r="BB84">
            <v>425838</v>
          </cell>
          <cell r="BC84">
            <v>524175</v>
          </cell>
          <cell r="BD84">
            <v>829591</v>
          </cell>
          <cell r="BE84">
            <v>2242633</v>
          </cell>
        </row>
        <row r="85">
          <cell r="AS85" t="str">
            <v>F1997</v>
          </cell>
        </row>
        <row r="86">
          <cell r="AS86" t="str">
            <v>F1998</v>
          </cell>
        </row>
        <row r="87">
          <cell r="AS87" t="str">
            <v>F1999</v>
          </cell>
        </row>
        <row r="88">
          <cell r="AS88" t="str">
            <v>F2000</v>
          </cell>
        </row>
        <row r="89">
          <cell r="AS89" t="str">
            <v>F2001</v>
          </cell>
        </row>
        <row r="94">
          <cell r="AS94" t="str">
            <v>Forecasted Revenues</v>
          </cell>
        </row>
        <row r="95">
          <cell r="AS95" t="str">
            <v>F1989</v>
          </cell>
          <cell r="AZ95" t="str">
            <v>Forecasted Revenues</v>
          </cell>
        </row>
      </sheetData>
      <sheetData sheetId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untry"/>
      <sheetName val="Plant"/>
      <sheetName val="Platform"/>
      <sheetName val="Names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"/>
      <sheetName val="ICC Cricket World Cup 2007"/>
    </sheetNames>
    <sheetDataSet>
      <sheetData sheetId="0" refreshError="1"/>
      <sheetData sheetId="1">
        <row r="14">
          <cell r="BJ14" t="str">
            <v>Australia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"/>
      <sheetName val="ICC Cricket World Cup 2007"/>
    </sheetNames>
    <sheetDataSet>
      <sheetData sheetId="0" refreshError="1"/>
      <sheetData sheetId="1">
        <row r="14">
          <cell r="BJ14" t="str">
            <v>Australia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"/>
      <sheetName val="ICC Cricket World Cup 2007"/>
    </sheetNames>
    <sheetDataSet>
      <sheetData sheetId="0" refreshError="1"/>
      <sheetData sheetId="1">
        <row r="14">
          <cell r="BJ14" t="str">
            <v>Australia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"/>
      <sheetName val="ICC Cricket World Cup 2007"/>
    </sheetNames>
    <sheetDataSet>
      <sheetData sheetId="0" refreshError="1"/>
      <sheetData sheetId="1">
        <row r="14">
          <cell r="BJ14" t="str">
            <v>Australia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 ST Qs"/>
      <sheetName val="CashFlow"/>
      <sheetName val="BalanceSheet"/>
      <sheetName val="EV_EBITDA"/>
      <sheetName val="INC ST Qs REPORT FORMAT"/>
      <sheetName val="CF REPORT FORMAT"/>
      <sheetName val="BS REPORT FORMAT"/>
      <sheetName val="Sheet1"/>
      <sheetName val="MGA C99 Qs"/>
      <sheetName val="MGA"/>
      <sheetName val="Chart - P-E"/>
      <sheetName val="Production"/>
      <sheetName val="proforma Steyr &amp; Triam"/>
      <sheetName val="Revs vs. Veh Sales, 72-999"/>
      <sheetName val="LTD to Capital"/>
      <sheetName val="$1000 Invested in 1980"/>
      <sheetName val="Convert Payback"/>
      <sheetName val="Convertible Contacts"/>
      <sheetName val="Sheet2"/>
      <sheetName val="Content Bar Chart for Hando (2)"/>
      <sheetName val="Content Bar Chart for Hando (3)"/>
      <sheetName val="Content Bar Chart for Handout"/>
      <sheetName val="Key Program Data"/>
      <sheetName val="Key Program Chart for Handout"/>
      <sheetName val="Magna's Quarterly EPS Changes"/>
      <sheetName val="Magna EPS Changes"/>
      <sheetName val="Magna's Historical Valuation"/>
      <sheetName val="Acquisition Targets"/>
      <sheetName val="European IRR"/>
      <sheetName val="6-96 Equity Offering Contacts"/>
      <sheetName val="Gross Margin Table"/>
      <sheetName val="CAGR"/>
      <sheetName val="D&amp;L Sales Impact"/>
      <sheetName val="Tooling  vs Total Sales"/>
      <sheetName val="Hydroforming"/>
      <sheetName val="Divisions"/>
      <sheetName val="Chart - PE LTM"/>
      <sheetName val="Chart - P-CF LTM"/>
      <sheetName val="Chart - P-Sales LTM"/>
      <sheetName val="Chart Data"/>
      <sheetName val="Chart Integrator Programs"/>
      <sheetName val="ev-ebitda"/>
      <sheetName val="EPS variance table"/>
      <sheetName val="content table 6-11-98"/>
      <sheetName val="P to E Ratio Chart"/>
      <sheetName val="P to CF Chart"/>
      <sheetName val="P to B Chart"/>
      <sheetName val="Content table"/>
      <sheetName val="European Sale &amp; EPS Chart"/>
      <sheetName val="Acquisition Summary"/>
      <sheetName val="Steyr"/>
      <sheetName val="MMH"/>
      <sheetName val="Key Program Data (2)"/>
      <sheetName val="Key Program Chart for Hando (2)"/>
      <sheetName val="USCNMX  Prod&amp;Sales 1985-Current"/>
      <sheetName val="summary"/>
      <sheetName val="INC ST Qs (report)"/>
      <sheetName val="INC ST Qs (static)"/>
      <sheetName val="BS&amp;CF"/>
      <sheetName val="Univ. Q Updates"/>
      <sheetName val="Revs vs. Veh Sales, 72-96"/>
      <sheetName val="Sheet3"/>
      <sheetName val="INC ST Qs W New Production#s"/>
      <sheetName val="INC ST Qs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GA"/>
      <sheetName val="INC ST Qs"/>
      <sheetName val="CashFlow"/>
      <sheetName val="BalanceSheet"/>
      <sheetName val="EV_EBITDA"/>
      <sheetName val="INC ST Qs REPORT FORMAT"/>
      <sheetName val="CF REPORT FORMAT"/>
      <sheetName val="BS REPORT FORMAT"/>
      <sheetName val="Sheet1"/>
      <sheetName val="MGA C99 Qs"/>
      <sheetName val="Chart - P-E"/>
      <sheetName val="Production"/>
      <sheetName val="proforma Steyr &amp; Triam"/>
      <sheetName val="Revs vs. Veh Sales, 72-999"/>
      <sheetName val="LTD to Capital"/>
      <sheetName val="$1000 Invested in 1980"/>
      <sheetName val="Convert Payback"/>
      <sheetName val="Convertible Contacts"/>
      <sheetName val="Sheet2"/>
      <sheetName val="Content Bar Chart for Hando (2)"/>
      <sheetName val="Content Bar Chart for Hando (3)"/>
      <sheetName val="Content Bar Chart for Handout"/>
      <sheetName val="Key Program Data"/>
      <sheetName val="Key Program Chart for Handout"/>
      <sheetName val="Magna's Quarterly EPS Changes"/>
      <sheetName val="Magna EPS Changes"/>
      <sheetName val="Magna's Historical Valuation"/>
      <sheetName val="Acquisition Targets"/>
      <sheetName val="European IRR"/>
      <sheetName val="6-96 Equity Offering Contacts"/>
      <sheetName val="Gross Margin Table"/>
      <sheetName val="CAGR"/>
      <sheetName val="D&amp;L Sales Impact"/>
      <sheetName val="Tooling  vs Total Sales"/>
      <sheetName val="Hydroforming"/>
      <sheetName val="Divisions"/>
      <sheetName val="Chart - PE LTM"/>
      <sheetName val="Chart - P-CF LTM"/>
      <sheetName val="Chart - P-Sales LTM"/>
      <sheetName val="Chart Data"/>
      <sheetName val="Chart Integrator Programs"/>
      <sheetName val="ev-ebitda"/>
      <sheetName val="EPS variance table"/>
      <sheetName val="content table 6-11-98"/>
      <sheetName val="P to E Ratio Chart"/>
      <sheetName val="P to CF Chart"/>
      <sheetName val="P to B Chart"/>
      <sheetName val="Content table"/>
      <sheetName val="European Sale &amp; EPS Chart"/>
      <sheetName val="Acquisition Summary"/>
      <sheetName val="Steyr"/>
      <sheetName val="MMH"/>
      <sheetName val="Key Program Data (2)"/>
      <sheetName val="Key Program Chart for Hando (2)"/>
      <sheetName val="USCNMX  Prod&amp;Sales 1985-Curr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/>
      <sheetData sheetId="40" refreshError="1"/>
      <sheetData sheetId="41"/>
      <sheetData sheetId="42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/>
      <sheetData sheetId="50"/>
      <sheetData sheetId="51"/>
      <sheetData sheetId="52"/>
      <sheetData sheetId="53" refreshError="1"/>
      <sheetData sheetId="54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PL"/>
      <sheetName val="Results"/>
      <sheetName val="BS"/>
      <sheetName val="EVA"/>
      <sheetName val="CF"/>
      <sheetName val="ratio"/>
      <sheetName val="PL Assumption"/>
      <sheetName val="Per Bag Margins"/>
      <sheetName val="BS Assumption"/>
      <sheetName val="LTD"/>
      <sheetName val="DAP Prices"/>
      <sheetName val="Phosphates"/>
      <sheetName val="Urea Prices"/>
      <sheetName val="Gas"/>
      <sheetName val="Dep"/>
      <sheetName val="DCF"/>
      <sheetName val="WACC"/>
      <sheetName val="Beta"/>
      <sheetName val="Report"/>
      <sheetName val="Graphs"/>
      <sheetName val="Domestic Vs Intl DAP prices"/>
      <sheetName val="DAP Input Prices"/>
    </sheetNames>
    <sheetDataSet>
      <sheetData sheetId="0">
        <row r="18">
          <cell r="C18">
            <v>28.5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>
            <v>0.46500000000000002</v>
          </cell>
        </row>
        <row r="5">
          <cell r="B5">
            <v>0.09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B"/>
      <sheetName val="Univ. Q Updates"/>
    </sheetNames>
    <sheetDataSet>
      <sheetData sheetId="0" refreshError="1">
        <row r="3">
          <cell r="A3" t="str">
            <v>Cooper Tire &amp; Rubber Company</v>
          </cell>
          <cell r="Z3" t="str">
            <v>Income Statement</v>
          </cell>
          <cell r="AT3" t="str">
            <v xml:space="preserve">           ($ Thousands)</v>
          </cell>
          <cell r="EE3" t="str">
            <v>Projected Ramp-up Schedules</v>
          </cell>
          <cell r="EK3" t="str">
            <v>Cooper Tire Production Facilities</v>
          </cell>
          <cell r="ER3" t="str">
            <v>Cooper Historical Company-Wide Tire Capacity</v>
          </cell>
          <cell r="HR3" t="str">
            <v>Cooper Cost of Goods Sold Analysis</v>
          </cell>
          <cell r="HY3" t="str">
            <v>Q4/Q3</v>
          </cell>
          <cell r="ID3" t="str">
            <v>Estimated Breakdown of Operating Expenses</v>
          </cell>
        </row>
        <row r="4">
          <cell r="Z4" t="str">
            <v>Year-over-Year % Change</v>
          </cell>
          <cell r="EE4" t="str">
            <v>for Tupelo &amp; Albany Tire Plants</v>
          </cell>
          <cell r="FB4" t="str">
            <v>Material</v>
          </cell>
          <cell r="FF4" t="str">
            <v>Material</v>
          </cell>
          <cell r="FM4" t="str">
            <v xml:space="preserve">   Profitability Characteristics</v>
          </cell>
          <cell r="FU4" t="str">
            <v xml:space="preserve">  Cooper Capital Spending &amp; Depreciation</v>
          </cell>
          <cell r="GR4" t="str">
            <v>Exhibit 10</v>
          </cell>
          <cell r="GZ4" t="str">
            <v>EBIT</v>
          </cell>
          <cell r="HA4" t="str">
            <v>Asset</v>
          </cell>
          <cell r="HB4" t="str">
            <v>EBIT</v>
          </cell>
          <cell r="HD4" t="str">
            <v>1-Tax</v>
          </cell>
          <cell r="HF4" t="str">
            <v>1-Payout</v>
          </cell>
          <cell r="HG4" t="str">
            <v>Sustainable</v>
          </cell>
          <cell r="HK4" t="str">
            <v>Pretax</v>
          </cell>
          <cell r="HM4" t="str">
            <v>Total</v>
          </cell>
          <cell r="HY4" t="str">
            <v>Sales Change</v>
          </cell>
          <cell r="HZ4" t="str">
            <v>Gross Margin Change</v>
          </cell>
          <cell r="IA4" t="str">
            <v>Operating Margin Change</v>
          </cell>
        </row>
        <row r="5">
          <cell r="A5" t="str">
            <v>Income Statement</v>
          </cell>
          <cell r="BY5" t="str">
            <v>SPIN</v>
          </cell>
          <cell r="CR5" t="str">
            <v>Absolute</v>
          </cell>
          <cell r="DD5" t="str">
            <v>Relative</v>
          </cell>
          <cell r="EZ5" t="str">
            <v>Net Sales</v>
          </cell>
          <cell r="FA5" t="str">
            <v>Year/Year</v>
          </cell>
          <cell r="FB5" t="str">
            <v>Conversion</v>
          </cell>
          <cell r="FC5" t="str">
            <v>Year/Year</v>
          </cell>
          <cell r="FF5" t="str">
            <v>Conversion</v>
          </cell>
          <cell r="FH5" t="str">
            <v>Pounds/</v>
          </cell>
          <cell r="FI5" t="str">
            <v>Wages &amp;</v>
          </cell>
          <cell r="FJ5" t="str">
            <v>Cost/</v>
          </cell>
          <cell r="FV5" t="str">
            <v xml:space="preserve">  ($ Thousands)</v>
          </cell>
          <cell r="GZ5" t="str">
            <v>Margin</v>
          </cell>
          <cell r="HA5" t="str">
            <v>Turnover</v>
          </cell>
          <cell r="HB5" t="str">
            <v>ROA</v>
          </cell>
          <cell r="HC5" t="str">
            <v>Leverage</v>
          </cell>
          <cell r="HD5" t="str">
            <v>Rate</v>
          </cell>
          <cell r="HE5" t="str">
            <v>ROE</v>
          </cell>
          <cell r="HF5" t="str">
            <v>Ratio</v>
          </cell>
          <cell r="HG5" t="str">
            <v>Growth</v>
          </cell>
          <cell r="HI5" t="str">
            <v>Sales</v>
          </cell>
          <cell r="HJ5" t="str">
            <v>EBIT</v>
          </cell>
          <cell r="HK5" t="str">
            <v>Profit</v>
          </cell>
          <cell r="HL5" t="str">
            <v>Equity</v>
          </cell>
          <cell r="HM5" t="str">
            <v>Assets</v>
          </cell>
          <cell r="HX5" t="str">
            <v>Year</v>
          </cell>
          <cell r="HY5" t="str">
            <v>(Percentage)</v>
          </cell>
          <cell r="HZ5" t="str">
            <v>(Percentage Points)</v>
          </cell>
          <cell r="IA5" t="str">
            <v>(Percentage Points)</v>
          </cell>
          <cell r="ID5" t="str">
            <v>(Operating Expesnes defined as Cost of Goods</v>
          </cell>
        </row>
        <row r="6">
          <cell r="A6" t="str">
            <v>($ Thousands)</v>
          </cell>
          <cell r="BU6" t="str">
            <v>-</v>
          </cell>
          <cell r="BV6" t="str">
            <v>-</v>
          </cell>
          <cell r="BW6" t="str">
            <v>-</v>
          </cell>
          <cell r="BX6" t="str">
            <v>-</v>
          </cell>
          <cell r="BY6" t="str">
            <v>-</v>
          </cell>
          <cell r="BZ6" t="str">
            <v>-</v>
          </cell>
          <cell r="CA6" t="str">
            <v>-</v>
          </cell>
          <cell r="CB6" t="str">
            <v>-</v>
          </cell>
          <cell r="CC6" t="str">
            <v>-</v>
          </cell>
          <cell r="EP6" t="str">
            <v>Year</v>
          </cell>
          <cell r="ER6" t="str">
            <v>Source by Plant</v>
          </cell>
          <cell r="EU6" t="str">
            <v>Tires/Day</v>
          </cell>
          <cell r="EV6" t="str">
            <v>% Change</v>
          </cell>
          <cell r="EY6" t="str">
            <v>Year</v>
          </cell>
          <cell r="EZ6" t="str">
            <v>($ Mil.)</v>
          </cell>
          <cell r="FA6" t="str">
            <v>% Change</v>
          </cell>
          <cell r="FB6" t="str">
            <v>(Mil. Lbs.)</v>
          </cell>
          <cell r="FC6" t="str">
            <v>% Change</v>
          </cell>
          <cell r="FE6" t="str">
            <v>Year</v>
          </cell>
          <cell r="FF6" t="str">
            <v>(Mil. Lbs.)</v>
          </cell>
          <cell r="FG6" t="str">
            <v>Employees</v>
          </cell>
          <cell r="FH6" t="str">
            <v>Employee</v>
          </cell>
          <cell r="FI6" t="str">
            <v>Benefits</v>
          </cell>
          <cell r="FJ6" t="str">
            <v>Employee</v>
          </cell>
          <cell r="GD6" t="str">
            <v>1979-1984</v>
          </cell>
          <cell r="GF6" t="str">
            <v>1985-1989</v>
          </cell>
          <cell r="GH6" t="str">
            <v>1989A</v>
          </cell>
          <cell r="GJ6" t="str">
            <v>1990E</v>
          </cell>
          <cell r="GL6" t="str">
            <v>1991E</v>
          </cell>
          <cell r="GN6" t="str">
            <v>1992E-1994E</v>
          </cell>
          <cell r="GR6" t="str">
            <v>Cooper Tire &amp; Rubber</v>
          </cell>
          <cell r="GY6">
            <v>1981</v>
          </cell>
          <cell r="HP6" t="str">
            <v>Wages &amp;</v>
          </cell>
          <cell r="HQ6" t="str">
            <v>Depreciation</v>
          </cell>
          <cell r="HR6" t="str">
            <v>Maintenance</v>
          </cell>
          <cell r="HS6" t="str">
            <v>Research &amp;</v>
          </cell>
          <cell r="HX6">
            <v>1988</v>
          </cell>
          <cell r="HY6">
            <v>-6.2068650772267753E-2</v>
          </cell>
          <cell r="HZ6">
            <v>3.0547100231794619</v>
          </cell>
          <cell r="IA6">
            <v>2.9055946900096838</v>
          </cell>
          <cell r="ID6" t="str">
            <v>Sold and Selling, General &amp; Administrative Expenses)</v>
          </cell>
        </row>
        <row r="7">
          <cell r="BV7" t="str">
            <v>P/E</v>
          </cell>
          <cell r="BY7" t="str">
            <v>P/B</v>
          </cell>
          <cell r="CB7" t="str">
            <v>P/CF</v>
          </cell>
          <cell r="CR7" t="str">
            <v>P/E</v>
          </cell>
          <cell r="CV7" t="str">
            <v>P/B</v>
          </cell>
          <cell r="CZ7" t="str">
            <v>P/CF</v>
          </cell>
          <cell r="DE7" t="str">
            <v>P/E</v>
          </cell>
          <cell r="DI7" t="str">
            <v>P/B</v>
          </cell>
          <cell r="DM7" t="str">
            <v>P/CF</v>
          </cell>
          <cell r="EE7" t="str">
            <v xml:space="preserve">     Tupelo, Mississippi Plant</v>
          </cell>
          <cell r="EM7" t="str">
            <v>Est. Unit</v>
          </cell>
          <cell r="EN7" t="str">
            <v>Tires per</v>
          </cell>
          <cell r="EP7">
            <v>1977</v>
          </cell>
          <cell r="ER7" t="str">
            <v>Findlay, Texarkana</v>
          </cell>
          <cell r="EU7">
            <v>32000</v>
          </cell>
          <cell r="EY7" t="str">
            <v>-</v>
          </cell>
          <cell r="EZ7" t="str">
            <v>-</v>
          </cell>
          <cell r="FA7" t="str">
            <v>-</v>
          </cell>
          <cell r="FB7" t="str">
            <v>-</v>
          </cell>
          <cell r="FC7" t="str">
            <v>-</v>
          </cell>
          <cell r="FE7" t="str">
            <v>-</v>
          </cell>
          <cell r="FF7" t="str">
            <v>-</v>
          </cell>
          <cell r="FG7" t="str">
            <v>-</v>
          </cell>
          <cell r="FH7" t="str">
            <v>-</v>
          </cell>
          <cell r="FI7" t="str">
            <v>-</v>
          </cell>
          <cell r="FJ7" t="str">
            <v>-</v>
          </cell>
          <cell r="FM7" t="str">
            <v>Cash Flow/</v>
          </cell>
          <cell r="FP7" t="str">
            <v>Reinvest-</v>
          </cell>
          <cell r="GD7" t="str">
            <v>-</v>
          </cell>
          <cell r="GF7" t="str">
            <v>-</v>
          </cell>
          <cell r="GH7" t="str">
            <v>-</v>
          </cell>
          <cell r="GJ7" t="str">
            <v>-</v>
          </cell>
          <cell r="GL7" t="str">
            <v>-</v>
          </cell>
          <cell r="GN7" t="str">
            <v>-</v>
          </cell>
          <cell r="GR7" t="str">
            <v>Historical &amp; Projected Components of EPS Growth</v>
          </cell>
          <cell r="GY7">
            <v>1982</v>
          </cell>
          <cell r="HO7" t="str">
            <v>Year</v>
          </cell>
          <cell r="HP7" t="str">
            <v>Benefits</v>
          </cell>
          <cell r="HQ7" t="str">
            <v>&amp; Amortization</v>
          </cell>
          <cell r="HR7" t="str">
            <v>&amp; Repairs</v>
          </cell>
          <cell r="HS7" t="str">
            <v>Development</v>
          </cell>
          <cell r="HT7" t="str">
            <v>Other</v>
          </cell>
          <cell r="HU7" t="str">
            <v>Total CGS</v>
          </cell>
          <cell r="HX7">
            <v>1989</v>
          </cell>
          <cell r="HY7">
            <v>-0.10818225920007984</v>
          </cell>
          <cell r="HZ7">
            <v>3.3867023794874633</v>
          </cell>
          <cell r="IA7">
            <v>3.3867023794874633</v>
          </cell>
        </row>
        <row r="8">
          <cell r="B8">
            <v>1983</v>
          </cell>
          <cell r="C8">
            <v>1984</v>
          </cell>
          <cell r="D8">
            <v>1985</v>
          </cell>
          <cell r="E8">
            <v>1986</v>
          </cell>
          <cell r="F8">
            <v>1987</v>
          </cell>
          <cell r="G8">
            <v>1988</v>
          </cell>
          <cell r="H8">
            <v>1989</v>
          </cell>
          <cell r="I8" t="str">
            <v>1990</v>
          </cell>
          <cell r="J8" t="str">
            <v>1991</v>
          </cell>
          <cell r="K8" t="str">
            <v>1992</v>
          </cell>
          <cell r="L8">
            <v>1993</v>
          </cell>
          <cell r="M8">
            <v>1994</v>
          </cell>
          <cell r="N8">
            <v>1995</v>
          </cell>
          <cell r="O8">
            <v>1996</v>
          </cell>
          <cell r="P8">
            <v>1997</v>
          </cell>
          <cell r="Q8" t="str">
            <v>1998E</v>
          </cell>
          <cell r="R8" t="str">
            <v>1999E</v>
          </cell>
          <cell r="S8" t="str">
            <v>1983-97</v>
          </cell>
          <cell r="V8">
            <v>1984</v>
          </cell>
          <cell r="W8">
            <v>1985</v>
          </cell>
          <cell r="X8">
            <v>1986</v>
          </cell>
          <cell r="Y8">
            <v>1987</v>
          </cell>
          <cell r="Z8">
            <v>1988</v>
          </cell>
          <cell r="AA8">
            <v>1989</v>
          </cell>
          <cell r="AB8" t="str">
            <v>1990</v>
          </cell>
          <cell r="AC8" t="str">
            <v>1991</v>
          </cell>
          <cell r="AD8" t="str">
            <v>1992</v>
          </cell>
          <cell r="AE8">
            <v>1993</v>
          </cell>
          <cell r="AF8">
            <v>1994</v>
          </cell>
          <cell r="AG8">
            <v>1995</v>
          </cell>
          <cell r="AH8">
            <v>1996</v>
          </cell>
          <cell r="AI8">
            <v>1997</v>
          </cell>
          <cell r="AJ8" t="str">
            <v>1998E</v>
          </cell>
          <cell r="AK8" t="str">
            <v>1998E</v>
          </cell>
          <cell r="AN8" t="str">
            <v>Net</v>
          </cell>
          <cell r="AO8" t="str">
            <v>Gross</v>
          </cell>
          <cell r="AP8" t="str">
            <v>Gross</v>
          </cell>
          <cell r="AQ8" t="str">
            <v>Oper.</v>
          </cell>
          <cell r="AR8" t="str">
            <v>Oper.</v>
          </cell>
          <cell r="AS8" t="str">
            <v>Pretax</v>
          </cell>
          <cell r="AT8" t="str">
            <v>Pretax</v>
          </cell>
          <cell r="AU8" t="str">
            <v>Tax</v>
          </cell>
          <cell r="AV8" t="str">
            <v>Net</v>
          </cell>
          <cell r="AW8" t="str">
            <v>Net</v>
          </cell>
          <cell r="AY8" t="str">
            <v>Capital</v>
          </cell>
          <cell r="AZ8" t="str">
            <v>Depr. &amp;</v>
          </cell>
          <cell r="BA8" t="str">
            <v>Total</v>
          </cell>
          <cell r="BB8" t="str">
            <v>LT</v>
          </cell>
          <cell r="BC8" t="str">
            <v>Common</v>
          </cell>
          <cell r="BD8" t="str">
            <v>LT Debt/</v>
          </cell>
          <cell r="BN8" t="str">
            <v>Capex %</v>
          </cell>
          <cell r="BQ8" t="str">
            <v>Avg.</v>
          </cell>
          <cell r="BR8" t="str">
            <v>BV/</v>
          </cell>
          <cell r="BS8" t="str">
            <v>CF/</v>
          </cell>
          <cell r="BU8" t="str">
            <v>-</v>
          </cell>
          <cell r="BV8" t="str">
            <v>-</v>
          </cell>
          <cell r="BW8" t="str">
            <v>-</v>
          </cell>
          <cell r="BX8" t="str">
            <v>-</v>
          </cell>
          <cell r="BY8" t="str">
            <v>-</v>
          </cell>
          <cell r="BZ8" t="str">
            <v>-</v>
          </cell>
          <cell r="CA8" t="str">
            <v>-</v>
          </cell>
          <cell r="CB8" t="str">
            <v>-</v>
          </cell>
          <cell r="CC8" t="str">
            <v>-</v>
          </cell>
          <cell r="DW8">
            <v>1979</v>
          </cell>
          <cell r="DX8">
            <v>3687</v>
          </cell>
          <cell r="DY8">
            <v>76.82017900732302</v>
          </cell>
          <cell r="EA8">
            <v>166.8</v>
          </cell>
          <cell r="EL8" t="str">
            <v>Square</v>
          </cell>
          <cell r="EM8" t="str">
            <v>Production</v>
          </cell>
          <cell r="EN8" t="str">
            <v>Thousand</v>
          </cell>
          <cell r="EP8">
            <v>1978</v>
          </cell>
          <cell r="ER8" t="str">
            <v>Findlay, Texarkana</v>
          </cell>
          <cell r="EU8">
            <v>35500</v>
          </cell>
          <cell r="EV8">
            <v>0.109375</v>
          </cell>
          <cell r="EY8" t="str">
            <v>1989</v>
          </cell>
          <cell r="EZ8">
            <v>866805</v>
          </cell>
          <cell r="FA8">
            <v>0.15878064040041062</v>
          </cell>
          <cell r="FB8">
            <v>297</v>
          </cell>
          <cell r="FC8">
            <v>0.12927756653992395</v>
          </cell>
          <cell r="FE8">
            <v>1979</v>
          </cell>
          <cell r="FF8">
            <v>132</v>
          </cell>
          <cell r="FG8">
            <v>3687</v>
          </cell>
          <cell r="FH8">
            <v>35801.464605370216</v>
          </cell>
          <cell r="FI8">
            <v>77564</v>
          </cell>
          <cell r="FJ8">
            <v>21037.157580688909</v>
          </cell>
          <cell r="FM8" t="str">
            <v>Book Value</v>
          </cell>
          <cell r="FN8" t="str">
            <v>ROE</v>
          </cell>
          <cell r="FO8" t="str">
            <v>ROC</v>
          </cell>
          <cell r="FP8" t="str">
            <v>ment Rate</v>
          </cell>
          <cell r="GC8" t="str">
            <v>(1) Estimted Volume*</v>
          </cell>
          <cell r="GD8">
            <v>7.3999999999999996E-2</v>
          </cell>
          <cell r="GF8">
            <v>0.14499999999999999</v>
          </cell>
          <cell r="GH8">
            <v>0.129</v>
          </cell>
          <cell r="GJ8">
            <v>6.4000000000000001E-2</v>
          </cell>
          <cell r="GL8">
            <v>5.6000000000000001E-2</v>
          </cell>
          <cell r="GN8">
            <v>0.1</v>
          </cell>
          <cell r="GY8">
            <v>1983</v>
          </cell>
          <cell r="HI8">
            <v>457780</v>
          </cell>
          <cell r="HJ8">
            <v>42911</v>
          </cell>
          <cell r="HO8">
            <v>1991</v>
          </cell>
          <cell r="HP8">
            <v>266683</v>
          </cell>
          <cell r="HQ8">
            <v>31969</v>
          </cell>
          <cell r="HR8">
            <v>28506</v>
          </cell>
          <cell r="HS8">
            <v>14000</v>
          </cell>
          <cell r="HT8">
            <v>479481.02500000002</v>
          </cell>
          <cell r="HU8">
            <v>820639.02500000002</v>
          </cell>
          <cell r="HX8">
            <v>1990</v>
          </cell>
          <cell r="HY8">
            <v>-0.11237931495304121</v>
          </cell>
          <cell r="HZ8">
            <v>2.9652082199735581</v>
          </cell>
          <cell r="IA8">
            <v>2.9652082199735581</v>
          </cell>
        </row>
        <row r="9">
          <cell r="A9" t="str">
            <v>Net Sales</v>
          </cell>
        </row>
        <row r="10">
          <cell r="A10" t="str">
            <v>Cost of Goods Sold</v>
          </cell>
        </row>
        <row r="11">
          <cell r="A11" t="str">
            <v xml:space="preserve">  Gross Profit</v>
          </cell>
        </row>
        <row r="13">
          <cell r="A13" t="str">
            <v>SG&amp;A</v>
          </cell>
        </row>
        <row r="14">
          <cell r="A14" t="str">
            <v xml:space="preserve">  Operating Profit</v>
          </cell>
        </row>
        <row r="16">
          <cell r="A16" t="str">
            <v>Other Income</v>
          </cell>
        </row>
        <row r="17">
          <cell r="A17" t="str">
            <v>Interest Expense</v>
          </cell>
        </row>
        <row r="18">
          <cell r="A18" t="str">
            <v>Foreign Currency Gains (Losses)</v>
          </cell>
        </row>
        <row r="20">
          <cell r="A20" t="str">
            <v xml:space="preserve">  Pretax Profit</v>
          </cell>
        </row>
        <row r="22">
          <cell r="A22" t="str">
            <v>Income Taxes</v>
          </cell>
        </row>
        <row r="23">
          <cell r="A23" t="str">
            <v xml:space="preserve">  Net Income</v>
          </cell>
        </row>
        <row r="25">
          <cell r="A25" t="str">
            <v>Earnings per Share</v>
          </cell>
        </row>
        <row r="28">
          <cell r="A28" t="str">
            <v>Average Shares Out.</v>
          </cell>
        </row>
        <row r="29">
          <cell r="A29" t="str">
            <v>Ending Shares Out.</v>
          </cell>
        </row>
        <row r="31">
          <cell r="A31" t="str">
            <v>Margins (%):</v>
          </cell>
        </row>
        <row r="32">
          <cell r="A32" t="str">
            <v xml:space="preserve">  Gross Margin</v>
          </cell>
        </row>
        <row r="33">
          <cell r="A33" t="str">
            <v xml:space="preserve">  Operating Margin</v>
          </cell>
        </row>
        <row r="34">
          <cell r="A34" t="str">
            <v xml:space="preserve">  Pretax Margin</v>
          </cell>
        </row>
        <row r="35">
          <cell r="A35" t="str">
            <v xml:space="preserve">  Net Margin</v>
          </cell>
        </row>
        <row r="37">
          <cell r="A37" t="str">
            <v>% of Net Sales:</v>
          </cell>
        </row>
        <row r="38">
          <cell r="A38" t="str">
            <v xml:space="preserve">  Cost of Goods Sold</v>
          </cell>
        </row>
        <row r="39">
          <cell r="A39" t="str">
            <v xml:space="preserve">  SG&amp;A</v>
          </cell>
        </row>
        <row r="40">
          <cell r="A40" t="str">
            <v xml:space="preserve">  Other Income</v>
          </cell>
        </row>
        <row r="41">
          <cell r="A41" t="str">
            <v xml:space="preserve">  Interest Expense</v>
          </cell>
        </row>
        <row r="43">
          <cell r="A43" t="str">
            <v>Effective Tax Rate</v>
          </cell>
        </row>
        <row r="45">
          <cell r="A45" t="str">
            <v>Dividend</v>
          </cell>
        </row>
        <row r="46">
          <cell r="A46" t="str">
            <v>Payout Ratio</v>
          </cell>
        </row>
        <row r="48">
          <cell r="A48" t="str">
            <v>Key Elements of Cash Flow:</v>
          </cell>
        </row>
        <row r="49">
          <cell r="A49" t="str">
            <v xml:space="preserve">  Net Income</v>
          </cell>
        </row>
        <row r="50">
          <cell r="A50" t="str">
            <v xml:space="preserve">  + Depreciation &amp; Amortization</v>
          </cell>
        </row>
        <row r="51">
          <cell r="A51" t="str">
            <v xml:space="preserve">  = Gross Cash Flow</v>
          </cell>
        </row>
        <row r="52">
          <cell r="A52" t="str">
            <v xml:space="preserve">      per Share</v>
          </cell>
        </row>
        <row r="53">
          <cell r="A53" t="str">
            <v xml:space="preserve">  - Capital Expenditures</v>
          </cell>
        </row>
        <row r="54">
          <cell r="A54" t="str">
            <v xml:space="preserve">  = Operating Cash Flow</v>
          </cell>
        </row>
        <row r="55">
          <cell r="A55" t="str">
            <v xml:space="preserve">      per Share</v>
          </cell>
        </row>
        <row r="57">
          <cell r="A57" t="str">
            <v>Capital Expenditures % of Sales</v>
          </cell>
        </row>
        <row r="59">
          <cell r="A59" t="str">
            <v>Employees</v>
          </cell>
        </row>
        <row r="60">
          <cell r="A60" t="str">
            <v>Sales per Employee</v>
          </cell>
        </row>
        <row r="62">
          <cell r="A62" t="str">
            <v>All per share figures reflect two-for-one splits in 1992, 1990, 1988, and 1983.</v>
          </cell>
        </row>
        <row r="65">
          <cell r="A65" t="str">
            <v>Operating Expenses</v>
          </cell>
        </row>
        <row r="68">
          <cell r="A68" t="str">
            <v>EBIT</v>
          </cell>
        </row>
        <row r="69">
          <cell r="A69" t="str">
            <v>EBITDA</v>
          </cell>
        </row>
        <row r="71">
          <cell r="A71" t="str">
            <v>Avg. Price</v>
          </cell>
        </row>
        <row r="72">
          <cell r="A72" t="str">
            <v>Enterprise Value</v>
          </cell>
        </row>
        <row r="74">
          <cell r="A74" t="str">
            <v>EV/EBITDA</v>
          </cell>
        </row>
        <row r="88">
          <cell r="A88" t="str">
            <v>Net Sales</v>
          </cell>
        </row>
        <row r="89">
          <cell r="A89" t="str">
            <v>Cost of Goods Sold</v>
          </cell>
        </row>
        <row r="91">
          <cell r="A91" t="str">
            <v xml:space="preserve">  Gross Profit</v>
          </cell>
        </row>
        <row r="93">
          <cell r="A93" t="str">
            <v>SG&amp;A</v>
          </cell>
        </row>
        <row r="95">
          <cell r="A95" t="str">
            <v xml:space="preserve">  Operating Profit</v>
          </cell>
        </row>
        <row r="97">
          <cell r="A97" t="str">
            <v>Other Income</v>
          </cell>
        </row>
        <row r="98">
          <cell r="A98" t="str">
            <v>Interest Expense</v>
          </cell>
        </row>
        <row r="100">
          <cell r="A100" t="str">
            <v xml:space="preserve">  Pretax Profit</v>
          </cell>
        </row>
        <row r="102">
          <cell r="A102" t="str">
            <v>Income Taxes</v>
          </cell>
        </row>
        <row r="104">
          <cell r="A104" t="str">
            <v xml:space="preserve">  Net Income</v>
          </cell>
        </row>
        <row r="106">
          <cell r="A106" t="str">
            <v>Earnings per Share</v>
          </cell>
        </row>
        <row r="109">
          <cell r="A109" t="str">
            <v>Average Shares Out.</v>
          </cell>
        </row>
        <row r="110">
          <cell r="A110" t="str">
            <v>Ending Shares Out.</v>
          </cell>
        </row>
        <row r="114">
          <cell r="A114" t="str">
            <v>Margins (%):</v>
          </cell>
        </row>
        <row r="115">
          <cell r="A115" t="str">
            <v xml:space="preserve">  Gross Margin</v>
          </cell>
        </row>
        <row r="116">
          <cell r="A116" t="str">
            <v xml:space="preserve">  Operating Margin</v>
          </cell>
        </row>
        <row r="117">
          <cell r="A117" t="str">
            <v xml:space="preserve">  Pretax Margin</v>
          </cell>
        </row>
        <row r="118">
          <cell r="A118" t="str">
            <v xml:space="preserve">  Net Margin</v>
          </cell>
        </row>
        <row r="120">
          <cell r="A120" t="str">
            <v>% of Net Sales:</v>
          </cell>
        </row>
        <row r="121">
          <cell r="A121" t="str">
            <v xml:space="preserve">  Cost of Goods Sold</v>
          </cell>
        </row>
        <row r="122">
          <cell r="A122" t="str">
            <v xml:space="preserve">  SG&amp;A</v>
          </cell>
        </row>
        <row r="124">
          <cell r="A124" t="str">
            <v>Effective Tax Rate</v>
          </cell>
        </row>
        <row r="130">
          <cell r="A130" t="str">
            <v>Source:  Wertheim Schroder &amp; Co. Incorporated</v>
          </cell>
        </row>
        <row r="145">
          <cell r="A145" t="str">
            <v>Net Sales</v>
          </cell>
        </row>
        <row r="146">
          <cell r="A146" t="str">
            <v>Cost of Goods Sold</v>
          </cell>
        </row>
        <row r="148">
          <cell r="A148" t="str">
            <v xml:space="preserve">  Gross Profit</v>
          </cell>
        </row>
        <row r="150">
          <cell r="A150" t="str">
            <v>SG&amp;A</v>
          </cell>
        </row>
        <row r="152">
          <cell r="A152" t="str">
            <v xml:space="preserve">  Operating Profit</v>
          </cell>
        </row>
        <row r="154">
          <cell r="A154" t="str">
            <v>Other Income</v>
          </cell>
        </row>
        <row r="155">
          <cell r="A155" t="str">
            <v>Interest Expense</v>
          </cell>
        </row>
        <row r="157">
          <cell r="A157" t="str">
            <v xml:space="preserve">  Pretax Profit</v>
          </cell>
        </row>
        <row r="159">
          <cell r="A159" t="str">
            <v>Income Taxes</v>
          </cell>
        </row>
        <row r="161">
          <cell r="A161" t="str">
            <v xml:space="preserve">  Net Income</v>
          </cell>
        </row>
        <row r="163">
          <cell r="A163" t="str">
            <v>Earnings per Share</v>
          </cell>
        </row>
        <row r="166">
          <cell r="A166" t="str">
            <v>Average Shares Out.</v>
          </cell>
        </row>
        <row r="167">
          <cell r="A167" t="str">
            <v>Ending Shares Out.</v>
          </cell>
        </row>
        <row r="171">
          <cell r="A171" t="str">
            <v>Margins (%):</v>
          </cell>
        </row>
        <row r="172">
          <cell r="A172" t="str">
            <v xml:space="preserve">  Gross Margin</v>
          </cell>
        </row>
        <row r="173">
          <cell r="A173" t="str">
            <v xml:space="preserve">  Operating Margin</v>
          </cell>
        </row>
        <row r="174">
          <cell r="A174" t="str">
            <v xml:space="preserve">  Pretax Margin</v>
          </cell>
        </row>
        <row r="175">
          <cell r="A175" t="str">
            <v xml:space="preserve">  Net Margin</v>
          </cell>
        </row>
        <row r="177">
          <cell r="A177" t="str">
            <v>% of Net Sales:</v>
          </cell>
        </row>
        <row r="178">
          <cell r="A178" t="str">
            <v xml:space="preserve">  Cost of Goods Sold</v>
          </cell>
        </row>
        <row r="179">
          <cell r="A179" t="str">
            <v xml:space="preserve">  SG&amp;A</v>
          </cell>
        </row>
        <row r="181">
          <cell r="A181" t="str">
            <v>Effective Tax Rate</v>
          </cell>
        </row>
        <row r="187">
          <cell r="A187" t="str">
            <v>Source:  Wertheim Schroder &amp; Co. Incorporated</v>
          </cell>
        </row>
        <row r="202">
          <cell r="A202" t="str">
            <v>Net Sales</v>
          </cell>
        </row>
        <row r="203">
          <cell r="A203" t="str">
            <v>Cost of Goods Sold</v>
          </cell>
        </row>
        <row r="205">
          <cell r="A205" t="str">
            <v xml:space="preserve">  Gross Profit</v>
          </cell>
        </row>
        <row r="207">
          <cell r="A207" t="str">
            <v>SG&amp;A</v>
          </cell>
        </row>
        <row r="209">
          <cell r="A209" t="str">
            <v xml:space="preserve">  Operating Profit</v>
          </cell>
        </row>
        <row r="211">
          <cell r="A211" t="str">
            <v>Other Income</v>
          </cell>
        </row>
        <row r="212">
          <cell r="A212" t="str">
            <v>Interest Expense</v>
          </cell>
        </row>
        <row r="214">
          <cell r="A214" t="str">
            <v xml:space="preserve">  Pretax Profit</v>
          </cell>
        </row>
        <row r="216">
          <cell r="A216" t="str">
            <v>Income Taxes</v>
          </cell>
        </row>
        <row r="218">
          <cell r="A218" t="str">
            <v xml:space="preserve">  Net Income</v>
          </cell>
        </row>
        <row r="220">
          <cell r="A220" t="str">
            <v>Earnings per Share</v>
          </cell>
        </row>
        <row r="223">
          <cell r="A223" t="str">
            <v>Average Shares Out.</v>
          </cell>
        </row>
        <row r="224">
          <cell r="A224" t="str">
            <v>Ending Shares Out.</v>
          </cell>
        </row>
        <row r="228">
          <cell r="A228" t="str">
            <v>Margins (%):</v>
          </cell>
        </row>
        <row r="229">
          <cell r="A229" t="str">
            <v xml:space="preserve">  Gross Margin</v>
          </cell>
        </row>
        <row r="230">
          <cell r="A230" t="str">
            <v xml:space="preserve">  Operating Margin</v>
          </cell>
        </row>
        <row r="231">
          <cell r="A231" t="str">
            <v xml:space="preserve">  Pretax Margin</v>
          </cell>
        </row>
        <row r="232">
          <cell r="A232" t="str">
            <v xml:space="preserve">  Net Margin</v>
          </cell>
        </row>
        <row r="234">
          <cell r="A234" t="str">
            <v>% of Net Sales:</v>
          </cell>
        </row>
        <row r="235">
          <cell r="A235" t="str">
            <v xml:space="preserve">  Cost of Goods Sold</v>
          </cell>
        </row>
        <row r="236">
          <cell r="A236" t="str">
            <v xml:space="preserve">  SG&amp;A</v>
          </cell>
        </row>
        <row r="238">
          <cell r="A238" t="str">
            <v>Effective Tax Rate</v>
          </cell>
        </row>
        <row r="244">
          <cell r="A244" t="str">
            <v>Source:  Wertheim Schroder &amp; Co. Incorporated</v>
          </cell>
        </row>
        <row r="246">
          <cell r="A246" t="str">
            <v>1990</v>
          </cell>
        </row>
        <row r="247">
          <cell r="A247" t="str">
            <v>Sales per Day</v>
          </cell>
        </row>
        <row r="248">
          <cell r="A248" t="str">
            <v>Inventories</v>
          </cell>
        </row>
        <row r="249">
          <cell r="A249" t="str">
            <v>Days' Supply</v>
          </cell>
        </row>
        <row r="262">
          <cell r="A262" t="str">
            <v>Net Sales</v>
          </cell>
        </row>
        <row r="263">
          <cell r="A263" t="str">
            <v>Cost of Goods Sold</v>
          </cell>
        </row>
        <row r="265">
          <cell r="A265" t="str">
            <v xml:space="preserve">  Gross Profit</v>
          </cell>
        </row>
        <row r="267">
          <cell r="A267" t="str">
            <v>SG&amp;A</v>
          </cell>
        </row>
        <row r="269">
          <cell r="A269" t="str">
            <v xml:space="preserve">  Operating Profit</v>
          </cell>
        </row>
        <row r="271">
          <cell r="A271" t="str">
            <v>Other Income</v>
          </cell>
        </row>
        <row r="272">
          <cell r="A272" t="str">
            <v>Interest Expense</v>
          </cell>
        </row>
        <row r="274">
          <cell r="A274" t="str">
            <v xml:space="preserve">  Pretax Profit</v>
          </cell>
        </row>
        <row r="276">
          <cell r="A276" t="str">
            <v>Income Taxes</v>
          </cell>
        </row>
        <row r="278">
          <cell r="A278" t="str">
            <v xml:space="preserve">  Net Income</v>
          </cell>
        </row>
        <row r="280">
          <cell r="A280" t="str">
            <v>Earnings per Share</v>
          </cell>
        </row>
        <row r="283">
          <cell r="A283" t="str">
            <v>Average Shares Out.</v>
          </cell>
        </row>
        <row r="284">
          <cell r="A284" t="str">
            <v>Ending Shares Out.</v>
          </cell>
        </row>
        <row r="288">
          <cell r="A288" t="str">
            <v>Margins (%):</v>
          </cell>
        </row>
        <row r="289">
          <cell r="A289" t="str">
            <v xml:space="preserve">  Gross Margin</v>
          </cell>
        </row>
        <row r="290">
          <cell r="A290" t="str">
            <v xml:space="preserve">  Operating Margin</v>
          </cell>
        </row>
        <row r="291">
          <cell r="A291" t="str">
            <v xml:space="preserve">  Pretax Margin</v>
          </cell>
        </row>
        <row r="292">
          <cell r="A292" t="str">
            <v xml:space="preserve">  Net Margin</v>
          </cell>
        </row>
        <row r="294">
          <cell r="A294" t="str">
            <v>% of Net Sales:</v>
          </cell>
        </row>
        <row r="295">
          <cell r="A295" t="str">
            <v xml:space="preserve">  Cost of Goods Sold</v>
          </cell>
        </row>
        <row r="296">
          <cell r="A296" t="str">
            <v xml:space="preserve">  SG&amp;A</v>
          </cell>
        </row>
        <row r="298">
          <cell r="A298" t="str">
            <v>Effective Tax Rate</v>
          </cell>
        </row>
        <row r="304">
          <cell r="A304" t="str">
            <v>Source:  Wertheim Schroder &amp; Co. Incorporated</v>
          </cell>
        </row>
        <row r="306">
          <cell r="A306" t="str">
            <v>1991</v>
          </cell>
        </row>
        <row r="307">
          <cell r="A307" t="str">
            <v>Sales per Day</v>
          </cell>
        </row>
        <row r="308">
          <cell r="A308" t="str">
            <v>Inventories</v>
          </cell>
        </row>
        <row r="309">
          <cell r="A309" t="str">
            <v>Days' Supply</v>
          </cell>
        </row>
        <row r="323">
          <cell r="A323" t="str">
            <v>Net Sales</v>
          </cell>
        </row>
        <row r="324">
          <cell r="A324" t="str">
            <v>Cost of Goods Sold</v>
          </cell>
        </row>
        <row r="326">
          <cell r="A326" t="str">
            <v xml:space="preserve">  Gross Profit</v>
          </cell>
        </row>
        <row r="328">
          <cell r="A328" t="str">
            <v>SG&amp;A</v>
          </cell>
        </row>
        <row r="330">
          <cell r="A330" t="str">
            <v xml:space="preserve">  Operating Profit</v>
          </cell>
        </row>
        <row r="332">
          <cell r="A332" t="str">
            <v>Other Income</v>
          </cell>
        </row>
        <row r="333">
          <cell r="A333" t="str">
            <v>Interest Expense</v>
          </cell>
        </row>
        <row r="335">
          <cell r="A335" t="str">
            <v xml:space="preserve">  Pretax Profit</v>
          </cell>
        </row>
        <row r="337">
          <cell r="A337" t="str">
            <v>Income Taxes</v>
          </cell>
        </row>
        <row r="339">
          <cell r="A339" t="str">
            <v xml:space="preserve">  Net Income</v>
          </cell>
        </row>
        <row r="341">
          <cell r="A341" t="str">
            <v>Earnings per Share</v>
          </cell>
        </row>
        <row r="344">
          <cell r="A344" t="str">
            <v>Average Shares Out.</v>
          </cell>
        </row>
        <row r="345">
          <cell r="A345" t="str">
            <v>Ending Shares Out.</v>
          </cell>
        </row>
        <row r="349">
          <cell r="A349" t="str">
            <v>Margins (%):</v>
          </cell>
        </row>
        <row r="350">
          <cell r="A350" t="str">
            <v xml:space="preserve">  Gross Margin</v>
          </cell>
        </row>
        <row r="351">
          <cell r="A351" t="str">
            <v xml:space="preserve">  Operating Margin</v>
          </cell>
        </row>
        <row r="352">
          <cell r="A352" t="str">
            <v xml:space="preserve">  Pretax Margin</v>
          </cell>
        </row>
        <row r="353">
          <cell r="A353" t="str">
            <v xml:space="preserve">  Net Margin</v>
          </cell>
        </row>
        <row r="355">
          <cell r="A355" t="str">
            <v>% of Net Sales:</v>
          </cell>
        </row>
        <row r="356">
          <cell r="A356" t="str">
            <v xml:space="preserve">  Cost of Goods Sold</v>
          </cell>
        </row>
        <row r="357">
          <cell r="A357" t="str">
            <v xml:space="preserve">  SG&amp;A</v>
          </cell>
        </row>
        <row r="359">
          <cell r="A359" t="str">
            <v>Effective Tax Rate</v>
          </cell>
        </row>
        <row r="361">
          <cell r="A361" t="str">
            <v>Note:  All 1992 quarters have been restated to reflect ongoing FAS 106 expenses.</v>
          </cell>
        </row>
        <row r="365">
          <cell r="A365" t="str">
            <v>Source:  Wertheim Schroder &amp; Co. Incorporated</v>
          </cell>
        </row>
        <row r="367">
          <cell r="A367" t="str">
            <v>1992</v>
          </cell>
        </row>
        <row r="368">
          <cell r="A368" t="str">
            <v>Sales per Day</v>
          </cell>
        </row>
        <row r="369">
          <cell r="A369" t="str">
            <v>Inventories</v>
          </cell>
        </row>
        <row r="370">
          <cell r="A370" t="str">
            <v>Days' Supply</v>
          </cell>
        </row>
        <row r="383">
          <cell r="A383" t="str">
            <v>Net Sales</v>
          </cell>
        </row>
        <row r="384">
          <cell r="A384" t="str">
            <v>Cost of Goods Sold</v>
          </cell>
        </row>
        <row r="386">
          <cell r="A386" t="str">
            <v xml:space="preserve">  Gross Profit</v>
          </cell>
        </row>
        <row r="388">
          <cell r="A388" t="str">
            <v>SG&amp;A</v>
          </cell>
        </row>
        <row r="390">
          <cell r="A390" t="str">
            <v xml:space="preserve">  Operating Profit</v>
          </cell>
        </row>
        <row r="392">
          <cell r="A392" t="str">
            <v>Other Income</v>
          </cell>
        </row>
        <row r="393">
          <cell r="A393" t="str">
            <v>Interest Expense</v>
          </cell>
        </row>
        <row r="395">
          <cell r="A395" t="str">
            <v xml:space="preserve">  Pretax Profit</v>
          </cell>
        </row>
        <row r="397">
          <cell r="A397" t="str">
            <v>Income Taxes</v>
          </cell>
        </row>
        <row r="399">
          <cell r="A399" t="str">
            <v xml:space="preserve">  Net Income</v>
          </cell>
        </row>
        <row r="401">
          <cell r="A401" t="str">
            <v>Earnings per Share</v>
          </cell>
        </row>
        <row r="404">
          <cell r="A404" t="str">
            <v>Average Shares Out.</v>
          </cell>
        </row>
        <row r="405">
          <cell r="A405" t="str">
            <v>Ending Shares Out.</v>
          </cell>
        </row>
        <row r="409">
          <cell r="A409" t="str">
            <v>Margins (%):</v>
          </cell>
        </row>
        <row r="410">
          <cell r="A410" t="str">
            <v xml:space="preserve">  Gross Margin</v>
          </cell>
        </row>
        <row r="411">
          <cell r="A411" t="str">
            <v xml:space="preserve">  Operating Margin</v>
          </cell>
        </row>
        <row r="412">
          <cell r="A412" t="str">
            <v xml:space="preserve">  Pretax Margin</v>
          </cell>
        </row>
        <row r="413">
          <cell r="A413" t="str">
            <v xml:space="preserve">  Net Margin</v>
          </cell>
        </row>
        <row r="415">
          <cell r="A415" t="str">
            <v>% of Net Sales:</v>
          </cell>
        </row>
        <row r="416">
          <cell r="A416" t="str">
            <v xml:space="preserve">  Cost of Goods Sold</v>
          </cell>
        </row>
        <row r="417">
          <cell r="A417" t="str">
            <v xml:space="preserve">  SG&amp;A</v>
          </cell>
        </row>
        <row r="419">
          <cell r="A419" t="str">
            <v>Effective Tax Rate</v>
          </cell>
        </row>
        <row r="424">
          <cell r="A424" t="str">
            <v>Source:  Wertheim Schroder &amp; Co. Incorporated</v>
          </cell>
        </row>
        <row r="426">
          <cell r="A426" t="str">
            <v>1993</v>
          </cell>
        </row>
        <row r="427">
          <cell r="A427" t="str">
            <v>Sales per Day</v>
          </cell>
        </row>
        <row r="428">
          <cell r="A428" t="str">
            <v>Inventories</v>
          </cell>
        </row>
        <row r="429">
          <cell r="A429" t="str">
            <v>Days' Supply</v>
          </cell>
        </row>
        <row r="442">
          <cell r="A442" t="str">
            <v>Net Sales</v>
          </cell>
        </row>
        <row r="443">
          <cell r="A443" t="str">
            <v>Cost of Goods Sold</v>
          </cell>
        </row>
        <row r="445">
          <cell r="A445" t="str">
            <v xml:space="preserve">  Gross Profit</v>
          </cell>
        </row>
        <row r="447">
          <cell r="A447" t="str">
            <v>SG&amp;A</v>
          </cell>
        </row>
        <row r="449">
          <cell r="A449" t="str">
            <v xml:space="preserve">  Operating Profit</v>
          </cell>
        </row>
        <row r="451">
          <cell r="A451" t="str">
            <v>Other Income</v>
          </cell>
        </row>
        <row r="452">
          <cell r="A452" t="str">
            <v>Interest Expense</v>
          </cell>
        </row>
        <row r="454">
          <cell r="A454" t="str">
            <v xml:space="preserve">  Pretax Profit</v>
          </cell>
        </row>
        <row r="456">
          <cell r="A456" t="str">
            <v>Income Taxes</v>
          </cell>
        </row>
        <row r="458">
          <cell r="A458" t="str">
            <v xml:space="preserve">  Net Income</v>
          </cell>
        </row>
        <row r="460">
          <cell r="A460" t="str">
            <v>Earnings per Share</v>
          </cell>
        </row>
        <row r="463">
          <cell r="A463" t="str">
            <v>Average Shares Out.</v>
          </cell>
        </row>
        <row r="464">
          <cell r="A464" t="str">
            <v>Ending Shares Out.</v>
          </cell>
        </row>
        <row r="468">
          <cell r="A468" t="str">
            <v>Margins (%):</v>
          </cell>
        </row>
        <row r="469">
          <cell r="A469" t="str">
            <v xml:space="preserve">  Gross Margin</v>
          </cell>
        </row>
        <row r="470">
          <cell r="A470" t="str">
            <v xml:space="preserve">  Operating Margin</v>
          </cell>
        </row>
        <row r="471">
          <cell r="A471" t="str">
            <v xml:space="preserve">  Pretax Margin</v>
          </cell>
        </row>
        <row r="472">
          <cell r="A472" t="str">
            <v xml:space="preserve">  Net Margin</v>
          </cell>
        </row>
        <row r="474">
          <cell r="A474" t="str">
            <v>% of Net Sales:</v>
          </cell>
        </row>
        <row r="475">
          <cell r="A475" t="str">
            <v xml:space="preserve">  Cost of Goods Sold</v>
          </cell>
        </row>
        <row r="476">
          <cell r="A476" t="str">
            <v xml:space="preserve">  SG&amp;A</v>
          </cell>
        </row>
        <row r="478">
          <cell r="A478" t="str">
            <v>Effective Tax Rate</v>
          </cell>
        </row>
        <row r="483">
          <cell r="A483" t="str">
            <v>Source:  Wertheim Schroder &amp; Co. Incorporated</v>
          </cell>
        </row>
        <row r="485">
          <cell r="A485">
            <v>1994</v>
          </cell>
        </row>
        <row r="486">
          <cell r="A486" t="str">
            <v>Sales per Day</v>
          </cell>
        </row>
        <row r="487">
          <cell r="A487" t="str">
            <v>Inventories</v>
          </cell>
        </row>
        <row r="488">
          <cell r="A488" t="str">
            <v>Days' Supply</v>
          </cell>
        </row>
        <row r="501">
          <cell r="A501" t="str">
            <v>Net Sales</v>
          </cell>
        </row>
        <row r="502">
          <cell r="A502" t="str">
            <v>Cost of Goods Sold</v>
          </cell>
        </row>
        <row r="504">
          <cell r="A504" t="str">
            <v xml:space="preserve">  Gross Profit</v>
          </cell>
        </row>
        <row r="506">
          <cell r="A506" t="str">
            <v>SG&amp;A</v>
          </cell>
        </row>
        <row r="508">
          <cell r="A508" t="str">
            <v xml:space="preserve">  Operating Profit</v>
          </cell>
        </row>
        <row r="510">
          <cell r="A510" t="str">
            <v>Other Income</v>
          </cell>
        </row>
        <row r="511">
          <cell r="A511" t="str">
            <v>Interest Expense</v>
          </cell>
        </row>
        <row r="513">
          <cell r="A513" t="str">
            <v xml:space="preserve">  Pretax Profit</v>
          </cell>
        </row>
        <row r="515">
          <cell r="A515" t="str">
            <v>Income Taxes</v>
          </cell>
        </row>
        <row r="517">
          <cell r="A517" t="str">
            <v xml:space="preserve">  Net Income</v>
          </cell>
        </row>
        <row r="519">
          <cell r="A519" t="str">
            <v>Earnings per Share</v>
          </cell>
        </row>
        <row r="522">
          <cell r="A522" t="str">
            <v>Average Shares Out.</v>
          </cell>
        </row>
        <row r="523">
          <cell r="A523" t="str">
            <v>Ending Shares Out.</v>
          </cell>
        </row>
        <row r="527">
          <cell r="A527" t="str">
            <v>Margins (%):</v>
          </cell>
        </row>
        <row r="528">
          <cell r="A528" t="str">
            <v xml:space="preserve">  Gross Margin</v>
          </cell>
        </row>
        <row r="529">
          <cell r="A529" t="str">
            <v xml:space="preserve">  Operating Margin</v>
          </cell>
        </row>
        <row r="530">
          <cell r="A530" t="str">
            <v xml:space="preserve">  Pretax Margin</v>
          </cell>
        </row>
        <row r="531">
          <cell r="A531" t="str">
            <v xml:space="preserve">  Net Margin</v>
          </cell>
        </row>
        <row r="533">
          <cell r="A533" t="str">
            <v>% of Net Sales:</v>
          </cell>
        </row>
        <row r="534">
          <cell r="A534" t="str">
            <v xml:space="preserve">  Cost of Goods Sold</v>
          </cell>
        </row>
        <row r="535">
          <cell r="A535" t="str">
            <v xml:space="preserve">  SG&amp;A</v>
          </cell>
        </row>
        <row r="537">
          <cell r="A537" t="str">
            <v>Effective Tax Rate</v>
          </cell>
        </row>
        <row r="542">
          <cell r="A542" t="str">
            <v>Source:  Schroder Wertheim &amp; Co. Incorporated</v>
          </cell>
        </row>
        <row r="544">
          <cell r="A544">
            <v>1995</v>
          </cell>
        </row>
        <row r="545">
          <cell r="A545" t="str">
            <v>Sales per Day</v>
          </cell>
        </row>
        <row r="546">
          <cell r="A546" t="str">
            <v>Inventories</v>
          </cell>
        </row>
        <row r="547">
          <cell r="A547" t="str">
            <v>Days' Supply</v>
          </cell>
        </row>
        <row r="559">
          <cell r="A559" t="str">
            <v>Net Sales</v>
          </cell>
        </row>
        <row r="560">
          <cell r="A560" t="str">
            <v>Cost of Goods Sold</v>
          </cell>
        </row>
        <row r="562">
          <cell r="A562" t="str">
            <v xml:space="preserve">  Gross Profit</v>
          </cell>
        </row>
        <row r="564">
          <cell r="A564" t="str">
            <v>SG&amp;A</v>
          </cell>
        </row>
        <row r="566">
          <cell r="A566" t="str">
            <v xml:space="preserve">  Operating Profit</v>
          </cell>
        </row>
        <row r="568">
          <cell r="A568" t="str">
            <v>Other Income</v>
          </cell>
        </row>
        <row r="569">
          <cell r="A569" t="str">
            <v>Interest Expense</v>
          </cell>
        </row>
        <row r="571">
          <cell r="A571" t="str">
            <v xml:space="preserve">  Pretax Profit</v>
          </cell>
        </row>
        <row r="573">
          <cell r="A573" t="str">
            <v>Income Taxes</v>
          </cell>
        </row>
        <row r="575">
          <cell r="A575" t="str">
            <v xml:space="preserve">  Net Income</v>
          </cell>
        </row>
        <row r="577">
          <cell r="A577" t="str">
            <v>Earnings per Share</v>
          </cell>
        </row>
        <row r="580">
          <cell r="A580" t="str">
            <v>Average Shares Out.</v>
          </cell>
        </row>
        <row r="581">
          <cell r="A581" t="str">
            <v>Ending Shares Out.</v>
          </cell>
        </row>
        <row r="585">
          <cell r="A585" t="str">
            <v>Margins (%):</v>
          </cell>
        </row>
        <row r="586">
          <cell r="A586" t="str">
            <v xml:space="preserve">  Gross Margin</v>
          </cell>
        </row>
        <row r="587">
          <cell r="A587" t="str">
            <v xml:space="preserve">  Operating Margin</v>
          </cell>
        </row>
        <row r="588">
          <cell r="A588" t="str">
            <v xml:space="preserve">  Pretax Margin</v>
          </cell>
        </row>
        <row r="589">
          <cell r="A589" t="str">
            <v xml:space="preserve">  Net Margin</v>
          </cell>
        </row>
        <row r="591">
          <cell r="A591" t="str">
            <v>% of Net Sales:</v>
          </cell>
        </row>
        <row r="592">
          <cell r="A592" t="str">
            <v xml:space="preserve">  Cost of Goods Sold</v>
          </cell>
        </row>
        <row r="593">
          <cell r="A593" t="str">
            <v xml:space="preserve">  SG&amp;A</v>
          </cell>
        </row>
        <row r="595">
          <cell r="A595" t="str">
            <v>Effective Tax Rate</v>
          </cell>
        </row>
        <row r="600">
          <cell r="A600" t="str">
            <v>Source:  Schroder Wertheim &amp; Co. Incorporated</v>
          </cell>
        </row>
        <row r="602">
          <cell r="A602">
            <v>1996</v>
          </cell>
        </row>
        <row r="603">
          <cell r="A603" t="str">
            <v>Sales per Day</v>
          </cell>
        </row>
        <row r="604">
          <cell r="A604" t="str">
            <v>Inventories</v>
          </cell>
        </row>
        <row r="605">
          <cell r="A605" t="str">
            <v>Days' Supply</v>
          </cell>
        </row>
        <row r="617">
          <cell r="A617" t="str">
            <v>Net Sales</v>
          </cell>
        </row>
        <row r="618">
          <cell r="A618" t="str">
            <v>Cost of Goods Sold</v>
          </cell>
        </row>
        <row r="620">
          <cell r="A620" t="str">
            <v xml:space="preserve">  Gross Profit</v>
          </cell>
        </row>
        <row r="622">
          <cell r="A622" t="str">
            <v>SG&amp;A</v>
          </cell>
        </row>
        <row r="624">
          <cell r="A624" t="str">
            <v xml:space="preserve">  Operating Profit</v>
          </cell>
        </row>
        <row r="626">
          <cell r="A626" t="str">
            <v>Other Income</v>
          </cell>
        </row>
        <row r="627">
          <cell r="A627" t="str">
            <v>Interest Expense</v>
          </cell>
        </row>
        <row r="628">
          <cell r="A628" t="str">
            <v>Foreign Currency Gains</v>
          </cell>
        </row>
        <row r="630">
          <cell r="A630" t="str">
            <v xml:space="preserve">  Pretax Profit</v>
          </cell>
        </row>
        <row r="632">
          <cell r="A632" t="str">
            <v>Income Taxes</v>
          </cell>
        </row>
        <row r="634">
          <cell r="A634" t="str">
            <v xml:space="preserve">  Net Income</v>
          </cell>
        </row>
        <row r="636">
          <cell r="A636" t="str">
            <v>Earnings per Share</v>
          </cell>
        </row>
        <row r="639">
          <cell r="A639" t="str">
            <v>Average Shares Out.</v>
          </cell>
        </row>
        <row r="640">
          <cell r="A640" t="str">
            <v>Ending Shares Out.</v>
          </cell>
        </row>
        <row r="644">
          <cell r="A644" t="str">
            <v>Margins (%):</v>
          </cell>
        </row>
        <row r="645">
          <cell r="A645" t="str">
            <v xml:space="preserve">  Gross Margin</v>
          </cell>
        </row>
        <row r="646">
          <cell r="A646" t="str">
            <v xml:space="preserve">  Operating Margin</v>
          </cell>
        </row>
        <row r="647">
          <cell r="A647" t="str">
            <v xml:space="preserve">  Pretax Margin</v>
          </cell>
        </row>
        <row r="648">
          <cell r="A648" t="str">
            <v xml:space="preserve">  Net Margin</v>
          </cell>
        </row>
        <row r="650">
          <cell r="A650" t="str">
            <v>% of Net Sales:</v>
          </cell>
        </row>
        <row r="651">
          <cell r="A651" t="str">
            <v xml:space="preserve">  Cost of Goods Sold</v>
          </cell>
        </row>
        <row r="652">
          <cell r="A652" t="str">
            <v xml:space="preserve">  SG&amp;A</v>
          </cell>
        </row>
        <row r="654">
          <cell r="A654" t="str">
            <v>Effective Tax Rate</v>
          </cell>
        </row>
        <row r="659">
          <cell r="A659" t="str">
            <v>Source:  Schroder &amp; Co.</v>
          </cell>
        </row>
        <row r="661">
          <cell r="A661">
            <v>1997</v>
          </cell>
        </row>
        <row r="662">
          <cell r="A662" t="str">
            <v>Sales per Day</v>
          </cell>
        </row>
        <row r="663">
          <cell r="A663" t="str">
            <v>Inventories</v>
          </cell>
        </row>
        <row r="664">
          <cell r="A664" t="str">
            <v>Days' Supply</v>
          </cell>
        </row>
        <row r="676">
          <cell r="A676" t="str">
            <v>Net Sales</v>
          </cell>
        </row>
        <row r="677">
          <cell r="A677" t="str">
            <v>Cost of Goods Sold</v>
          </cell>
        </row>
        <row r="679">
          <cell r="A679" t="str">
            <v xml:space="preserve">  Gross Profit</v>
          </cell>
        </row>
        <row r="681">
          <cell r="A681" t="str">
            <v>SG&amp;A</v>
          </cell>
        </row>
        <row r="683">
          <cell r="A683" t="str">
            <v xml:space="preserve">  Operating Profit</v>
          </cell>
        </row>
        <row r="685">
          <cell r="A685" t="str">
            <v>Other Income</v>
          </cell>
        </row>
        <row r="686">
          <cell r="A686" t="str">
            <v>Interest Expense</v>
          </cell>
        </row>
        <row r="687">
          <cell r="A687" t="str">
            <v>Foreign Currency Gains</v>
          </cell>
        </row>
        <row r="689">
          <cell r="A689" t="str">
            <v xml:space="preserve">  Pretax Profit</v>
          </cell>
        </row>
        <row r="691">
          <cell r="A691" t="str">
            <v>Income Taxes</v>
          </cell>
        </row>
        <row r="693">
          <cell r="A693" t="str">
            <v xml:space="preserve">  Net Income</v>
          </cell>
        </row>
        <row r="695">
          <cell r="A695" t="str">
            <v>Earnings per Share</v>
          </cell>
        </row>
        <row r="698">
          <cell r="A698" t="str">
            <v>Average Shares Out.</v>
          </cell>
        </row>
        <row r="699">
          <cell r="A699" t="str">
            <v>Ending Shares Out.</v>
          </cell>
        </row>
        <row r="703">
          <cell r="A703" t="str">
            <v>Margins (%):</v>
          </cell>
        </row>
        <row r="704">
          <cell r="A704" t="str">
            <v xml:space="preserve">  Gross Margin</v>
          </cell>
        </row>
        <row r="705">
          <cell r="A705" t="str">
            <v xml:space="preserve">  Operating Margin</v>
          </cell>
        </row>
        <row r="706">
          <cell r="A706" t="str">
            <v xml:space="preserve">  Pretax Margin</v>
          </cell>
        </row>
        <row r="707">
          <cell r="A707" t="str">
            <v xml:space="preserve">  Net Margin</v>
          </cell>
        </row>
        <row r="709">
          <cell r="A709" t="str">
            <v>% of Net Sales:</v>
          </cell>
        </row>
        <row r="710">
          <cell r="A710" t="str">
            <v xml:space="preserve">  Cost of Goods Sold</v>
          </cell>
        </row>
        <row r="711">
          <cell r="A711" t="str">
            <v xml:space="preserve">  SG&amp;A</v>
          </cell>
        </row>
        <row r="713">
          <cell r="A713" t="str">
            <v>Effective Tax Rate</v>
          </cell>
        </row>
        <row r="718">
          <cell r="A718" t="str">
            <v>Source:  Schroder &amp; Co.</v>
          </cell>
        </row>
        <row r="720">
          <cell r="A720">
            <v>1998</v>
          </cell>
        </row>
        <row r="721">
          <cell r="A721" t="str">
            <v>Sales per Day</v>
          </cell>
        </row>
        <row r="722">
          <cell r="A722" t="str">
            <v>Inventories</v>
          </cell>
        </row>
        <row r="723">
          <cell r="A723" t="str">
            <v>Days' Supply</v>
          </cell>
        </row>
        <row r="735">
          <cell r="A735" t="str">
            <v>Cooper Tire &amp; Rubber Company</v>
          </cell>
        </row>
        <row r="737">
          <cell r="A737" t="str">
            <v>Cash Flow Statement</v>
          </cell>
        </row>
        <row r="738">
          <cell r="A738" t="str">
            <v>($ Thousands)</v>
          </cell>
        </row>
        <row r="744">
          <cell r="A744" t="str">
            <v>Operating Sources (Uses):</v>
          </cell>
        </row>
        <row r="746">
          <cell r="A746" t="str">
            <v xml:space="preserve">  Net Income</v>
          </cell>
        </row>
        <row r="747">
          <cell r="A747" t="str">
            <v xml:space="preserve">  Provision for OPEB</v>
          </cell>
        </row>
        <row r="748">
          <cell r="A748" t="str">
            <v xml:space="preserve">  Depreciation &amp; Amortization</v>
          </cell>
        </row>
        <row r="749">
          <cell r="A749" t="str">
            <v xml:space="preserve">  Deferred Taxes</v>
          </cell>
        </row>
        <row r="750">
          <cell r="A750" t="str">
            <v xml:space="preserve">  Accounts Receivable</v>
          </cell>
        </row>
        <row r="751">
          <cell r="A751" t="str">
            <v xml:space="preserve">  Inventories &amp; Prepaids</v>
          </cell>
        </row>
        <row r="752">
          <cell r="A752" t="str">
            <v xml:space="preserve">  Accounts Payable &amp; Accrued Liab.</v>
          </cell>
        </row>
        <row r="753">
          <cell r="A753" t="str">
            <v xml:space="preserve">  Capital Expenditures</v>
          </cell>
        </row>
        <row r="754">
          <cell r="A754" t="str">
            <v xml:space="preserve">  Other Long-Term Liabilites &amp; Other</v>
          </cell>
        </row>
        <row r="755">
          <cell r="A755" t="str">
            <v xml:space="preserve">    Operating Cash Flow</v>
          </cell>
        </row>
        <row r="758">
          <cell r="A758" t="str">
            <v>Non-Operating Sources (Uses):</v>
          </cell>
        </row>
        <row r="760">
          <cell r="A760" t="str">
            <v xml:space="preserve">  Long-Term Debt</v>
          </cell>
        </row>
        <row r="761">
          <cell r="A761" t="str">
            <v xml:space="preserve">  Common Stock Issues</v>
          </cell>
        </row>
        <row r="762">
          <cell r="A762" t="str">
            <v xml:space="preserve">  Dividends</v>
          </cell>
        </row>
        <row r="763">
          <cell r="A763" t="str">
            <v xml:space="preserve">  Other</v>
          </cell>
        </row>
        <row r="764">
          <cell r="A764" t="str">
            <v xml:space="preserve">    Non-Operating Cash Flow</v>
          </cell>
        </row>
        <row r="767">
          <cell r="A767" t="str">
            <v>Increase (Decrease) in Cash</v>
          </cell>
        </row>
        <row r="770">
          <cell r="A770" t="str">
            <v>Beginning Cash Balance</v>
          </cell>
        </row>
        <row r="772">
          <cell r="A772" t="str">
            <v>Ending Cash Balance</v>
          </cell>
        </row>
        <row r="774">
          <cell r="A774" t="str">
            <v>Gross Cash Flow (NI + D&amp;A)</v>
          </cell>
        </row>
        <row r="775">
          <cell r="A775" t="str">
            <v>Operating Cash Flow (NI + D&amp;A-CapEx)</v>
          </cell>
        </row>
        <row r="777">
          <cell r="A777" t="str">
            <v>Gross Cash Flow per Share</v>
          </cell>
        </row>
        <row r="778">
          <cell r="A778" t="str">
            <v>Operating Cash Flow per Share</v>
          </cell>
        </row>
        <row r="781">
          <cell r="A781" t="str">
            <v>*1992 reported net income reduced by FAS 106 charge of $67.4 million.</v>
          </cell>
        </row>
        <row r="783">
          <cell r="A783" t="str">
            <v>Source:  Schroder Wertheim &amp; Co. Incorporated</v>
          </cell>
        </row>
        <row r="788">
          <cell r="A788" t="str">
            <v>Average Cash</v>
          </cell>
        </row>
        <row r="789">
          <cell r="A789" t="str">
            <v>Interest Income</v>
          </cell>
        </row>
        <row r="790">
          <cell r="A790" t="str">
            <v>Interest Income % of Avg Cash</v>
          </cell>
        </row>
        <row r="794">
          <cell r="A794" t="str">
            <v>Capital Spending % of Sales</v>
          </cell>
        </row>
        <row r="798">
          <cell r="A798" t="str">
            <v>Cooper Tire &amp; Rubber Company</v>
          </cell>
        </row>
        <row r="800">
          <cell r="A800" t="str">
            <v>Balance Sheet</v>
          </cell>
        </row>
        <row r="801">
          <cell r="A801" t="str">
            <v>($ Thousands)</v>
          </cell>
        </row>
        <row r="806">
          <cell r="A806" t="str">
            <v>Cash</v>
          </cell>
        </row>
        <row r="807">
          <cell r="A807" t="str">
            <v>Accounts Receivable</v>
          </cell>
        </row>
        <row r="808">
          <cell r="A808" t="str">
            <v>Inventories</v>
          </cell>
        </row>
        <row r="809">
          <cell r="A809" t="str">
            <v>Prepaid Expenses</v>
          </cell>
        </row>
        <row r="810">
          <cell r="A810" t="str">
            <v xml:space="preserve">  Total Current Assets</v>
          </cell>
        </row>
        <row r="812">
          <cell r="A812" t="str">
            <v>Investments &amp; Other Assets</v>
          </cell>
        </row>
        <row r="813">
          <cell r="A813" t="str">
            <v>Property, Plant &amp; Equipment</v>
          </cell>
        </row>
        <row r="814">
          <cell r="A814" t="str">
            <v xml:space="preserve">  Total Assets</v>
          </cell>
        </row>
        <row r="817">
          <cell r="A817" t="str">
            <v>Accounts Payable</v>
          </cell>
        </row>
        <row r="818">
          <cell r="A818" t="str">
            <v>Federal Income Taxes</v>
          </cell>
        </row>
        <row r="819">
          <cell r="A819" t="str">
            <v>Accrued Liabilities</v>
          </cell>
        </row>
        <row r="820">
          <cell r="A820" t="str">
            <v xml:space="preserve">  Subtotal NDCL</v>
          </cell>
        </row>
        <row r="821">
          <cell r="A821" t="str">
            <v>Notes Payable</v>
          </cell>
        </row>
        <row r="822">
          <cell r="A822" t="str">
            <v>Current Portion of LT Debt</v>
          </cell>
        </row>
        <row r="823">
          <cell r="A823" t="str">
            <v xml:space="preserve">  Total Current Liabilities</v>
          </cell>
        </row>
        <row r="825">
          <cell r="A825" t="str">
            <v>Long-Term Debt</v>
          </cell>
        </row>
        <row r="826">
          <cell r="A826" t="str">
            <v>Deferred Income Taxes</v>
          </cell>
        </row>
        <row r="827">
          <cell r="A827" t="str">
            <v>Postretirement Benefits (OPEB)</v>
          </cell>
        </row>
        <row r="828">
          <cell r="A828" t="str">
            <v>Other Long-Term Liabilities</v>
          </cell>
        </row>
        <row r="830">
          <cell r="A830" t="str">
            <v>Stockholders' Equity</v>
          </cell>
        </row>
        <row r="831">
          <cell r="A831" t="str">
            <v xml:space="preserve">  Liab. &amp; Stockholders' Equity</v>
          </cell>
        </row>
        <row r="833">
          <cell r="A833" t="str">
            <v>Ratios:</v>
          </cell>
        </row>
        <row r="834">
          <cell r="A834" t="str">
            <v>Days Receivable</v>
          </cell>
        </row>
        <row r="835">
          <cell r="A835" t="str">
            <v>Days Payables</v>
          </cell>
        </row>
        <row r="836">
          <cell r="A836" t="str">
            <v>CGS/Inventory</v>
          </cell>
        </row>
        <row r="837">
          <cell r="A837" t="str">
            <v>Net Plant Turnover</v>
          </cell>
        </row>
        <row r="838">
          <cell r="A838" t="str">
            <v>Asset Turnover</v>
          </cell>
        </row>
        <row r="839">
          <cell r="A839" t="str">
            <v>Days NDCL</v>
          </cell>
        </row>
        <row r="840">
          <cell r="A840" t="str">
            <v>Current Ratio</v>
          </cell>
        </row>
        <row r="842">
          <cell r="A842" t="str">
            <v>Total Debt</v>
          </cell>
        </row>
        <row r="843">
          <cell r="A843" t="str">
            <v>Debt/Equity (%)</v>
          </cell>
        </row>
        <row r="844">
          <cell r="A844" t="str">
            <v>Debt/Total Capital (%)</v>
          </cell>
        </row>
        <row r="845">
          <cell r="A845" t="str">
            <v>Equity/Total Capital (%)</v>
          </cell>
        </row>
        <row r="847">
          <cell r="A847" t="str">
            <v>Return on Average (%):</v>
          </cell>
        </row>
        <row r="848">
          <cell r="A848" t="str">
            <v>Assets</v>
          </cell>
        </row>
        <row r="849">
          <cell r="A849" t="str">
            <v>Equity</v>
          </cell>
        </row>
        <row r="850">
          <cell r="A850" t="str">
            <v>Capital</v>
          </cell>
        </row>
        <row r="852">
          <cell r="A852" t="str">
            <v>Per Share:</v>
          </cell>
        </row>
        <row r="853">
          <cell r="A853" t="str">
            <v>Cash</v>
          </cell>
        </row>
        <row r="854">
          <cell r="A854" t="str">
            <v>Depreciation &amp; Amortization</v>
          </cell>
        </row>
        <row r="855">
          <cell r="A855" t="str">
            <v>"Cash Flow" (NI+D&amp;A)</v>
          </cell>
        </row>
        <row r="856">
          <cell r="A856" t="str">
            <v>Book Value</v>
          </cell>
        </row>
        <row r="857">
          <cell r="A857" t="str">
            <v>Dividend</v>
          </cell>
        </row>
        <row r="859">
          <cell r="A859" t="str">
            <v>All per share figures represent two-for-one splits in 1992, 1990 and 1988.</v>
          </cell>
        </row>
        <row r="862">
          <cell r="A862" t="str">
            <v>Source:  Schroder Wertheim &amp; Co. Incorporated</v>
          </cell>
        </row>
        <row r="864">
          <cell r="A864" t="str">
            <v>Sales per Day</v>
          </cell>
        </row>
        <row r="865">
          <cell r="A865" t="str">
            <v>Days' Supply of Inventory</v>
          </cell>
        </row>
        <row r="871">
          <cell r="A871" t="str">
            <v>Q4 Net Sales</v>
          </cell>
        </row>
        <row r="874">
          <cell r="A874" t="str">
            <v>Capitalization:</v>
          </cell>
        </row>
        <row r="875">
          <cell r="A875" t="str">
            <v xml:space="preserve">  Notes Payable</v>
          </cell>
        </row>
        <row r="876">
          <cell r="A876" t="str">
            <v xml:space="preserve">  Current Portion of LT Debt</v>
          </cell>
        </row>
        <row r="877">
          <cell r="A877" t="str">
            <v xml:space="preserve">  Long-Term Debt</v>
          </cell>
        </row>
        <row r="878">
          <cell r="A878" t="str">
            <v xml:space="preserve">  Deferred Income Taxes</v>
          </cell>
        </row>
        <row r="879">
          <cell r="A879" t="str">
            <v xml:space="preserve">  Stockholders' Equity</v>
          </cell>
        </row>
        <row r="880">
          <cell r="A880" t="str">
            <v xml:space="preserve">  Total</v>
          </cell>
        </row>
        <row r="882">
          <cell r="A882">
            <v>235039.05500000002</v>
          </cell>
        </row>
        <row r="885">
          <cell r="A885" t="str">
            <v>Long-Term Debt</v>
          </cell>
        </row>
        <row r="886">
          <cell r="A886" t="str">
            <v>Interest Expense</v>
          </cell>
        </row>
        <row r="887">
          <cell r="A887" t="str">
            <v>Interest Expense % LTD</v>
          </cell>
        </row>
        <row r="890">
          <cell r="A890" t="str">
            <v>Cooper Tire &amp; Rubber Co.</v>
          </cell>
        </row>
        <row r="893">
          <cell r="A893" t="str">
            <v>Quarterly Sales Pattern:</v>
          </cell>
        </row>
        <row r="894">
          <cell r="A894">
            <v>1985</v>
          </cell>
        </row>
        <row r="895">
          <cell r="A895">
            <v>1986</v>
          </cell>
        </row>
        <row r="896">
          <cell r="A896">
            <v>1987</v>
          </cell>
        </row>
        <row r="897">
          <cell r="A897">
            <v>1988</v>
          </cell>
        </row>
        <row r="898">
          <cell r="A898">
            <v>1989</v>
          </cell>
        </row>
        <row r="899">
          <cell r="A899">
            <v>1990</v>
          </cell>
        </row>
        <row r="900">
          <cell r="A900">
            <v>1991</v>
          </cell>
        </row>
        <row r="901">
          <cell r="A901">
            <v>1992</v>
          </cell>
        </row>
        <row r="902">
          <cell r="A902">
            <v>1993</v>
          </cell>
        </row>
        <row r="903">
          <cell r="A903">
            <v>1994</v>
          </cell>
        </row>
        <row r="904">
          <cell r="A904">
            <v>1995</v>
          </cell>
        </row>
        <row r="905">
          <cell r="A905">
            <v>1996</v>
          </cell>
        </row>
        <row r="907">
          <cell r="A907" t="str">
            <v>Year/Year % Change</v>
          </cell>
        </row>
        <row r="908">
          <cell r="A908">
            <v>1986</v>
          </cell>
        </row>
        <row r="909">
          <cell r="A909">
            <v>1987</v>
          </cell>
        </row>
        <row r="910">
          <cell r="A910">
            <v>1988</v>
          </cell>
        </row>
        <row r="911">
          <cell r="A911">
            <v>1989</v>
          </cell>
        </row>
        <row r="912">
          <cell r="A912">
            <v>1990</v>
          </cell>
        </row>
        <row r="913">
          <cell r="A913">
            <v>1991</v>
          </cell>
        </row>
        <row r="914">
          <cell r="A914">
            <v>1992</v>
          </cell>
        </row>
        <row r="915">
          <cell r="A915">
            <v>1993</v>
          </cell>
        </row>
        <row r="916">
          <cell r="A916">
            <v>1994</v>
          </cell>
        </row>
        <row r="917">
          <cell r="A917">
            <v>1995</v>
          </cell>
        </row>
        <row r="918">
          <cell r="A918">
            <v>1996</v>
          </cell>
        </row>
        <row r="919">
          <cell r="A919" t="str">
            <v>Mean</v>
          </cell>
        </row>
        <row r="921">
          <cell r="A921" t="str">
            <v>Qtr/Qtr % Change</v>
          </cell>
        </row>
        <row r="922">
          <cell r="A922">
            <v>1985</v>
          </cell>
        </row>
        <row r="923">
          <cell r="A923">
            <v>1986</v>
          </cell>
        </row>
        <row r="924">
          <cell r="A924">
            <v>1987</v>
          </cell>
        </row>
        <row r="925">
          <cell r="A925">
            <v>1988</v>
          </cell>
        </row>
        <row r="926">
          <cell r="A926">
            <v>1989</v>
          </cell>
        </row>
        <row r="927">
          <cell r="A927">
            <v>1990</v>
          </cell>
        </row>
        <row r="928">
          <cell r="A928">
            <v>1991</v>
          </cell>
        </row>
        <row r="929">
          <cell r="A929">
            <v>1992</v>
          </cell>
        </row>
        <row r="930">
          <cell r="A930">
            <v>1993</v>
          </cell>
        </row>
        <row r="931">
          <cell r="A931">
            <v>1994</v>
          </cell>
        </row>
        <row r="932">
          <cell r="A932">
            <v>1995</v>
          </cell>
        </row>
        <row r="933">
          <cell r="A933">
            <v>1996</v>
          </cell>
        </row>
        <row r="934">
          <cell r="A934" t="str">
            <v>Mean</v>
          </cell>
        </row>
        <row r="936">
          <cell r="A936" t="str">
            <v>1986</v>
          </cell>
        </row>
        <row r="937">
          <cell r="A937" t="str">
            <v>1987</v>
          </cell>
        </row>
        <row r="938">
          <cell r="A938" t="str">
            <v>1988</v>
          </cell>
        </row>
        <row r="939">
          <cell r="A939">
            <v>1989</v>
          </cell>
        </row>
        <row r="940">
          <cell r="A940" t="str">
            <v>1990</v>
          </cell>
        </row>
        <row r="941">
          <cell r="A941" t="str">
            <v>1991</v>
          </cell>
        </row>
        <row r="942">
          <cell r="A942" t="str">
            <v>1992</v>
          </cell>
        </row>
        <row r="943">
          <cell r="A943">
            <v>1993</v>
          </cell>
        </row>
        <row r="944">
          <cell r="A944">
            <v>1994</v>
          </cell>
        </row>
        <row r="945">
          <cell r="A945">
            <v>1995</v>
          </cell>
        </row>
        <row r="946">
          <cell r="A946">
            <v>1996</v>
          </cell>
        </row>
        <row r="947">
          <cell r="A947" t="str">
            <v>Mean</v>
          </cell>
        </row>
        <row r="949">
          <cell r="A949" t="str">
            <v>Gross Margin:</v>
          </cell>
        </row>
        <row r="950">
          <cell r="A950" t="str">
            <v>1988</v>
          </cell>
        </row>
        <row r="951">
          <cell r="A951">
            <v>1989</v>
          </cell>
        </row>
        <row r="952">
          <cell r="A952" t="str">
            <v>1990</v>
          </cell>
        </row>
        <row r="953">
          <cell r="A953" t="str">
            <v>1991</v>
          </cell>
        </row>
        <row r="954">
          <cell r="A954" t="str">
            <v>1992</v>
          </cell>
        </row>
        <row r="955">
          <cell r="A955">
            <v>1993</v>
          </cell>
        </row>
        <row r="956">
          <cell r="A956">
            <v>1994</v>
          </cell>
        </row>
        <row r="957">
          <cell r="A957">
            <v>1995</v>
          </cell>
        </row>
        <row r="958">
          <cell r="A958">
            <v>1996</v>
          </cell>
        </row>
        <row r="959">
          <cell r="A959">
            <v>1997</v>
          </cell>
        </row>
        <row r="960">
          <cell r="A960" t="str">
            <v>Mean</v>
          </cell>
        </row>
        <row r="961">
          <cell r="A961" t="str">
            <v>Quarter % of Year</v>
          </cell>
        </row>
        <row r="968">
          <cell r="A968" t="str">
            <v>Average Cash</v>
          </cell>
        </row>
        <row r="969">
          <cell r="A969" t="str">
            <v>Other Income</v>
          </cell>
        </row>
        <row r="970">
          <cell r="A970" t="str">
            <v>Other Income % Avg Cash</v>
          </cell>
        </row>
        <row r="973">
          <cell r="A973" t="str">
            <v>Q1-93</v>
          </cell>
        </row>
        <row r="974">
          <cell r="A974" t="str">
            <v>Q2-93</v>
          </cell>
        </row>
        <row r="975">
          <cell r="A975" t="str">
            <v>Q3-93</v>
          </cell>
        </row>
        <row r="976">
          <cell r="A976" t="str">
            <v>Q4-93</v>
          </cell>
        </row>
        <row r="977">
          <cell r="A977" t="str">
            <v>Q1-94</v>
          </cell>
        </row>
        <row r="978">
          <cell r="A978" t="str">
            <v>Q2-94</v>
          </cell>
        </row>
        <row r="979">
          <cell r="A979" t="str">
            <v>Q3-94</v>
          </cell>
        </row>
        <row r="980">
          <cell r="A980" t="str">
            <v>Q4-94</v>
          </cell>
        </row>
        <row r="981">
          <cell r="A981" t="str">
            <v>Q1-95</v>
          </cell>
        </row>
        <row r="982">
          <cell r="A982" t="str">
            <v>Q2-95</v>
          </cell>
        </row>
        <row r="983">
          <cell r="A983" t="str">
            <v>Q3-95</v>
          </cell>
        </row>
        <row r="984">
          <cell r="A984" t="str">
            <v>Q4-95</v>
          </cell>
        </row>
        <row r="985">
          <cell r="A985" t="str">
            <v>Q1-96</v>
          </cell>
        </row>
        <row r="986">
          <cell r="A986" t="str">
            <v>Q2-96</v>
          </cell>
        </row>
        <row r="987">
          <cell r="A987" t="str">
            <v>Q3-96</v>
          </cell>
        </row>
        <row r="988">
          <cell r="A988" t="str">
            <v>Q4-96</v>
          </cell>
        </row>
        <row r="989">
          <cell r="A989" t="str">
            <v>Q1-97</v>
          </cell>
        </row>
        <row r="990">
          <cell r="A990" t="str">
            <v>Q2-97</v>
          </cell>
        </row>
        <row r="991">
          <cell r="A991" t="str">
            <v>Q3-97</v>
          </cell>
        </row>
        <row r="992">
          <cell r="A992" t="str">
            <v>Q4-97</v>
          </cell>
        </row>
        <row r="993">
          <cell r="A993" t="str">
            <v>Q1-98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8"/>
      <sheetName val="mututal fund's holding"/>
      <sheetName val="ratios"/>
      <sheetName val="info"/>
      <sheetName val="prices (old)"/>
      <sheetName val="prices"/>
      <sheetName val="IPPs"/>
      <sheetName val="Graphs-final"/>
      <sheetName val="assump"/>
      <sheetName val="Sheet17"/>
      <sheetName val="Sheet15"/>
      <sheetName val="Sheet14"/>
      <sheetName val="BS"/>
      <sheetName val="P&amp;L"/>
      <sheetName val="CF"/>
      <sheetName val="GEM"/>
      <sheetName val="WACC"/>
      <sheetName val="DCF"/>
      <sheetName val="EVA (2)"/>
      <sheetName val="Reg Val"/>
      <sheetName val="EV2EBITDA"/>
      <sheetName val="PER"/>
      <sheetName val="PER (2)"/>
      <sheetName val="Rel PER"/>
      <sheetName val="fo vol"/>
      <sheetName val="hsd vol"/>
      <sheetName val="vol"/>
      <sheetName val="Sheet9"/>
      <sheetName val="Opex"/>
      <sheetName val="dep schd"/>
      <sheetName val="rfny prod"/>
      <sheetName val="Sheet4"/>
      <sheetName val="sheet1"/>
      <sheetName val="storage"/>
      <sheetName val="inv"/>
      <sheetName val="graphs"/>
      <sheetName val="Sheet6"/>
      <sheetName val="Sheet10"/>
      <sheetName val="qtrly"/>
      <sheetName val="pso-hy"/>
      <sheetName val="debt"/>
      <sheetName val="Sheet12"/>
      <sheetName val="PE bands"/>
      <sheetName val="Ebitda Band"/>
      <sheetName val="Sheet11"/>
      <sheetName val="Sheet2 (2)"/>
      <sheetName val="Sheet13"/>
      <sheetName val="Sheet8"/>
      <sheetName val="Sheet5"/>
      <sheetName val="Sheet16"/>
      <sheetName val="Sheet7"/>
      <sheetName val="eva"/>
      <sheetName val="rplct cost"/>
      <sheetName val="Sheet2"/>
      <sheetName val="Sheet3"/>
      <sheetName val="industry figures"/>
      <sheetName val="Loa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3">
          <cell r="B33">
            <v>0.11824939095260209</v>
          </cell>
        </row>
      </sheetData>
      <sheetData sheetId="17">
        <row r="25">
          <cell r="E25">
            <v>0.03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SBM Tech Cost Break up"/>
      <sheetName val="Capex"/>
      <sheetName val="Capital Structure"/>
      <sheetName val="Loan Sheet"/>
      <sheetName val="Port Revenue"/>
      <sheetName val="Taxation"/>
      <sheetName val="Op. Assump"/>
      <sheetName val="BS Assumptions"/>
      <sheetName val="CF"/>
      <sheetName val="Financing Requirement"/>
      <sheetName val="Returns (FCFF)"/>
      <sheetName val="Returns (FCFE)"/>
      <sheetName val="Ratios"/>
      <sheetName val="Conv Sheet"/>
      <sheetName val="Opex Breakup"/>
      <sheetName val="Opex"/>
      <sheetName val="CRL Value"/>
    </sheetNames>
    <sheetDataSet>
      <sheetData sheetId="0">
        <row r="9">
          <cell r="D9">
            <v>40177</v>
          </cell>
        </row>
        <row r="49">
          <cell r="D49" t="str">
            <v>Base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8">
          <cell r="J8">
            <v>86</v>
          </cell>
        </row>
      </sheetData>
      <sheetData sheetId="8">
        <row r="27">
          <cell r="J27">
            <v>8646.9334362022073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CFvaluation"/>
      <sheetName val="Assump"/>
      <sheetName val="IS"/>
      <sheetName val="Panel"/>
      <sheetName val="Sheet2"/>
      <sheetName val="Coal"/>
      <sheetName val="Financials"/>
      <sheetName val="BS"/>
      <sheetName val="CF"/>
      <sheetName val="Depr"/>
      <sheetName val="FIN(new)"/>
      <sheetName val="Graphs"/>
      <sheetName val="Revised Schedule"/>
      <sheetName val="TDF"/>
      <sheetName val="Highlights"/>
      <sheetName val="Sheet1"/>
      <sheetName val="Sheet3"/>
    </sheetNames>
    <sheetDataSet>
      <sheetData sheetId="0">
        <row r="19">
          <cell r="C19">
            <v>115.45682331575934</v>
          </cell>
        </row>
      </sheetData>
      <sheetData sheetId="1">
        <row r="6">
          <cell r="AB6">
            <v>89.145074999999991</v>
          </cell>
        </row>
        <row r="48">
          <cell r="W48">
            <v>1492523</v>
          </cell>
          <cell r="X48">
            <v>349000</v>
          </cell>
          <cell r="AB48">
            <v>1687682</v>
          </cell>
          <cell r="AC48">
            <v>350779</v>
          </cell>
        </row>
        <row r="116">
          <cell r="AG116">
            <v>8.9329999999999998</v>
          </cell>
        </row>
      </sheetData>
      <sheetData sheetId="2">
        <row r="14">
          <cell r="W14">
            <v>6085.4345170000006</v>
          </cell>
          <cell r="X14">
            <v>1701.489812</v>
          </cell>
          <cell r="AB14">
            <v>9316.3608729999996</v>
          </cell>
          <cell r="AC14">
            <v>2103.5142689999998</v>
          </cell>
        </row>
        <row r="15">
          <cell r="W15">
            <v>5158.3026140000002</v>
          </cell>
          <cell r="X15">
            <v>1362.2052120000001</v>
          </cell>
          <cell r="AB15">
            <v>6463.9772560000001</v>
          </cell>
          <cell r="AC15">
            <v>1377.052396</v>
          </cell>
        </row>
        <row r="16">
          <cell r="W16">
            <v>927.13190300000042</v>
          </cell>
          <cell r="X16">
            <v>339.28459999999995</v>
          </cell>
          <cell r="AB16">
            <v>2852.3836169999995</v>
          </cell>
          <cell r="AC16">
            <v>726.46187299999974</v>
          </cell>
        </row>
        <row r="17">
          <cell r="W17">
            <v>41.199134000000001</v>
          </cell>
          <cell r="X17">
            <v>8.8692410000000006</v>
          </cell>
          <cell r="AB17">
            <v>46.242716000000001</v>
          </cell>
          <cell r="AC17">
            <v>12.395078</v>
          </cell>
        </row>
        <row r="18">
          <cell r="W18">
            <v>48.845016000000001</v>
          </cell>
          <cell r="X18">
            <v>14.466707</v>
          </cell>
          <cell r="AB18">
            <v>66.714848000000003</v>
          </cell>
          <cell r="AC18">
            <v>22.341999999999999</v>
          </cell>
        </row>
        <row r="19">
          <cell r="W19">
            <v>837.08775300000048</v>
          </cell>
          <cell r="X19">
            <v>315.94865199999998</v>
          </cell>
          <cell r="AB19">
            <v>2739.4260529999992</v>
          </cell>
          <cell r="AC19">
            <v>691.72479499999974</v>
          </cell>
        </row>
        <row r="25">
          <cell r="W25">
            <v>715.24690599999997</v>
          </cell>
          <cell r="X25">
            <v>179.75890200000001</v>
          </cell>
          <cell r="AB25">
            <v>626.020398</v>
          </cell>
          <cell r="AC25">
            <v>84.797948000000005</v>
          </cell>
        </row>
        <row r="28">
          <cell r="W28">
            <v>125.78080700000055</v>
          </cell>
          <cell r="X28">
            <v>138.99115600000002</v>
          </cell>
          <cell r="AB28">
            <v>2036.0043859999992</v>
          </cell>
          <cell r="AC28">
            <v>577.92822899999976</v>
          </cell>
        </row>
        <row r="33">
          <cell r="W33">
            <v>63.71597100000055</v>
          </cell>
          <cell r="X33">
            <v>128.08360100000002</v>
          </cell>
          <cell r="AB33">
            <v>1660.5313859999992</v>
          </cell>
          <cell r="AC33">
            <v>476.11181299999976</v>
          </cell>
        </row>
        <row r="35">
          <cell r="W35">
            <v>0.49485349721030875</v>
          </cell>
          <cell r="X35">
            <v>0.99476813890412596</v>
          </cell>
          <cell r="AB35">
            <v>12.896605838268927</v>
          </cell>
          <cell r="AC35">
            <v>3.6977478649142519</v>
          </cell>
        </row>
      </sheetData>
      <sheetData sheetId="3"/>
      <sheetData sheetId="4"/>
      <sheetData sheetId="5"/>
      <sheetData sheetId="6"/>
      <sheetData sheetId="7">
        <row r="7">
          <cell r="R7">
            <v>1287.57241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KOHC"/>
    </sheetNames>
    <sheetDataSet>
      <sheetData sheetId="0">
        <row r="1">
          <cell r="A1" t="str">
            <v>Directors &amp; Associates</v>
          </cell>
          <cell r="B1">
            <v>0.57399999999999995</v>
          </cell>
        </row>
        <row r="2">
          <cell r="A2" t="str">
            <v>Banks &amp; Financial institutions</v>
          </cell>
          <cell r="B2">
            <v>5.7999999999999996E-3</v>
          </cell>
        </row>
        <row r="3">
          <cell r="A3" t="str">
            <v>General Public</v>
          </cell>
          <cell r="B3">
            <v>0.39169999999999999</v>
          </cell>
        </row>
        <row r="4">
          <cell r="A4" t="str">
            <v>Others</v>
          </cell>
          <cell r="B4">
            <v>2.86E-2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KOHC"/>
    </sheetNames>
    <sheetDataSet>
      <sheetData sheetId="0">
        <row r="1">
          <cell r="A1" t="str">
            <v>Directors &amp; Associates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IS"/>
      <sheetName val="CF"/>
      <sheetName val="BS"/>
      <sheetName val="Summary"/>
      <sheetName val="Ratios"/>
      <sheetName val="FCF"/>
      <sheetName val="Graphs"/>
      <sheetName val="GNDL"/>
      <sheetName val="Long term loans"/>
      <sheetName val="Price Graph"/>
      <sheetName val="1H06 Review"/>
      <sheetName val="Sheet1"/>
      <sheetName val="KOHC"/>
    </sheetNames>
    <sheetDataSet>
      <sheetData sheetId="0" refreshError="1"/>
      <sheetData sheetId="1" refreshError="1">
        <row r="5">
          <cell r="B5">
            <v>290.95100000000002</v>
          </cell>
          <cell r="C5">
            <v>66.540999999999997</v>
          </cell>
          <cell r="D5">
            <v>244.68799999999999</v>
          </cell>
          <cell r="E5">
            <v>81.111999999999995</v>
          </cell>
          <cell r="F5">
            <v>101.437</v>
          </cell>
        </row>
        <row r="6">
          <cell r="B6">
            <v>347.12700000000001</v>
          </cell>
          <cell r="C6">
            <v>141.38499999999999</v>
          </cell>
          <cell r="D6">
            <v>317.05599999999998</v>
          </cell>
          <cell r="E6">
            <v>162.63800000000001</v>
          </cell>
          <cell r="F6">
            <v>131.482</v>
          </cell>
        </row>
        <row r="8">
          <cell r="F8">
            <v>11.416</v>
          </cell>
        </row>
        <row r="10">
          <cell r="F10">
            <v>452.971</v>
          </cell>
        </row>
        <row r="11">
          <cell r="F11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48.125</v>
          </cell>
        </row>
        <row r="15">
          <cell r="F15">
            <v>116.577</v>
          </cell>
        </row>
        <row r="17">
          <cell r="B17">
            <v>4.2670000000000003</v>
          </cell>
          <cell r="C17">
            <v>0.46700000000000003</v>
          </cell>
          <cell r="D17">
            <v>1.2390000000000001</v>
          </cell>
          <cell r="E17">
            <v>0.4</v>
          </cell>
          <cell r="F17">
            <v>-3.18</v>
          </cell>
        </row>
        <row r="20">
          <cell r="B20">
            <v>-6.3428920615521358</v>
          </cell>
          <cell r="C20">
            <v>-3.0560968835064721</v>
          </cell>
          <cell r="D20">
            <v>-4.5864340869951672</v>
          </cell>
          <cell r="E20">
            <v>-2.4920393311482698</v>
          </cell>
          <cell r="F20">
            <v>6.6243653130381652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</row>
      </sheetData>
      <sheetData sheetId="2" refreshError="1">
        <row r="8">
          <cell r="B8">
            <v>48.125</v>
          </cell>
          <cell r="C8">
            <v>67.012</v>
          </cell>
        </row>
        <row r="9">
          <cell r="B9">
            <v>0</v>
          </cell>
          <cell r="C9">
            <v>0</v>
          </cell>
        </row>
        <row r="10">
          <cell r="B10">
            <v>0</v>
          </cell>
          <cell r="C10">
            <v>-5.0789999999999997</v>
          </cell>
        </row>
        <row r="11">
          <cell r="B11">
            <v>0</v>
          </cell>
          <cell r="C11">
            <v>-12.29</v>
          </cell>
        </row>
        <row r="12">
          <cell r="B12">
            <v>117.19499999999999</v>
          </cell>
          <cell r="C12">
            <v>70.376000000000005</v>
          </cell>
        </row>
        <row r="13">
          <cell r="B13">
            <v>-390.58499999999998</v>
          </cell>
          <cell r="C13">
            <v>-54.155000000000001</v>
          </cell>
        </row>
        <row r="14">
          <cell r="B14">
            <v>0</v>
          </cell>
          <cell r="C14">
            <v>-0.186</v>
          </cell>
        </row>
        <row r="15">
          <cell r="B15">
            <v>0.91800000000000004</v>
          </cell>
          <cell r="C15">
            <v>3.31</v>
          </cell>
        </row>
        <row r="16">
          <cell r="B16">
            <v>0.73199999999999998</v>
          </cell>
          <cell r="C16">
            <v>0.48899999999999999</v>
          </cell>
        </row>
        <row r="17">
          <cell r="B17">
            <v>0</v>
          </cell>
          <cell r="C17">
            <v>0</v>
          </cell>
        </row>
        <row r="18">
          <cell r="B18">
            <v>-62.311</v>
          </cell>
          <cell r="C18">
            <v>-14.131</v>
          </cell>
        </row>
        <row r="19">
          <cell r="C19">
            <v>0</v>
          </cell>
        </row>
        <row r="32">
          <cell r="B32">
            <v>15.329999999999998</v>
          </cell>
          <cell r="C32">
            <v>-257.69099999999997</v>
          </cell>
        </row>
        <row r="38">
          <cell r="B38">
            <v>0.60699999999999998</v>
          </cell>
          <cell r="C38">
            <v>-82.78</v>
          </cell>
        </row>
        <row r="42">
          <cell r="B42">
            <v>-9.5000000000000001E-2</v>
          </cell>
          <cell r="C42">
            <v>-7.0730000000000004</v>
          </cell>
        </row>
        <row r="43">
          <cell r="B43">
            <v>0</v>
          </cell>
          <cell r="C43">
            <v>0.186</v>
          </cell>
        </row>
        <row r="44">
          <cell r="B44">
            <v>0</v>
          </cell>
          <cell r="C44">
            <v>0</v>
          </cell>
        </row>
        <row r="48">
          <cell r="B48">
            <v>-3.6059999999999999</v>
          </cell>
          <cell r="C48">
            <v>-142.67499999999998</v>
          </cell>
        </row>
        <row r="49">
          <cell r="B49">
            <v>0</v>
          </cell>
          <cell r="C49">
            <v>0</v>
          </cell>
        </row>
        <row r="50">
          <cell r="B50">
            <v>-26.018999999999998</v>
          </cell>
          <cell r="C50">
            <v>-58.362000000000002</v>
          </cell>
        </row>
        <row r="51">
          <cell r="B51">
            <v>-2.2879999999999998</v>
          </cell>
          <cell r="C51">
            <v>-49.384999999999998</v>
          </cell>
        </row>
        <row r="52">
          <cell r="B52">
            <v>0</v>
          </cell>
          <cell r="C52">
            <v>297.53800000000001</v>
          </cell>
        </row>
        <row r="53">
          <cell r="B53">
            <v>2.3250000000000002</v>
          </cell>
          <cell r="C53">
            <v>-33.658999999999992</v>
          </cell>
        </row>
        <row r="54">
          <cell r="B54">
            <v>2.31</v>
          </cell>
          <cell r="C54">
            <v>-0.33400000000000002</v>
          </cell>
        </row>
        <row r="55">
          <cell r="B55">
            <v>0</v>
          </cell>
          <cell r="C55">
            <v>0</v>
          </cell>
        </row>
        <row r="59">
          <cell r="B59">
            <v>4.7240000000000002</v>
          </cell>
          <cell r="C59">
            <v>241.39500000000001</v>
          </cell>
        </row>
      </sheetData>
      <sheetData sheetId="3" refreshError="1">
        <row r="7">
          <cell r="B7">
            <v>387.49099999999999</v>
          </cell>
        </row>
        <row r="8">
          <cell r="B8">
            <v>68.52</v>
          </cell>
        </row>
        <row r="9">
          <cell r="B9">
            <v>0.59399999999999997</v>
          </cell>
        </row>
        <row r="10">
          <cell r="B10">
            <v>0</v>
          </cell>
        </row>
        <row r="14">
          <cell r="B14">
            <v>24.574000000000002</v>
          </cell>
        </row>
        <row r="15">
          <cell r="B15">
            <v>47.465000000000003</v>
          </cell>
        </row>
        <row r="16">
          <cell r="B16">
            <v>0.995</v>
          </cell>
        </row>
        <row r="17">
          <cell r="B17">
            <v>2.1469999999999998</v>
          </cell>
        </row>
        <row r="18">
          <cell r="B18">
            <v>0.95199999999999996</v>
          </cell>
        </row>
        <row r="20">
          <cell r="B20">
            <v>2.2950000000000088</v>
          </cell>
        </row>
        <row r="26">
          <cell r="B26">
            <v>150</v>
          </cell>
        </row>
        <row r="27">
          <cell r="B27">
            <v>40</v>
          </cell>
        </row>
        <row r="33">
          <cell r="B33">
            <v>104.389</v>
          </cell>
        </row>
        <row r="34">
          <cell r="B34">
            <v>150</v>
          </cell>
        </row>
        <row r="35">
          <cell r="B35">
            <v>0</v>
          </cell>
        </row>
        <row r="36">
          <cell r="B36">
            <v>15.611000000000001</v>
          </cell>
        </row>
        <row r="37">
          <cell r="B37">
            <v>44.131</v>
          </cell>
        </row>
        <row r="41">
          <cell r="B41">
            <v>49.097000000000001</v>
          </cell>
        </row>
        <row r="42">
          <cell r="B42">
            <v>52.555999999999997</v>
          </cell>
        </row>
        <row r="43">
          <cell r="B43">
            <v>49.384999999999998</v>
          </cell>
        </row>
        <row r="44">
          <cell r="B44">
            <v>46.462000000000003</v>
          </cell>
        </row>
        <row r="45">
          <cell r="B45">
            <v>145.79499999999999</v>
          </cell>
        </row>
        <row r="46">
          <cell r="B46">
            <v>159.952</v>
          </cell>
        </row>
        <row r="47">
          <cell r="B47">
            <v>91.563000000000002</v>
          </cell>
        </row>
        <row r="48">
          <cell r="B48">
            <v>2.6339999999999999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kc"/>
    </sheetNames>
    <sheetDataSet>
      <sheetData sheetId="0">
        <row r="1">
          <cell r="D1" t="str">
            <v>DGKC</v>
          </cell>
          <cell r="E1" t="str">
            <v>KSE100</v>
          </cell>
        </row>
        <row r="2">
          <cell r="A2">
            <v>41306</v>
          </cell>
          <cell r="D2">
            <v>1</v>
          </cell>
          <cell r="E2">
            <v>1</v>
          </cell>
        </row>
        <row r="3">
          <cell r="A3">
            <v>41309</v>
          </cell>
          <cell r="D3">
            <v>1.0065288356909685</v>
          </cell>
          <cell r="E3">
            <v>1.0012648968535691</v>
          </cell>
        </row>
        <row r="4">
          <cell r="A4">
            <v>41311</v>
          </cell>
          <cell r="D4">
            <v>1.0101559666303954</v>
          </cell>
          <cell r="E4">
            <v>1.0082409420006568</v>
          </cell>
        </row>
        <row r="5">
          <cell r="A5">
            <v>41312</v>
          </cell>
          <cell r="D5">
            <v>1.0165034457743924</v>
          </cell>
          <cell r="E5">
            <v>1.0067814456311539</v>
          </cell>
        </row>
        <row r="6">
          <cell r="A6">
            <v>41313</v>
          </cell>
          <cell r="D6">
            <v>1.0157780195865069</v>
          </cell>
          <cell r="E6">
            <v>1.0122615069995013</v>
          </cell>
        </row>
        <row r="7">
          <cell r="A7">
            <v>41316</v>
          </cell>
          <cell r="D7">
            <v>1.006347479143997</v>
          </cell>
          <cell r="E7">
            <v>1.0163504134950132</v>
          </cell>
        </row>
        <row r="8">
          <cell r="A8">
            <v>41317</v>
          </cell>
          <cell r="D8">
            <v>1.0226695683714182</v>
          </cell>
          <cell r="E8">
            <v>1.0199910461056063</v>
          </cell>
        </row>
        <row r="9">
          <cell r="A9">
            <v>41318</v>
          </cell>
          <cell r="D9">
            <v>1.0371780921291258</v>
          </cell>
          <cell r="E9">
            <v>1.0249168463526781</v>
          </cell>
        </row>
        <row r="10">
          <cell r="A10">
            <v>41319</v>
          </cell>
          <cell r="D10">
            <v>1.0324628219078709</v>
          </cell>
          <cell r="E10">
            <v>1.0289345155253926</v>
          </cell>
        </row>
        <row r="11">
          <cell r="A11">
            <v>41320</v>
          </cell>
          <cell r="D11">
            <v>1.0498730504171201</v>
          </cell>
          <cell r="E11">
            <v>1.0307530943350112</v>
          </cell>
        </row>
        <row r="12">
          <cell r="A12">
            <v>41323</v>
          </cell>
          <cell r="D12">
            <v>1.1021037359448675</v>
          </cell>
          <cell r="E12">
            <v>1.0347140053155786</v>
          </cell>
        </row>
        <row r="13">
          <cell r="A13">
            <v>41324</v>
          </cell>
          <cell r="D13">
            <v>1.0819731592310482</v>
          </cell>
          <cell r="E13">
            <v>1.0319398038830712</v>
          </cell>
        </row>
        <row r="14">
          <cell r="A14">
            <v>41325</v>
          </cell>
          <cell r="D14">
            <v>1.1256800870511425</v>
          </cell>
          <cell r="E14">
            <v>1.0394318852465187</v>
          </cell>
        </row>
        <row r="15">
          <cell r="A15">
            <v>41326</v>
          </cell>
          <cell r="D15">
            <v>1.1104461371055494</v>
          </cell>
          <cell r="E15">
            <v>1.0379231598328067</v>
          </cell>
        </row>
        <row r="16">
          <cell r="A16">
            <v>41327</v>
          </cell>
          <cell r="D16">
            <v>1.1371055495103373</v>
          </cell>
          <cell r="E16">
            <v>1.0467988669211519</v>
          </cell>
        </row>
        <row r="17">
          <cell r="A17">
            <v>41330</v>
          </cell>
          <cell r="D17">
            <v>1.1240478781284005</v>
          </cell>
          <cell r="E17">
            <v>1.0436846955009866</v>
          </cell>
        </row>
        <row r="18">
          <cell r="A18">
            <v>41331</v>
          </cell>
          <cell r="D18">
            <v>1.1118969894813202</v>
          </cell>
          <cell r="E18">
            <v>1.0364098010972864</v>
          </cell>
        </row>
        <row r="19">
          <cell r="A19">
            <v>41332</v>
          </cell>
          <cell r="D19">
            <v>1.1325716358360538</v>
          </cell>
          <cell r="E19">
            <v>1.0471828534659855</v>
          </cell>
        </row>
        <row r="20">
          <cell r="A20">
            <v>41333</v>
          </cell>
          <cell r="D20">
            <v>1.142727602466449</v>
          </cell>
          <cell r="E20">
            <v>1.0525557692675238</v>
          </cell>
        </row>
        <row r="21">
          <cell r="A21">
            <v>41334</v>
          </cell>
          <cell r="D21">
            <v>1.1510700036271309</v>
          </cell>
          <cell r="E21">
            <v>1.0532229676078679</v>
          </cell>
        </row>
        <row r="22">
          <cell r="A22">
            <v>41337</v>
          </cell>
          <cell r="D22">
            <v>1.1501632208922743</v>
          </cell>
          <cell r="E22">
            <v>1.049839484357616</v>
          </cell>
        </row>
        <row r="23">
          <cell r="A23">
            <v>41338</v>
          </cell>
          <cell r="D23">
            <v>1.1695683714182081</v>
          </cell>
          <cell r="E23">
            <v>1.0455855157726961</v>
          </cell>
        </row>
        <row r="24">
          <cell r="A24">
            <v>41339</v>
          </cell>
          <cell r="D24">
            <v>1.1548784911135292</v>
          </cell>
          <cell r="E24">
            <v>1.0425234692228704</v>
          </cell>
        </row>
        <row r="25">
          <cell r="A25">
            <v>41340</v>
          </cell>
          <cell r="D25">
            <v>1.1702937976060936</v>
          </cell>
          <cell r="E25">
            <v>1.0420867786424715</v>
          </cell>
        </row>
        <row r="26">
          <cell r="A26">
            <v>41341</v>
          </cell>
          <cell r="D26">
            <v>1.1581429089590134</v>
          </cell>
          <cell r="E26">
            <v>1.0404228369481932</v>
          </cell>
        </row>
        <row r="27">
          <cell r="A27">
            <v>41344</v>
          </cell>
          <cell r="D27">
            <v>1.112803772216177</v>
          </cell>
          <cell r="E27">
            <v>1.0148457422378829</v>
          </cell>
        </row>
        <row r="28">
          <cell r="A28">
            <v>41345</v>
          </cell>
          <cell r="D28">
            <v>1.1468988030467899</v>
          </cell>
          <cell r="E28">
            <v>1.0351333209391975</v>
          </cell>
        </row>
        <row r="29">
          <cell r="A29">
            <v>41346</v>
          </cell>
          <cell r="D29">
            <v>1.1338411316648531</v>
          </cell>
          <cell r="E29">
            <v>1.0286229246338083</v>
          </cell>
        </row>
        <row r="30">
          <cell r="A30">
            <v>41347</v>
          </cell>
          <cell r="D30">
            <v>1.1459920203119331</v>
          </cell>
          <cell r="E30">
            <v>1.0274790733124717</v>
          </cell>
        </row>
        <row r="31">
          <cell r="A31">
            <v>41348</v>
          </cell>
          <cell r="D31">
            <v>1.1481682988755895</v>
          </cell>
          <cell r="E31">
            <v>1.0230855259080878</v>
          </cell>
        </row>
        <row r="32">
          <cell r="A32">
            <v>41351</v>
          </cell>
          <cell r="D32">
            <v>1.1445411679361626</v>
          </cell>
          <cell r="E32">
            <v>1.0130758133072477</v>
          </cell>
        </row>
        <row r="33">
          <cell r="A33">
            <v>41352</v>
          </cell>
          <cell r="D33">
            <v>1.1784548422198042</v>
          </cell>
          <cell r="E33">
            <v>1.0247384634630721</v>
          </cell>
        </row>
        <row r="34">
          <cell r="A34">
            <v>41353</v>
          </cell>
          <cell r="D34">
            <v>1.226151614073268</v>
          </cell>
          <cell r="E34">
            <v>1.0282482047325909</v>
          </cell>
        </row>
        <row r="35">
          <cell r="A35">
            <v>41354</v>
          </cell>
          <cell r="D35">
            <v>1.2506347479143995</v>
          </cell>
          <cell r="E35">
            <v>1.0374945775655715</v>
          </cell>
        </row>
        <row r="36">
          <cell r="A36">
            <v>41355</v>
          </cell>
          <cell r="D36">
            <v>1.2560754443235402</v>
          </cell>
          <cell r="E36">
            <v>1.0403608662690118</v>
          </cell>
        </row>
        <row r="37">
          <cell r="A37">
            <v>41358</v>
          </cell>
          <cell r="D37">
            <v>1.2675009067827347</v>
          </cell>
          <cell r="E37">
            <v>1.0402913664418927</v>
          </cell>
        </row>
        <row r="38">
          <cell r="A38">
            <v>41359</v>
          </cell>
          <cell r="D38">
            <v>1.2524483133841131</v>
          </cell>
          <cell r="E38">
            <v>1.0350927793733782</v>
          </cell>
        </row>
        <row r="39">
          <cell r="A39">
            <v>41360</v>
          </cell>
          <cell r="D39">
            <v>1.2361262241566919</v>
          </cell>
          <cell r="E39">
            <v>1.038219692428515</v>
          </cell>
        </row>
        <row r="40">
          <cell r="A40">
            <v>41361</v>
          </cell>
          <cell r="D40">
            <v>1.2383025027203483</v>
          </cell>
          <cell r="E40">
            <v>1.0394718476471123</v>
          </cell>
        </row>
        <row r="41">
          <cell r="A41">
            <v>41362</v>
          </cell>
          <cell r="D41">
            <v>1.2562568008705113</v>
          </cell>
          <cell r="E41">
            <v>1.0450057713814771</v>
          </cell>
        </row>
        <row r="42">
          <cell r="A42">
            <v>41365</v>
          </cell>
          <cell r="D42">
            <v>1.2899891186071817</v>
          </cell>
          <cell r="E42">
            <v>1.0582570717522009</v>
          </cell>
        </row>
        <row r="43">
          <cell r="A43">
            <v>41366</v>
          </cell>
          <cell r="D43">
            <v>1.3086688429452302</v>
          </cell>
          <cell r="E43">
            <v>1.0625214653111885</v>
          </cell>
        </row>
        <row r="44">
          <cell r="A44">
            <v>41367</v>
          </cell>
          <cell r="D44">
            <v>1.3317011244105914</v>
          </cell>
          <cell r="E44">
            <v>1.0758503738221952</v>
          </cell>
        </row>
        <row r="45">
          <cell r="A45">
            <v>41368</v>
          </cell>
          <cell r="D45">
            <v>1.3135654697134567</v>
          </cell>
          <cell r="E45">
            <v>1.0780257184110253</v>
          </cell>
        </row>
        <row r="46">
          <cell r="A46">
            <v>41369</v>
          </cell>
          <cell r="D46">
            <v>1.3112078346028291</v>
          </cell>
          <cell r="E46">
            <v>1.079334052656544</v>
          </cell>
        </row>
        <row r="47">
          <cell r="A47">
            <v>41372</v>
          </cell>
          <cell r="D47">
            <v>1.3248095756256799</v>
          </cell>
          <cell r="E47">
            <v>1.0803203710364104</v>
          </cell>
        </row>
        <row r="48">
          <cell r="A48">
            <v>41373</v>
          </cell>
          <cell r="D48">
            <v>1.3219078708741385</v>
          </cell>
          <cell r="E48">
            <v>1.0838272164797991</v>
          </cell>
        </row>
        <row r="49">
          <cell r="A49">
            <v>41374</v>
          </cell>
          <cell r="D49">
            <v>1.321545157780196</v>
          </cell>
          <cell r="E49">
            <v>1.0843913234099163</v>
          </cell>
        </row>
        <row r="50">
          <cell r="A50">
            <v>41375</v>
          </cell>
          <cell r="D50">
            <v>1.3244468625317374</v>
          </cell>
          <cell r="E50">
            <v>1.0867774841410083</v>
          </cell>
        </row>
        <row r="51">
          <cell r="A51">
            <v>41376</v>
          </cell>
          <cell r="D51">
            <v>1.3182807399347116</v>
          </cell>
          <cell r="E51">
            <v>1.0838660205499404</v>
          </cell>
        </row>
        <row r="52">
          <cell r="A52">
            <v>41379</v>
          </cell>
          <cell r="D52">
            <v>1.2925281102647805</v>
          </cell>
          <cell r="E52">
            <v>1.0728746228910422</v>
          </cell>
        </row>
        <row r="53">
          <cell r="A53">
            <v>41380</v>
          </cell>
          <cell r="D53">
            <v>1.2700398984403336</v>
          </cell>
          <cell r="E53">
            <v>1.0634556588207154</v>
          </cell>
        </row>
        <row r="54">
          <cell r="A54">
            <v>41381</v>
          </cell>
          <cell r="D54">
            <v>1.269133115705477</v>
          </cell>
          <cell r="E54">
            <v>1.0653234666745433</v>
          </cell>
        </row>
        <row r="55">
          <cell r="A55">
            <v>41382</v>
          </cell>
          <cell r="D55">
            <v>1.280195865070729</v>
          </cell>
          <cell r="E55">
            <v>1.0780790016118169</v>
          </cell>
        </row>
        <row r="56">
          <cell r="A56">
            <v>41383</v>
          </cell>
          <cell r="D56">
            <v>1.2622415669205658</v>
          </cell>
          <cell r="E56">
            <v>1.0790548950176153</v>
          </cell>
        </row>
        <row r="57">
          <cell r="A57">
            <v>41386</v>
          </cell>
          <cell r="D57">
            <v>1.2377584330794342</v>
          </cell>
          <cell r="E57">
            <v>1.0775687570477168</v>
          </cell>
        </row>
        <row r="58">
          <cell r="A58">
            <v>41387</v>
          </cell>
          <cell r="D58">
            <v>1.2482771128037722</v>
          </cell>
          <cell r="E58">
            <v>1.0799861927010124</v>
          </cell>
        </row>
        <row r="59">
          <cell r="A59">
            <v>41388</v>
          </cell>
          <cell r="D59">
            <v>1.2540805223068554</v>
          </cell>
          <cell r="E59">
            <v>1.087652602797484</v>
          </cell>
        </row>
        <row r="60">
          <cell r="A60">
            <v>41389</v>
          </cell>
          <cell r="D60">
            <v>1.2626042800145085</v>
          </cell>
          <cell r="E60">
            <v>1.0937888583668816</v>
          </cell>
        </row>
        <row r="61">
          <cell r="A61">
            <v>41390</v>
          </cell>
          <cell r="D61">
            <v>1.2520856002901706</v>
          </cell>
          <cell r="E61">
            <v>1.0956479787423195</v>
          </cell>
        </row>
        <row r="62">
          <cell r="A62">
            <v>41393</v>
          </cell>
          <cell r="D62">
            <v>1.2332245194051505</v>
          </cell>
          <cell r="E62">
            <v>1.0901540174085482</v>
          </cell>
        </row>
        <row r="63">
          <cell r="A63">
            <v>41394</v>
          </cell>
          <cell r="D63">
            <v>1.2323177366702938</v>
          </cell>
          <cell r="E63">
            <v>1.0993957569197212</v>
          </cell>
        </row>
        <row r="64">
          <cell r="A64">
            <v>41396</v>
          </cell>
          <cell r="D64">
            <v>1.2285092491838954</v>
          </cell>
          <cell r="E64">
            <v>1.1024137869123716</v>
          </cell>
        </row>
        <row r="65">
          <cell r="A65">
            <v>41397</v>
          </cell>
          <cell r="D65">
            <v>1.232499093217265</v>
          </cell>
          <cell r="E65">
            <v>1.1135395509037005</v>
          </cell>
        </row>
        <row r="66">
          <cell r="A66">
            <v>41400</v>
          </cell>
          <cell r="D66">
            <v>1.2348567283278926</v>
          </cell>
          <cell r="E66">
            <v>1.1152811007382619</v>
          </cell>
        </row>
        <row r="67">
          <cell r="A67">
            <v>41401</v>
          </cell>
          <cell r="D67">
            <v>1.2321363801233225</v>
          </cell>
          <cell r="E67">
            <v>1.115630916534762</v>
          </cell>
        </row>
        <row r="68">
          <cell r="A68">
            <v>41402</v>
          </cell>
          <cell r="D68">
            <v>1.2912586144359812</v>
          </cell>
          <cell r="E68">
            <v>1.1277823821413244</v>
          </cell>
        </row>
        <row r="69">
          <cell r="A69">
            <v>41403</v>
          </cell>
          <cell r="D69">
            <v>1.2983315197678638</v>
          </cell>
          <cell r="E69">
            <v>1.1387233924255613</v>
          </cell>
        </row>
        <row r="70">
          <cell r="A70">
            <v>41404</v>
          </cell>
          <cell r="D70">
            <v>1.3030467899891185</v>
          </cell>
          <cell r="E70">
            <v>1.1534811015490933</v>
          </cell>
        </row>
        <row r="71">
          <cell r="A71">
            <v>41407</v>
          </cell>
          <cell r="D71">
            <v>1.3594486760972069</v>
          </cell>
          <cell r="E71">
            <v>1.1725095750490988</v>
          </cell>
        </row>
        <row r="72">
          <cell r="A72">
            <v>41408</v>
          </cell>
          <cell r="D72">
            <v>1.339499455930359</v>
          </cell>
          <cell r="E72">
            <v>1.1858187919424217</v>
          </cell>
        </row>
        <row r="73">
          <cell r="A73">
            <v>41409</v>
          </cell>
          <cell r="D73">
            <v>1.350018135654697</v>
          </cell>
          <cell r="E73">
            <v>1.1911511661781407</v>
          </cell>
        </row>
        <row r="74">
          <cell r="A74">
            <v>41410</v>
          </cell>
          <cell r="D74">
            <v>1.3396808124773305</v>
          </cell>
          <cell r="E74">
            <v>1.1824584753012093</v>
          </cell>
        </row>
        <row r="75">
          <cell r="A75">
            <v>41411</v>
          </cell>
          <cell r="D75">
            <v>1.3686978599927457</v>
          </cell>
          <cell r="E75">
            <v>1.189433362117845</v>
          </cell>
        </row>
        <row r="76">
          <cell r="A76">
            <v>41414</v>
          </cell>
          <cell r="D76">
            <v>1.3792165397170837</v>
          </cell>
          <cell r="E76">
            <v>1.2054826096953417</v>
          </cell>
        </row>
        <row r="77">
          <cell r="A77">
            <v>41415</v>
          </cell>
          <cell r="D77">
            <v>1.4040623866521582</v>
          </cell>
          <cell r="E77">
            <v>1.2259769503823359</v>
          </cell>
        </row>
        <row r="78">
          <cell r="A78">
            <v>41416</v>
          </cell>
          <cell r="D78">
            <v>1.4261878853826624</v>
          </cell>
          <cell r="E78">
            <v>1.2428248668064772</v>
          </cell>
        </row>
        <row r="79">
          <cell r="A79">
            <v>41417</v>
          </cell>
          <cell r="D79">
            <v>1.3875589408777658</v>
          </cell>
          <cell r="E79">
            <v>1.2360920710543066</v>
          </cell>
        </row>
        <row r="80">
          <cell r="A80">
            <v>41418</v>
          </cell>
          <cell r="D80">
            <v>1.3873775843307943</v>
          </cell>
          <cell r="E80">
            <v>1.2326819462036589</v>
          </cell>
        </row>
        <row r="81">
          <cell r="A81">
            <v>41421</v>
          </cell>
          <cell r="D81">
            <v>1.3725063474791441</v>
          </cell>
          <cell r="E81">
            <v>1.2138642888459148</v>
          </cell>
        </row>
        <row r="82">
          <cell r="A82">
            <v>41422</v>
          </cell>
          <cell r="D82">
            <v>1.4250997461008341</v>
          </cell>
          <cell r="E82">
            <v>1.2453048523041801</v>
          </cell>
        </row>
        <row r="83">
          <cell r="A83">
            <v>41423</v>
          </cell>
          <cell r="D83">
            <v>1.4212912586144359</v>
          </cell>
          <cell r="E83">
            <v>1.2417951110346612</v>
          </cell>
        </row>
        <row r="84">
          <cell r="A84">
            <v>41424</v>
          </cell>
          <cell r="D84">
            <v>1.417120058034095</v>
          </cell>
          <cell r="E84">
            <v>1.2504559478241632</v>
          </cell>
        </row>
        <row r="85">
          <cell r="A85">
            <v>41425</v>
          </cell>
          <cell r="D85">
            <v>1.4236488937250635</v>
          </cell>
          <cell r="E85">
            <v>1.2639151685110184</v>
          </cell>
        </row>
        <row r="86">
          <cell r="A86">
            <v>41428</v>
          </cell>
          <cell r="D86">
            <v>1.4579252811026477</v>
          </cell>
          <cell r="E86">
            <v>1.2788460480371222</v>
          </cell>
        </row>
        <row r="87">
          <cell r="A87">
            <v>41429</v>
          </cell>
          <cell r="D87">
            <v>1.470620239390642</v>
          </cell>
          <cell r="E87">
            <v>1.2900621618037058</v>
          </cell>
        </row>
        <row r="88">
          <cell r="A88">
            <v>41430</v>
          </cell>
          <cell r="D88">
            <v>1.4515778019586507</v>
          </cell>
          <cell r="E88">
            <v>1.2795161422035961</v>
          </cell>
        </row>
        <row r="89">
          <cell r="A89">
            <v>41431</v>
          </cell>
          <cell r="D89">
            <v>1.4818643453028653</v>
          </cell>
          <cell r="E89">
            <v>1.2901889989881985</v>
          </cell>
        </row>
        <row r="90">
          <cell r="A90">
            <v>41432</v>
          </cell>
          <cell r="D90">
            <v>1.4902067464635473</v>
          </cell>
          <cell r="E90">
            <v>1.294953212137218</v>
          </cell>
        </row>
        <row r="91">
          <cell r="A91">
            <v>41435</v>
          </cell>
          <cell r="D91">
            <v>1.487486398258977</v>
          </cell>
          <cell r="E91">
            <v>1.2828938338015885</v>
          </cell>
        </row>
        <row r="92">
          <cell r="A92">
            <v>41436</v>
          </cell>
          <cell r="D92">
            <v>1.4840406238665216</v>
          </cell>
          <cell r="E92">
            <v>1.2862721045648067</v>
          </cell>
        </row>
        <row r="93">
          <cell r="A93">
            <v>41437</v>
          </cell>
          <cell r="D93">
            <v>1.4597388465723611</v>
          </cell>
          <cell r="E93">
            <v>1.2929614629250277</v>
          </cell>
        </row>
        <row r="94">
          <cell r="A94">
            <v>41438</v>
          </cell>
          <cell r="D94">
            <v>1.5326441784548424</v>
          </cell>
          <cell r="E94">
            <v>1.3180480046889218</v>
          </cell>
        </row>
        <row r="95">
          <cell r="A95">
            <v>41439</v>
          </cell>
          <cell r="D95">
            <v>1.6071817192600653</v>
          </cell>
          <cell r="E95">
            <v>1.3055334024856613</v>
          </cell>
        </row>
        <row r="96">
          <cell r="A96">
            <v>41442</v>
          </cell>
          <cell r="D96">
            <v>1.5585781646717447</v>
          </cell>
          <cell r="E96">
            <v>1.2867001076668154</v>
          </cell>
        </row>
        <row r="97">
          <cell r="A97">
            <v>41443</v>
          </cell>
          <cell r="D97">
            <v>1.522669568371418</v>
          </cell>
          <cell r="E97">
            <v>1.2695081670984343</v>
          </cell>
        </row>
        <row r="98">
          <cell r="A98">
            <v>41444</v>
          </cell>
          <cell r="D98">
            <v>1.575625680087051</v>
          </cell>
          <cell r="E98">
            <v>1.2820239276321468</v>
          </cell>
        </row>
        <row r="99">
          <cell r="A99">
            <v>41445</v>
          </cell>
          <cell r="D99">
            <v>1.5529561117156327</v>
          </cell>
          <cell r="E99">
            <v>1.2750345616848613</v>
          </cell>
        </row>
        <row r="100">
          <cell r="A100">
            <v>41446</v>
          </cell>
          <cell r="D100">
            <v>1.5437069278200943</v>
          </cell>
          <cell r="E100">
            <v>1.2566929781428835</v>
          </cell>
        </row>
        <row r="101">
          <cell r="A101">
            <v>41449</v>
          </cell>
          <cell r="D101">
            <v>1.5190424374319913</v>
          </cell>
          <cell r="E101">
            <v>1.219031600992226</v>
          </cell>
        </row>
        <row r="102">
          <cell r="A102">
            <v>41450</v>
          </cell>
          <cell r="D102">
            <v>1.5103373231773667</v>
          </cell>
          <cell r="E102">
            <v>1.2226374836892593</v>
          </cell>
        </row>
        <row r="103">
          <cell r="A103">
            <v>41451</v>
          </cell>
          <cell r="D103">
            <v>1.5021762785636561</v>
          </cell>
          <cell r="E103">
            <v>1.216395820048731</v>
          </cell>
        </row>
        <row r="104">
          <cell r="A104">
            <v>41452</v>
          </cell>
          <cell r="D104">
            <v>1.504715270221255</v>
          </cell>
          <cell r="E104">
            <v>1.2171354140423243</v>
          </cell>
        </row>
        <row r="105">
          <cell r="A105">
            <v>41453</v>
          </cell>
          <cell r="D105">
            <v>1.5177729416031918</v>
          </cell>
          <cell r="E105">
            <v>1.2165765195992408</v>
          </cell>
        </row>
        <row r="106">
          <cell r="A106">
            <v>41456</v>
          </cell>
          <cell r="D106">
            <v>1.5554951033732316</v>
          </cell>
          <cell r="E106">
            <v>1.2372799389328186</v>
          </cell>
        </row>
        <row r="107">
          <cell r="A107">
            <v>41457</v>
          </cell>
          <cell r="D107">
            <v>1.5992020311933262</v>
          </cell>
          <cell r="E107">
            <v>1.2535550609484525</v>
          </cell>
        </row>
        <row r="108">
          <cell r="A108">
            <v>41458</v>
          </cell>
          <cell r="D108">
            <v>1.589227421109902</v>
          </cell>
          <cell r="E108">
            <v>1.2627458339197382</v>
          </cell>
        </row>
        <row r="109">
          <cell r="A109">
            <v>41459</v>
          </cell>
          <cell r="D109">
            <v>1.6026478055857818</v>
          </cell>
          <cell r="E109">
            <v>1.2722499352782859</v>
          </cell>
        </row>
        <row r="110">
          <cell r="A110">
            <v>41460</v>
          </cell>
          <cell r="D110">
            <v>1.5952121871599563</v>
          </cell>
          <cell r="E110">
            <v>1.2844923298253297</v>
          </cell>
        </row>
        <row r="111">
          <cell r="A111">
            <v>41463</v>
          </cell>
          <cell r="D111">
            <v>1.6271309394269133</v>
          </cell>
          <cell r="E111">
            <v>1.2953447278299897</v>
          </cell>
        </row>
        <row r="112">
          <cell r="A112">
            <v>41464</v>
          </cell>
          <cell r="D112">
            <v>1.6592310482408414</v>
          </cell>
          <cell r="E112">
            <v>1.3159340516140468</v>
          </cell>
        </row>
        <row r="113">
          <cell r="A113">
            <v>41465</v>
          </cell>
          <cell r="D113">
            <v>1.6768226332970619</v>
          </cell>
          <cell r="E113">
            <v>1.3312077969539384</v>
          </cell>
        </row>
        <row r="114">
          <cell r="A114">
            <v>41466</v>
          </cell>
          <cell r="D114">
            <v>1.6405513239027927</v>
          </cell>
          <cell r="E114">
            <v>1.317434668714595</v>
          </cell>
        </row>
        <row r="115">
          <cell r="A115">
            <v>41467</v>
          </cell>
          <cell r="D115">
            <v>1.6594124047878129</v>
          </cell>
          <cell r="E115">
            <v>1.3342414644076905</v>
          </cell>
        </row>
        <row r="116">
          <cell r="A116">
            <v>41470</v>
          </cell>
          <cell r="D116">
            <v>1.6737395719985493</v>
          </cell>
          <cell r="E116">
            <v>1.3420619324542764</v>
          </cell>
        </row>
        <row r="117">
          <cell r="A117">
            <v>41471</v>
          </cell>
          <cell r="D117">
            <v>1.67791077257889</v>
          </cell>
          <cell r="E117">
            <v>1.3413982091052883</v>
          </cell>
        </row>
        <row r="118">
          <cell r="A118">
            <v>41472</v>
          </cell>
          <cell r="D118">
            <v>1.6467174464998187</v>
          </cell>
          <cell r="E118">
            <v>1.3317742205449599</v>
          </cell>
        </row>
        <row r="119">
          <cell r="A119">
            <v>41473</v>
          </cell>
          <cell r="D119">
            <v>1.6617700398984403</v>
          </cell>
          <cell r="E119">
            <v>1.3387386823875276</v>
          </cell>
        </row>
        <row r="120">
          <cell r="A120">
            <v>41474</v>
          </cell>
          <cell r="D120">
            <v>1.6998549147624229</v>
          </cell>
          <cell r="E120">
            <v>1.3569221538228091</v>
          </cell>
        </row>
        <row r="121">
          <cell r="A121">
            <v>41477</v>
          </cell>
          <cell r="D121">
            <v>1.7013057671381937</v>
          </cell>
          <cell r="E121">
            <v>1.3701780875153406</v>
          </cell>
        </row>
        <row r="122">
          <cell r="A122">
            <v>41478</v>
          </cell>
          <cell r="D122">
            <v>1.7163583605368153</v>
          </cell>
          <cell r="E122">
            <v>1.3716526421807194</v>
          </cell>
        </row>
        <row r="123">
          <cell r="A123">
            <v>41479</v>
          </cell>
          <cell r="D123">
            <v>1.7384838592673195</v>
          </cell>
          <cell r="E123">
            <v>1.3770359829563259</v>
          </cell>
        </row>
        <row r="124">
          <cell r="A124">
            <v>41480</v>
          </cell>
          <cell r="D124">
            <v>1.7252448313384112</v>
          </cell>
          <cell r="E124">
            <v>1.3653055704690602</v>
          </cell>
        </row>
        <row r="125">
          <cell r="A125">
            <v>41481</v>
          </cell>
          <cell r="D125">
            <v>1.720348204570185</v>
          </cell>
          <cell r="E125">
            <v>1.3608685856727265</v>
          </cell>
        </row>
        <row r="126">
          <cell r="A126">
            <v>41484</v>
          </cell>
          <cell r="D126">
            <v>1.6628581791802683</v>
          </cell>
          <cell r="E126">
            <v>1.3503324118814588</v>
          </cell>
        </row>
        <row r="127">
          <cell r="A127">
            <v>41485</v>
          </cell>
          <cell r="D127">
            <v>1.6712005803409504</v>
          </cell>
          <cell r="E127">
            <v>1.3485752245857956</v>
          </cell>
        </row>
        <row r="128">
          <cell r="A128">
            <v>41486</v>
          </cell>
          <cell r="D128">
            <v>1.6626768226332971</v>
          </cell>
          <cell r="E128">
            <v>1.3501945705576726</v>
          </cell>
        </row>
        <row r="129">
          <cell r="A129">
            <v>41487</v>
          </cell>
          <cell r="D129">
            <v>1.6320275661951396</v>
          </cell>
          <cell r="E129">
            <v>1.3374002315502573</v>
          </cell>
        </row>
        <row r="130">
          <cell r="A130">
            <v>41491</v>
          </cell>
          <cell r="D130">
            <v>1.5805223068552776</v>
          </cell>
          <cell r="E130">
            <v>1.3147803544838683</v>
          </cell>
        </row>
        <row r="131">
          <cell r="A131">
            <v>41492</v>
          </cell>
          <cell r="D131">
            <v>1.5398984403336959</v>
          </cell>
          <cell r="E131">
            <v>1.3101835200851606</v>
          </cell>
        </row>
        <row r="132">
          <cell r="A132">
            <v>41493</v>
          </cell>
          <cell r="D132">
            <v>1.5701849836779107</v>
          </cell>
          <cell r="E132">
            <v>1.345817239779616</v>
          </cell>
        </row>
        <row r="133">
          <cell r="A133">
            <v>41498</v>
          </cell>
          <cell r="D133">
            <v>1.5836053681537903</v>
          </cell>
          <cell r="E133">
            <v>1.357446877517559</v>
          </cell>
        </row>
        <row r="134">
          <cell r="A134">
            <v>41499</v>
          </cell>
          <cell r="D134">
            <v>1.5667392092854553</v>
          </cell>
          <cell r="E134">
            <v>1.3675944314421853</v>
          </cell>
        </row>
        <row r="135">
          <cell r="A135">
            <v>41501</v>
          </cell>
          <cell r="D135">
            <v>1.5239390642002177</v>
          </cell>
          <cell r="E135">
            <v>1.3719202165151281</v>
          </cell>
        </row>
        <row r="136">
          <cell r="A136">
            <v>41502</v>
          </cell>
          <cell r="D136">
            <v>1.5500544069640914</v>
          </cell>
          <cell r="E136">
            <v>1.3710752144504041</v>
          </cell>
        </row>
        <row r="137">
          <cell r="A137">
            <v>41505</v>
          </cell>
          <cell r="D137">
            <v>1.5030830612985129</v>
          </cell>
          <cell r="E137">
            <v>1.366843254144072</v>
          </cell>
        </row>
        <row r="138">
          <cell r="A138">
            <v>41506</v>
          </cell>
          <cell r="D138">
            <v>1.5096118969894812</v>
          </cell>
          <cell r="E138">
            <v>1.3602986870903493</v>
          </cell>
        </row>
        <row r="139">
          <cell r="A139">
            <v>41507</v>
          </cell>
          <cell r="D139">
            <v>1.4844033369604641</v>
          </cell>
          <cell r="E139">
            <v>1.3329644050843756</v>
          </cell>
        </row>
        <row r="140">
          <cell r="A140">
            <v>41508</v>
          </cell>
          <cell r="D140">
            <v>1.4678998911860717</v>
          </cell>
          <cell r="E140">
            <v>1.3155344276081113</v>
          </cell>
        </row>
        <row r="141">
          <cell r="A141">
            <v>41509</v>
          </cell>
          <cell r="D141">
            <v>1.4639100471527022</v>
          </cell>
          <cell r="E141">
            <v>1.3155552775562471</v>
          </cell>
        </row>
        <row r="142">
          <cell r="A142">
            <v>41512</v>
          </cell>
          <cell r="D142">
            <v>1.536271309394269</v>
          </cell>
          <cell r="E142">
            <v>1.3275764309869613</v>
          </cell>
        </row>
        <row r="143">
          <cell r="A143">
            <v>41513</v>
          </cell>
          <cell r="D143">
            <v>1.4838592673195501</v>
          </cell>
          <cell r="E143">
            <v>1.3044949592354556</v>
          </cell>
        </row>
        <row r="144">
          <cell r="A144">
            <v>41514</v>
          </cell>
          <cell r="D144">
            <v>1.4686253173739572</v>
          </cell>
          <cell r="E144">
            <v>1.2878509089708641</v>
          </cell>
        </row>
        <row r="145">
          <cell r="A145">
            <v>41515</v>
          </cell>
          <cell r="D145">
            <v>1.406057308668843</v>
          </cell>
          <cell r="E145">
            <v>1.2865999120827187</v>
          </cell>
        </row>
        <row r="146">
          <cell r="A146">
            <v>41516</v>
          </cell>
          <cell r="D146">
            <v>1.4274573812114617</v>
          </cell>
          <cell r="E146">
            <v>1.2834793698450675</v>
          </cell>
        </row>
        <row r="147">
          <cell r="A147">
            <v>41519</v>
          </cell>
          <cell r="D147">
            <v>1.392455567645992</v>
          </cell>
          <cell r="E147">
            <v>1.2582179201829236</v>
          </cell>
        </row>
        <row r="148">
          <cell r="A148">
            <v>41520</v>
          </cell>
          <cell r="D148">
            <v>1.3465723612622416</v>
          </cell>
          <cell r="E148">
            <v>1.2630713247767462</v>
          </cell>
        </row>
        <row r="149">
          <cell r="A149">
            <v>41521</v>
          </cell>
          <cell r="D149">
            <v>1.3275299238302503</v>
          </cell>
          <cell r="E149">
            <v>1.2669720025738105</v>
          </cell>
        </row>
        <row r="150">
          <cell r="A150">
            <v>41522</v>
          </cell>
          <cell r="D150">
            <v>1.3922742110990205</v>
          </cell>
          <cell r="E150">
            <v>1.300310490477655</v>
          </cell>
        </row>
        <row r="151">
          <cell r="A151">
            <v>41523</v>
          </cell>
          <cell r="D151">
            <v>1.4169387014871235</v>
          </cell>
          <cell r="E151">
            <v>1.3185200243481061</v>
          </cell>
        </row>
        <row r="152">
          <cell r="A152">
            <v>41526</v>
          </cell>
          <cell r="D152">
            <v>1.4067827348567281</v>
          </cell>
          <cell r="E152">
            <v>1.3227461930021782</v>
          </cell>
        </row>
        <row r="153">
          <cell r="A153">
            <v>41527</v>
          </cell>
          <cell r="D153">
            <v>1.4691693870148712</v>
          </cell>
          <cell r="E153">
            <v>1.3316265334123314</v>
          </cell>
        </row>
        <row r="154">
          <cell r="A154">
            <v>41528</v>
          </cell>
          <cell r="D154">
            <v>1.4510337323177367</v>
          </cell>
          <cell r="E154">
            <v>1.3454981197400939</v>
          </cell>
        </row>
        <row r="155">
          <cell r="A155">
            <v>41529</v>
          </cell>
          <cell r="D155">
            <v>1.3835690968443961</v>
          </cell>
          <cell r="E155">
            <v>1.3449496502710783</v>
          </cell>
        </row>
        <row r="156">
          <cell r="A156">
            <v>41530</v>
          </cell>
          <cell r="D156">
            <v>1.4064200217627856</v>
          </cell>
          <cell r="E156">
            <v>1.3418123122418735</v>
          </cell>
        </row>
        <row r="157">
          <cell r="A157">
            <v>41533</v>
          </cell>
          <cell r="D157">
            <v>1.4036996735582155</v>
          </cell>
          <cell r="E157">
            <v>1.3461352014886863</v>
          </cell>
        </row>
        <row r="158">
          <cell r="A158">
            <v>41534</v>
          </cell>
          <cell r="D158">
            <v>1.3837504533913674</v>
          </cell>
          <cell r="E158">
            <v>1.3359314685371386</v>
          </cell>
        </row>
        <row r="159">
          <cell r="A159">
            <v>41535</v>
          </cell>
          <cell r="D159">
            <v>1.3628944504896627</v>
          </cell>
          <cell r="E159">
            <v>1.3280293381936881</v>
          </cell>
        </row>
        <row r="160">
          <cell r="A160">
            <v>41536</v>
          </cell>
          <cell r="D160">
            <v>1.3895538628944506</v>
          </cell>
          <cell r="E160">
            <v>1.3585467122817199</v>
          </cell>
        </row>
        <row r="161">
          <cell r="A161">
            <v>41537</v>
          </cell>
          <cell r="D161">
            <v>1.4252811026478056</v>
          </cell>
          <cell r="E161">
            <v>1.3665756798096631</v>
          </cell>
        </row>
        <row r="162">
          <cell r="A162">
            <v>41540</v>
          </cell>
          <cell r="D162">
            <v>1.4198404062386654</v>
          </cell>
          <cell r="E162">
            <v>1.3691448567521689</v>
          </cell>
        </row>
        <row r="163">
          <cell r="A163">
            <v>41541</v>
          </cell>
          <cell r="D163">
            <v>1.3638012332245195</v>
          </cell>
          <cell r="E163">
            <v>1.3372050528690977</v>
          </cell>
        </row>
        <row r="164">
          <cell r="A164">
            <v>41542</v>
          </cell>
          <cell r="D164">
            <v>1.3460282916213275</v>
          </cell>
          <cell r="E164">
            <v>1.3356071360105826</v>
          </cell>
        </row>
        <row r="165">
          <cell r="A165">
            <v>41543</v>
          </cell>
          <cell r="D165">
            <v>1.3159231048240843</v>
          </cell>
          <cell r="E165">
            <v>1.3193858763609658</v>
          </cell>
        </row>
        <row r="166">
          <cell r="A166">
            <v>41544</v>
          </cell>
          <cell r="D166">
            <v>1.3128400435255714</v>
          </cell>
          <cell r="E166">
            <v>1.2965951455529088</v>
          </cell>
        </row>
        <row r="167">
          <cell r="A167">
            <v>41547</v>
          </cell>
          <cell r="D167">
            <v>1.2490025389916577</v>
          </cell>
          <cell r="E167">
            <v>1.2644729046236498</v>
          </cell>
        </row>
        <row r="168">
          <cell r="A168">
            <v>41548</v>
          </cell>
          <cell r="D168">
            <v>1.2916213275299238</v>
          </cell>
          <cell r="E168">
            <v>1.2730294916724727</v>
          </cell>
        </row>
        <row r="169">
          <cell r="A169">
            <v>41549</v>
          </cell>
          <cell r="D169">
            <v>1.3028654334421472</v>
          </cell>
          <cell r="E169">
            <v>1.2851485240263798</v>
          </cell>
        </row>
        <row r="170">
          <cell r="A170">
            <v>41550</v>
          </cell>
          <cell r="D170">
            <v>1.3253536452665942</v>
          </cell>
          <cell r="E170">
            <v>1.2829870794029732</v>
          </cell>
        </row>
        <row r="171">
          <cell r="A171">
            <v>41551</v>
          </cell>
          <cell r="D171">
            <v>1.3066739209285454</v>
          </cell>
          <cell r="E171">
            <v>1.2791420014676047</v>
          </cell>
        </row>
        <row r="172">
          <cell r="A172">
            <v>41554</v>
          </cell>
          <cell r="D172">
            <v>1.2985128763148348</v>
          </cell>
          <cell r="E172">
            <v>1.2663360791556697</v>
          </cell>
        </row>
        <row r="173">
          <cell r="A173">
            <v>41555</v>
          </cell>
          <cell r="D173">
            <v>1.3099383387740298</v>
          </cell>
          <cell r="E173">
            <v>1.2788240397585344</v>
          </cell>
        </row>
        <row r="174">
          <cell r="A174">
            <v>41556</v>
          </cell>
          <cell r="D174">
            <v>1.302684076895176</v>
          </cell>
          <cell r="E174">
            <v>1.2543108715683737</v>
          </cell>
        </row>
        <row r="175">
          <cell r="A175">
            <v>41557</v>
          </cell>
          <cell r="D175">
            <v>1.3059484947406603</v>
          </cell>
          <cell r="E175">
            <v>1.2553394690097375</v>
          </cell>
        </row>
        <row r="176">
          <cell r="A176">
            <v>41558</v>
          </cell>
          <cell r="D176">
            <v>1.3115705476967716</v>
          </cell>
          <cell r="E176">
            <v>1.261154867043935</v>
          </cell>
        </row>
        <row r="177">
          <cell r="A177">
            <v>41561</v>
          </cell>
          <cell r="D177">
            <v>1.2419296336597752</v>
          </cell>
          <cell r="E177">
            <v>1.2509841465102689</v>
          </cell>
        </row>
        <row r="178">
          <cell r="A178">
            <v>41568</v>
          </cell>
          <cell r="D178">
            <v>1.2990569459557488</v>
          </cell>
          <cell r="E178">
            <v>1.259971053322005</v>
          </cell>
        </row>
        <row r="179">
          <cell r="A179">
            <v>41569</v>
          </cell>
          <cell r="D179">
            <v>1.3019586507072907</v>
          </cell>
          <cell r="E179">
            <v>1.287509201487528</v>
          </cell>
        </row>
        <row r="180">
          <cell r="A180">
            <v>41570</v>
          </cell>
          <cell r="D180">
            <v>1.2905331882480957</v>
          </cell>
          <cell r="E180">
            <v>1.2942773263184841</v>
          </cell>
        </row>
        <row r="181">
          <cell r="A181">
            <v>41571</v>
          </cell>
          <cell r="D181">
            <v>1.295973884657236</v>
          </cell>
          <cell r="E181">
            <v>1.2950626743649307</v>
          </cell>
        </row>
        <row r="182">
          <cell r="A182">
            <v>41572</v>
          </cell>
          <cell r="D182">
            <v>1.2756619513964456</v>
          </cell>
          <cell r="E182">
            <v>1.299970520489997</v>
          </cell>
        </row>
        <row r="183">
          <cell r="A183">
            <v>41575</v>
          </cell>
          <cell r="D183">
            <v>1.243561842582517</v>
          </cell>
          <cell r="E183">
            <v>1.2946196129670462</v>
          </cell>
        </row>
        <row r="184">
          <cell r="A184">
            <v>41576</v>
          </cell>
          <cell r="D184">
            <v>1.2384838592673197</v>
          </cell>
          <cell r="E184">
            <v>1.2901861031620685</v>
          </cell>
        </row>
        <row r="185">
          <cell r="A185">
            <v>41577</v>
          </cell>
          <cell r="D185">
            <v>1.2635110627493653</v>
          </cell>
          <cell r="E185">
            <v>1.2921517899390893</v>
          </cell>
        </row>
        <row r="186">
          <cell r="A186">
            <v>41578</v>
          </cell>
          <cell r="D186">
            <v>1.2976060935799782</v>
          </cell>
          <cell r="E186">
            <v>1.3190980312436473</v>
          </cell>
        </row>
        <row r="187">
          <cell r="A187">
            <v>41579</v>
          </cell>
          <cell r="D187">
            <v>1.2807399347116433</v>
          </cell>
          <cell r="E187">
            <v>1.311756532838958</v>
          </cell>
        </row>
        <row r="188">
          <cell r="A188">
            <v>41582</v>
          </cell>
          <cell r="D188">
            <v>1.2419296336597752</v>
          </cell>
          <cell r="E188">
            <v>1.2960460969186673</v>
          </cell>
        </row>
        <row r="189">
          <cell r="A189">
            <v>41583</v>
          </cell>
          <cell r="D189">
            <v>1.2537178092129124</v>
          </cell>
          <cell r="E189">
            <v>1.3199580916042473</v>
          </cell>
        </row>
        <row r="190">
          <cell r="A190">
            <v>41584</v>
          </cell>
          <cell r="D190">
            <v>1.3057671381936888</v>
          </cell>
          <cell r="E190">
            <v>1.3416484084829172</v>
          </cell>
        </row>
        <row r="191">
          <cell r="A191">
            <v>41585</v>
          </cell>
          <cell r="D191">
            <v>1.3157417482771128</v>
          </cell>
          <cell r="E191">
            <v>1.3448338172258796</v>
          </cell>
        </row>
        <row r="192">
          <cell r="A192">
            <v>41586</v>
          </cell>
          <cell r="D192">
            <v>1.3070366340224882</v>
          </cell>
          <cell r="E192">
            <v>1.3533440710566234</v>
          </cell>
        </row>
        <row r="193">
          <cell r="A193">
            <v>41589</v>
          </cell>
          <cell r="D193">
            <v>1.3139281828073994</v>
          </cell>
          <cell r="E193">
            <v>1.3541508482164319</v>
          </cell>
        </row>
        <row r="194">
          <cell r="A194">
            <v>41590</v>
          </cell>
          <cell r="D194">
            <v>1.2881755531374683</v>
          </cell>
          <cell r="E194">
            <v>1.3495974512096733</v>
          </cell>
        </row>
        <row r="195">
          <cell r="A195">
            <v>41591</v>
          </cell>
          <cell r="D195">
            <v>1.28436706565107</v>
          </cell>
          <cell r="E195">
            <v>1.3487055367616441</v>
          </cell>
        </row>
        <row r="196">
          <cell r="A196">
            <v>41596</v>
          </cell>
          <cell r="D196">
            <v>1.3242655059847659</v>
          </cell>
          <cell r="E196">
            <v>1.3674809150578906</v>
          </cell>
        </row>
        <row r="197">
          <cell r="A197">
            <v>41597</v>
          </cell>
          <cell r="D197">
            <v>1.3371418208197317</v>
          </cell>
          <cell r="E197">
            <v>1.3795385558978424</v>
          </cell>
        </row>
        <row r="198">
          <cell r="A198">
            <v>41598</v>
          </cell>
          <cell r="D198">
            <v>1.3686978599927457</v>
          </cell>
          <cell r="E198">
            <v>1.3784694168906588</v>
          </cell>
        </row>
        <row r="199">
          <cell r="A199">
            <v>41599</v>
          </cell>
          <cell r="D199">
            <v>1.3841131664853099</v>
          </cell>
          <cell r="E199">
            <v>1.3774969984762164</v>
          </cell>
        </row>
        <row r="200">
          <cell r="A200">
            <v>41600</v>
          </cell>
          <cell r="D200">
            <v>1.3743199129488575</v>
          </cell>
          <cell r="E200">
            <v>1.3811683268437871</v>
          </cell>
        </row>
        <row r="201">
          <cell r="A201">
            <v>41603</v>
          </cell>
          <cell r="D201">
            <v>1.3746826260428</v>
          </cell>
          <cell r="E201">
            <v>1.3887391746779698</v>
          </cell>
        </row>
        <row r="202">
          <cell r="A202">
            <v>41604</v>
          </cell>
          <cell r="D202">
            <v>1.3612622415669207</v>
          </cell>
          <cell r="E202">
            <v>1.3783379463843584</v>
          </cell>
        </row>
        <row r="203">
          <cell r="A203">
            <v>41605</v>
          </cell>
          <cell r="D203">
            <v>1.358360536815379</v>
          </cell>
          <cell r="E203">
            <v>1.3765801799234691</v>
          </cell>
        </row>
        <row r="204">
          <cell r="A204">
            <v>41606</v>
          </cell>
          <cell r="D204">
            <v>1.4017047515415308</v>
          </cell>
          <cell r="E204">
            <v>1.4004498955475517</v>
          </cell>
        </row>
        <row r="205">
          <cell r="A205">
            <v>41607</v>
          </cell>
          <cell r="D205">
            <v>1.4131302140007254</v>
          </cell>
          <cell r="E205">
            <v>1.4074983363478883</v>
          </cell>
        </row>
        <row r="206">
          <cell r="A206">
            <v>41610</v>
          </cell>
          <cell r="D206">
            <v>1.4038810301051867</v>
          </cell>
          <cell r="E206">
            <v>1.4132540803638085</v>
          </cell>
        </row>
        <row r="207">
          <cell r="A207">
            <v>41611</v>
          </cell>
          <cell r="D207">
            <v>1.3908233587232499</v>
          </cell>
          <cell r="E207">
            <v>1.4240786784376209</v>
          </cell>
        </row>
        <row r="208">
          <cell r="A208">
            <v>41612</v>
          </cell>
          <cell r="D208">
            <v>1.3900979325353646</v>
          </cell>
          <cell r="E208">
            <v>1.4157914032188845</v>
          </cell>
        </row>
        <row r="209">
          <cell r="A209">
            <v>41613</v>
          </cell>
          <cell r="D209">
            <v>1.4133115705476968</v>
          </cell>
          <cell r="E209">
            <v>1.4363697228636476</v>
          </cell>
        </row>
        <row r="210">
          <cell r="A210">
            <v>41614</v>
          </cell>
          <cell r="D210">
            <v>1.4029742473703299</v>
          </cell>
          <cell r="E210">
            <v>1.4404157711324359</v>
          </cell>
        </row>
        <row r="211">
          <cell r="A211">
            <v>41617</v>
          </cell>
          <cell r="D211">
            <v>1.4017047515415308</v>
          </cell>
          <cell r="E211">
            <v>1.4478487776428324</v>
          </cell>
        </row>
        <row r="212">
          <cell r="A212">
            <v>41618</v>
          </cell>
          <cell r="D212">
            <v>1.4049691693870148</v>
          </cell>
          <cell r="E212">
            <v>1.4408866324611684</v>
          </cell>
        </row>
        <row r="213">
          <cell r="A213">
            <v>41619</v>
          </cell>
          <cell r="D213">
            <v>1.4285455204932898</v>
          </cell>
          <cell r="E213">
            <v>1.4463435272204761</v>
          </cell>
        </row>
        <row r="214">
          <cell r="A214">
            <v>41620</v>
          </cell>
          <cell r="D214">
            <v>1.4637286906057307</v>
          </cell>
          <cell r="E214">
            <v>1.4520830546100683</v>
          </cell>
        </row>
        <row r="215">
          <cell r="A215">
            <v>41621</v>
          </cell>
          <cell r="D215">
            <v>1.4738846572361262</v>
          </cell>
          <cell r="E215">
            <v>1.462779657168936</v>
          </cell>
        </row>
        <row r="216">
          <cell r="A216">
            <v>41624</v>
          </cell>
          <cell r="D216">
            <v>1.475335509611897</v>
          </cell>
          <cell r="E216">
            <v>1.4651907220047458</v>
          </cell>
        </row>
        <row r="217">
          <cell r="A217">
            <v>41625</v>
          </cell>
          <cell r="D217">
            <v>1.5054406964091405</v>
          </cell>
          <cell r="E217">
            <v>1.4681954311971983</v>
          </cell>
        </row>
        <row r="218">
          <cell r="A218">
            <v>41626</v>
          </cell>
          <cell r="D218">
            <v>1.5217627856365614</v>
          </cell>
          <cell r="E218">
            <v>1.478287964425355</v>
          </cell>
        </row>
        <row r="219">
          <cell r="A219">
            <v>41627</v>
          </cell>
          <cell r="D219">
            <v>1.5090678273485671</v>
          </cell>
          <cell r="E219">
            <v>1.4752867302242585</v>
          </cell>
        </row>
        <row r="220">
          <cell r="A220">
            <v>41628</v>
          </cell>
          <cell r="D220">
            <v>1.5079796880667393</v>
          </cell>
          <cell r="E220">
            <v>1.4814658440203798</v>
          </cell>
        </row>
        <row r="221">
          <cell r="A221">
            <v>41631</v>
          </cell>
          <cell r="D221">
            <v>1.522669568371418</v>
          </cell>
          <cell r="E221">
            <v>1.4721007423160704</v>
          </cell>
        </row>
        <row r="222">
          <cell r="A222">
            <v>41632</v>
          </cell>
          <cell r="D222">
            <v>1.5322814653608994</v>
          </cell>
          <cell r="E222">
            <v>1.4691504746548609</v>
          </cell>
        </row>
        <row r="223">
          <cell r="A223">
            <v>41634</v>
          </cell>
          <cell r="D223">
            <v>1.5457018498367792</v>
          </cell>
          <cell r="E223">
            <v>1.4693439158403427</v>
          </cell>
        </row>
        <row r="224">
          <cell r="A224">
            <v>41635</v>
          </cell>
          <cell r="D224">
            <v>1.5469713456655785</v>
          </cell>
          <cell r="E224">
            <v>1.4628584236396711</v>
          </cell>
        </row>
        <row r="225">
          <cell r="A225">
            <v>41638</v>
          </cell>
          <cell r="D225">
            <v>1.5602103735944868</v>
          </cell>
          <cell r="E225">
            <v>1.4643590407402194</v>
          </cell>
        </row>
        <row r="226">
          <cell r="A226">
            <v>41639</v>
          </cell>
          <cell r="D226">
            <v>1.5547696771853465</v>
          </cell>
          <cell r="E226">
            <v>1.4630373856945031</v>
          </cell>
        </row>
        <row r="227">
          <cell r="A227">
            <v>41640</v>
          </cell>
          <cell r="D227">
            <v>1.6289445048966267</v>
          </cell>
          <cell r="E227">
            <v>1.4831755397675115</v>
          </cell>
        </row>
        <row r="228">
          <cell r="A228">
            <v>41641</v>
          </cell>
          <cell r="D228">
            <v>1.6367428364163945</v>
          </cell>
          <cell r="E228">
            <v>1.5036391846975281</v>
          </cell>
        </row>
        <row r="229">
          <cell r="A229">
            <v>41642</v>
          </cell>
          <cell r="D229">
            <v>1.6815379035183169</v>
          </cell>
          <cell r="E229">
            <v>1.5085348683528483</v>
          </cell>
        </row>
        <row r="230">
          <cell r="A230">
            <v>41645</v>
          </cell>
          <cell r="D230">
            <v>1.6648531011969532</v>
          </cell>
          <cell r="E230">
            <v>1.5156655506152763</v>
          </cell>
        </row>
        <row r="231">
          <cell r="A231">
            <v>41646</v>
          </cell>
          <cell r="D231">
            <v>1.6690243017772941</v>
          </cell>
          <cell r="E231">
            <v>1.5208629793533388</v>
          </cell>
        </row>
        <row r="232">
          <cell r="A232">
            <v>41647</v>
          </cell>
          <cell r="D232">
            <v>1.6621327529923831</v>
          </cell>
          <cell r="E232">
            <v>1.5255837551104092</v>
          </cell>
        </row>
        <row r="233">
          <cell r="A233">
            <v>41648</v>
          </cell>
          <cell r="D233">
            <v>1.6434530286543345</v>
          </cell>
          <cell r="E233">
            <v>1.5274463504772033</v>
          </cell>
        </row>
        <row r="234">
          <cell r="A234">
            <v>41649</v>
          </cell>
          <cell r="D234">
            <v>1.6240478781284005</v>
          </cell>
          <cell r="E234">
            <v>1.5341113838979326</v>
          </cell>
        </row>
        <row r="235">
          <cell r="A235">
            <v>41652</v>
          </cell>
          <cell r="D235">
            <v>1.632208922742111</v>
          </cell>
          <cell r="E235">
            <v>1.5400402983164245</v>
          </cell>
        </row>
        <row r="236">
          <cell r="A236">
            <v>41654</v>
          </cell>
          <cell r="D236">
            <v>1.6354733405875954</v>
          </cell>
          <cell r="E236">
            <v>1.5499492361679417</v>
          </cell>
        </row>
        <row r="237">
          <cell r="A237">
            <v>41655</v>
          </cell>
          <cell r="D237">
            <v>1.6514327167210736</v>
          </cell>
          <cell r="E237">
            <v>1.5481225490451593</v>
          </cell>
        </row>
        <row r="238">
          <cell r="A238">
            <v>41656</v>
          </cell>
          <cell r="D238">
            <v>1.6592310482408414</v>
          </cell>
          <cell r="E238">
            <v>1.5587566017596197</v>
          </cell>
        </row>
        <row r="239">
          <cell r="A239">
            <v>41659</v>
          </cell>
          <cell r="D239">
            <v>1.6652158142908957</v>
          </cell>
          <cell r="E239">
            <v>1.5638011308780204</v>
          </cell>
        </row>
        <row r="240">
          <cell r="A240">
            <v>41660</v>
          </cell>
          <cell r="D240">
            <v>1.6706565107000364</v>
          </cell>
          <cell r="E240">
            <v>1.5698099700976995</v>
          </cell>
        </row>
        <row r="241">
          <cell r="A241">
            <v>41661</v>
          </cell>
          <cell r="D241">
            <v>1.6924192963365976</v>
          </cell>
          <cell r="E241">
            <v>1.5646218080032526</v>
          </cell>
        </row>
        <row r="242">
          <cell r="A242">
            <v>41662</v>
          </cell>
          <cell r="D242">
            <v>1.7343126586869786</v>
          </cell>
          <cell r="E242">
            <v>1.5674724592455911</v>
          </cell>
        </row>
        <row r="243">
          <cell r="A243">
            <v>41663</v>
          </cell>
          <cell r="D243">
            <v>1.7085600290170473</v>
          </cell>
          <cell r="E243">
            <v>1.5639134889318629</v>
          </cell>
        </row>
        <row r="244">
          <cell r="A244">
            <v>41666</v>
          </cell>
          <cell r="D244">
            <v>1.6621327529923831</v>
          </cell>
          <cell r="E244">
            <v>1.544668407637336</v>
          </cell>
        </row>
        <row r="245">
          <cell r="A245">
            <v>41667</v>
          </cell>
          <cell r="D245">
            <v>1.6568734131302141</v>
          </cell>
          <cell r="E245">
            <v>1.5436913559010856</v>
          </cell>
        </row>
        <row r="246">
          <cell r="A246">
            <v>41668</v>
          </cell>
          <cell r="D246">
            <v>1.6566920565832426</v>
          </cell>
          <cell r="E246">
            <v>1.5403264059380652</v>
          </cell>
        </row>
        <row r="247">
          <cell r="A247">
            <v>41669</v>
          </cell>
          <cell r="D247">
            <v>1.6592310482408414</v>
          </cell>
          <cell r="E247">
            <v>1.5410219833744829</v>
          </cell>
        </row>
        <row r="248">
          <cell r="A248">
            <v>41670</v>
          </cell>
          <cell r="D248">
            <v>1.7354007979688066</v>
          </cell>
          <cell r="E248">
            <v>1.5512558329177824</v>
          </cell>
        </row>
        <row r="249">
          <cell r="A249">
            <v>41673</v>
          </cell>
          <cell r="D249">
            <v>1.7473703300689154</v>
          </cell>
          <cell r="E249">
            <v>1.5606244096134476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"/>
      <sheetName val="EXPORT"/>
      <sheetName val="Sheet3"/>
    </sheetNames>
    <sheetDataSet>
      <sheetData sheetId="0" refreshError="1">
        <row r="19">
          <cell r="I19">
            <v>109310</v>
          </cell>
          <cell r="J19">
            <v>104721</v>
          </cell>
          <cell r="K19">
            <v>87091.18</v>
          </cell>
        </row>
        <row r="20">
          <cell r="I20">
            <v>0</v>
          </cell>
          <cell r="J20">
            <v>0</v>
          </cell>
          <cell r="K20">
            <v>0</v>
          </cell>
        </row>
        <row r="21">
          <cell r="I21">
            <v>92544</v>
          </cell>
          <cell r="J21">
            <v>89073</v>
          </cell>
          <cell r="K21">
            <v>70707.5</v>
          </cell>
        </row>
      </sheetData>
      <sheetData sheetId="1" refreshError="1"/>
      <sheetData sheetId="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"/>
      <sheetName val="EXPORT"/>
      <sheetName val="Sheet3"/>
    </sheetNames>
    <sheetDataSet>
      <sheetData sheetId="0" refreshError="1">
        <row r="16">
          <cell r="F16">
            <v>61407</v>
          </cell>
        </row>
        <row r="19">
          <cell r="L19">
            <v>93910.76</v>
          </cell>
          <cell r="M19">
            <v>92434.12</v>
          </cell>
          <cell r="N19">
            <v>100320.31</v>
          </cell>
        </row>
        <row r="21">
          <cell r="L21">
            <v>80751.45</v>
          </cell>
          <cell r="M21">
            <v>81258.25</v>
          </cell>
          <cell r="N21">
            <v>87382.6</v>
          </cell>
        </row>
      </sheetData>
      <sheetData sheetId="1">
        <row r="16">
          <cell r="F16">
            <v>31317</v>
          </cell>
        </row>
      </sheetData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"/>
      <sheetName val="EXPORT"/>
      <sheetName val="Sheet3"/>
    </sheetNames>
    <sheetDataSet>
      <sheetData sheetId="0" refreshError="1">
        <row r="19">
          <cell r="O19">
            <v>101624</v>
          </cell>
          <cell r="P19">
            <v>104152</v>
          </cell>
          <cell r="Q19">
            <v>117146.79</v>
          </cell>
        </row>
        <row r="21">
          <cell r="O21">
            <v>86997</v>
          </cell>
          <cell r="P21">
            <v>88689</v>
          </cell>
          <cell r="Q21">
            <v>95719.95</v>
          </cell>
        </row>
      </sheetData>
      <sheetData sheetId="1" refreshError="1">
        <row r="19">
          <cell r="L19">
            <v>26905</v>
          </cell>
          <cell r="M19">
            <v>81058</v>
          </cell>
          <cell r="N19">
            <v>121080</v>
          </cell>
          <cell r="O19">
            <v>61827</v>
          </cell>
          <cell r="P19">
            <v>79066</v>
          </cell>
          <cell r="Q19">
            <v>78588</v>
          </cell>
        </row>
        <row r="20">
          <cell r="L20">
            <v>0</v>
          </cell>
          <cell r="M20">
            <v>0</v>
          </cell>
          <cell r="N20">
            <v>11000</v>
          </cell>
          <cell r="O20">
            <v>26406</v>
          </cell>
          <cell r="P20">
            <v>39602</v>
          </cell>
          <cell r="Q20">
            <v>43818.34</v>
          </cell>
        </row>
        <row r="21">
          <cell r="L21">
            <v>57544</v>
          </cell>
          <cell r="M21">
            <v>64007</v>
          </cell>
          <cell r="N21">
            <v>97442</v>
          </cell>
          <cell r="O21">
            <v>83249</v>
          </cell>
          <cell r="P21">
            <v>79688</v>
          </cell>
          <cell r="Q21">
            <v>79898.2</v>
          </cell>
        </row>
        <row r="22">
          <cell r="L22">
            <v>0</v>
          </cell>
          <cell r="M22">
            <v>1000</v>
          </cell>
          <cell r="N22">
            <v>348</v>
          </cell>
          <cell r="O22">
            <v>24</v>
          </cell>
          <cell r="P22">
            <v>120</v>
          </cell>
          <cell r="Q22">
            <v>994.91</v>
          </cell>
        </row>
      </sheetData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5">
          <cell r="O35">
            <v>128390</v>
          </cell>
          <cell r="P35">
            <v>108891</v>
          </cell>
          <cell r="Q35">
            <v>129546</v>
          </cell>
        </row>
        <row r="39">
          <cell r="O39">
            <v>130127</v>
          </cell>
          <cell r="P39">
            <v>109114</v>
          </cell>
          <cell r="Q39">
            <v>129299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vered_Sheet1"/>
      <sheetName val="July-June-92"/>
      <sheetName val="July-June-93"/>
      <sheetName val="July-June-94"/>
      <sheetName val="July-June-95"/>
      <sheetName val="July-June-96"/>
      <sheetName val="July-June-97"/>
      <sheetName val="July-June-98"/>
      <sheetName val="July-June-99"/>
      <sheetName val="July-June-00"/>
      <sheetName val="July-June-01"/>
      <sheetName val="July-June-02"/>
      <sheetName val="July-June-03"/>
      <sheetName val="July-June-04"/>
      <sheetName val="July-June-05"/>
      <sheetName val="July-June-06"/>
      <sheetName val="July-June-07"/>
      <sheetName val="July-June-08"/>
      <sheetName val="July-June-09"/>
      <sheetName val="July-June-10"/>
      <sheetName val="consolidated"/>
      <sheetName val="July-June-11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5">
          <cell r="L35">
            <v>116530</v>
          </cell>
        </row>
        <row r="172">
          <cell r="L172">
            <v>316.55759465074487</v>
          </cell>
        </row>
      </sheetData>
      <sheetData sheetId="22"/>
      <sheetData sheetId="23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"/>
      <sheetName val="Valuestats"/>
      <sheetName val="Assump"/>
      <sheetName val="CoS"/>
      <sheetName val="BS"/>
      <sheetName val="IS"/>
      <sheetName val="FIN"/>
      <sheetName val="CF"/>
      <sheetName val="Depr"/>
      <sheetName val="DCF"/>
      <sheetName val="Exp"/>
      <sheetName val="Other-income-charges"/>
      <sheetName val="EP"/>
    </sheetNames>
    <sheetDataSet>
      <sheetData sheetId="0" refreshError="1"/>
      <sheetData sheetId="1" refreshError="1"/>
      <sheetData sheetId="2">
        <row r="44">
          <cell r="L44">
            <v>2252.8248587570624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"/>
      <sheetName val="Valuestats"/>
      <sheetName val="Assump"/>
      <sheetName val="CoS"/>
      <sheetName val="BS"/>
      <sheetName val="IS"/>
      <sheetName val="GST"/>
      <sheetName val="FIN"/>
      <sheetName val="CF"/>
      <sheetName val="Depr"/>
      <sheetName val="EP"/>
      <sheetName val="FCFvaluation"/>
      <sheetName val="grpah"/>
    </sheetNames>
    <sheetDataSet>
      <sheetData sheetId="0" refreshError="1"/>
      <sheetData sheetId="1" refreshError="1"/>
      <sheetData sheetId="2" refreshError="1">
        <row r="52">
          <cell r="K52">
            <v>2187.0455406146302</v>
          </cell>
          <cell r="M52">
            <v>2261.802575107296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IS"/>
      <sheetName val="Investments"/>
      <sheetName val="BS"/>
      <sheetName val="CFS"/>
      <sheetName val="DCF"/>
      <sheetName val="Solution"/>
      <sheetName val="DEp"/>
      <sheetName val="Valuestats"/>
      <sheetName val="FinChg"/>
      <sheetName val="Other-income-charges"/>
      <sheetName val="debt"/>
      <sheetName val="Expenses"/>
      <sheetName val="Present"/>
      <sheetName val="Investmentportfolio"/>
      <sheetName val="GST"/>
      <sheetName val="Present (2)"/>
      <sheetName val="Cover"/>
      <sheetName val="CO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6">
          <cell r="I76">
            <v>258.64400000000006</v>
          </cell>
          <cell r="J76">
            <v>166.58300000000006</v>
          </cell>
          <cell r="K76">
            <v>317.262</v>
          </cell>
          <cell r="L76">
            <v>295.05800000000005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F"/>
      <sheetName val="BS"/>
      <sheetName val="CF"/>
      <sheetName val="IS"/>
      <sheetName val="Assumptions"/>
      <sheetName val="Sheet1"/>
      <sheetName val="Summary"/>
      <sheetName val="Sensitivity"/>
      <sheetName val="Panel"/>
      <sheetName val="Financial charges"/>
      <sheetName val="Depr"/>
      <sheetName val="Power"/>
      <sheetName val="Coal"/>
      <sheetName val="TDF"/>
      <sheetName val="Value Assumption"/>
      <sheetName val="PE band"/>
      <sheetName val="ratios"/>
      <sheetName val="Deferred tax format"/>
      <sheetName val="Depreciation calc"/>
    </sheetNames>
    <sheetDataSet>
      <sheetData sheetId="0">
        <row r="27">
          <cell r="C27">
            <v>194.32881698450649</v>
          </cell>
        </row>
      </sheetData>
      <sheetData sheetId="1"/>
      <sheetData sheetId="2"/>
      <sheetData sheetId="3"/>
      <sheetData sheetId="4">
        <row r="6">
          <cell r="BA6">
            <v>89.832854999999995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F"/>
      <sheetName val="BS"/>
      <sheetName val="CF"/>
      <sheetName val="IS"/>
      <sheetName val="Assumptions"/>
      <sheetName val="Sheet1"/>
      <sheetName val="Summary"/>
      <sheetName val="Sensitivity"/>
      <sheetName val="Panel"/>
      <sheetName val="Financial charges"/>
      <sheetName val="Depr"/>
      <sheetName val="Power"/>
      <sheetName val="Coal"/>
      <sheetName val="TDF"/>
      <sheetName val="Value Assumption"/>
      <sheetName val="PE band"/>
      <sheetName val="ratios"/>
      <sheetName val="Deferred tax format"/>
      <sheetName val="Depreciation calc"/>
    </sheetNames>
    <sheetDataSet>
      <sheetData sheetId="0"/>
      <sheetData sheetId="1">
        <row r="6">
          <cell r="Q6">
            <v>3233.75</v>
          </cell>
          <cell r="R6">
            <v>3233.75</v>
          </cell>
          <cell r="S6">
            <v>3233.75</v>
          </cell>
          <cell r="T6">
            <v>3233.75</v>
          </cell>
          <cell r="U6">
            <v>3233.75</v>
          </cell>
        </row>
        <row r="48">
          <cell r="Q48">
            <v>-56.758109936814435</v>
          </cell>
          <cell r="R48">
            <v>2162.6951183356377</v>
          </cell>
          <cell r="S48">
            <v>9662.238282592516</v>
          </cell>
          <cell r="T48">
            <v>17066.855740113213</v>
          </cell>
          <cell r="U48">
            <v>24221.324312995162</v>
          </cell>
          <cell r="V48">
            <v>31765.021025937913</v>
          </cell>
          <cell r="W48">
            <v>39654.986735835366</v>
          </cell>
          <cell r="X48">
            <v>47802.083079027376</v>
          </cell>
          <cell r="Y48">
            <v>55898.451067111164</v>
          </cell>
          <cell r="Z48">
            <v>64185.279966941562</v>
          </cell>
          <cell r="AA48">
            <v>72629.355004615514</v>
          </cell>
          <cell r="AB48">
            <v>81193.219641168369</v>
          </cell>
          <cell r="AC48">
            <v>89834.764251363624</v>
          </cell>
          <cell r="AD48">
            <v>98506.777384625122</v>
          </cell>
        </row>
      </sheetData>
      <sheetData sheetId="2"/>
      <sheetData sheetId="3"/>
      <sheetData sheetId="4">
        <row r="12">
          <cell r="BF12">
            <v>11428.571427000001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CFvaluation"/>
      <sheetName val="Assump"/>
      <sheetName val="IS"/>
      <sheetName val="Financials"/>
      <sheetName val="BS"/>
      <sheetName val="CF"/>
      <sheetName val="Depr"/>
      <sheetName val="FIN(new)"/>
      <sheetName val="Panel"/>
      <sheetName val="Coal"/>
      <sheetName val="TDF"/>
      <sheetName val="Graphs"/>
      <sheetName val="Highlights"/>
    </sheetNames>
    <sheetDataSet>
      <sheetData sheetId="0">
        <row r="19">
          <cell r="C19">
            <v>16.485919043083598</v>
          </cell>
        </row>
      </sheetData>
      <sheetData sheetId="1"/>
      <sheetData sheetId="2">
        <row r="49">
          <cell r="AK49">
            <v>0.18888642789501406</v>
          </cell>
        </row>
      </sheetData>
      <sheetData sheetId="3"/>
      <sheetData sheetId="4">
        <row r="13">
          <cell r="N13">
            <v>16175.981718954923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>FY11A</v>
          </cell>
          <cell r="D2" t="str">
            <v>FY12A</v>
          </cell>
          <cell r="E2" t="str">
            <v>FY13E</v>
          </cell>
          <cell r="F2" t="str">
            <v>FY14F</v>
          </cell>
          <cell r="G2" t="str">
            <v>FY15F</v>
          </cell>
          <cell r="H2" t="str">
            <v>FY16F</v>
          </cell>
          <cell r="I2" t="str">
            <v>FY17F</v>
          </cell>
        </row>
        <row r="3">
          <cell r="A3" t="str">
            <v>Local</v>
          </cell>
          <cell r="C3">
            <v>629385</v>
          </cell>
          <cell r="D3">
            <v>1616815</v>
          </cell>
          <cell r="E3">
            <v>1972514.3</v>
          </cell>
          <cell r="F3">
            <v>2130315.4440000001</v>
          </cell>
          <cell r="G3">
            <v>2215528.0617600004</v>
          </cell>
          <cell r="H3">
            <v>2304149.1842304007</v>
          </cell>
          <cell r="I3">
            <v>2396315.1515996167</v>
          </cell>
        </row>
        <row r="4">
          <cell r="A4" t="str">
            <v>Exports</v>
          </cell>
          <cell r="C4">
            <v>455173</v>
          </cell>
          <cell r="D4">
            <v>515821</v>
          </cell>
          <cell r="E4">
            <v>567403.10000000009</v>
          </cell>
          <cell r="F4">
            <v>587262.20850000007</v>
          </cell>
          <cell r="G4">
            <v>599007.45267000003</v>
          </cell>
          <cell r="H4">
            <v>610987.60172340006</v>
          </cell>
          <cell r="I4">
            <v>623207.35375786806</v>
          </cell>
        </row>
        <row r="5">
          <cell r="A5" t="str">
            <v>Capacity Utilisation</v>
          </cell>
          <cell r="C5">
            <v>1.0072702702702703</v>
          </cell>
          <cell r="D5">
            <v>0.62474151740206785</v>
          </cell>
          <cell r="E5">
            <v>0.73974585699723328</v>
          </cell>
          <cell r="F5">
            <v>0.79148904980340773</v>
          </cell>
          <cell r="G5">
            <v>0.81972783294888607</v>
          </cell>
          <cell r="H5">
            <v>0.84902775184325052</v>
          </cell>
          <cell r="I5">
            <v>0.87942988360491769</v>
          </cell>
        </row>
        <row r="6">
          <cell r="A6" t="str">
            <v>Total Volumes</v>
          </cell>
          <cell r="D6">
            <v>2132636</v>
          </cell>
          <cell r="E6">
            <v>2539917.4000000004</v>
          </cell>
          <cell r="F6">
            <v>2717577.6525000003</v>
          </cell>
          <cell r="G6">
            <v>2814535.5144300004</v>
          </cell>
          <cell r="H6">
            <v>2915136.7859538007</v>
          </cell>
          <cell r="I6">
            <v>3019522.5053574848</v>
          </cell>
        </row>
        <row r="9">
          <cell r="A9" t="str">
            <v>Net Revenues</v>
          </cell>
          <cell r="D9">
            <v>11523.05</v>
          </cell>
          <cell r="E9">
            <v>15894.138593310578</v>
          </cell>
          <cell r="F9">
            <v>17098.395720143559</v>
          </cell>
          <cell r="G9">
            <v>18664.487052316032</v>
          </cell>
          <cell r="H9">
            <v>20325.219127680062</v>
          </cell>
          <cell r="I9">
            <v>22078.207162068</v>
          </cell>
        </row>
        <row r="17">
          <cell r="A17" t="str">
            <v>PAT</v>
          </cell>
          <cell r="D17">
            <v>552.58999999999924</v>
          </cell>
          <cell r="E17">
            <v>2472.5621639549227</v>
          </cell>
          <cell r="F17">
            <v>2988.6715025437948</v>
          </cell>
          <cell r="G17">
            <v>3476.240209450797</v>
          </cell>
          <cell r="H17">
            <v>3995.2194661777921</v>
          </cell>
          <cell r="I17">
            <v>4477.1755909319854</v>
          </cell>
        </row>
        <row r="18">
          <cell r="A18" t="str">
            <v>Net Margins</v>
          </cell>
          <cell r="D18">
            <v>4.7955185476067468E-2</v>
          </cell>
          <cell r="E18">
            <v>0.15556440189816634</v>
          </cell>
          <cell r="F18">
            <v>0.17479250986236397</v>
          </cell>
          <cell r="G18">
            <v>0.18624890144084827</v>
          </cell>
          <cell r="H18">
            <v>0.19656464420286965</v>
          </cell>
          <cell r="I18">
            <v>0.20278709942644735</v>
          </cell>
        </row>
        <row r="71">
          <cell r="B71" t="str">
            <v>FY12E</v>
          </cell>
          <cell r="C71" t="str">
            <v>FY13F</v>
          </cell>
          <cell r="D71" t="str">
            <v>FY14F</v>
          </cell>
          <cell r="E71" t="str">
            <v>FY15F</v>
          </cell>
          <cell r="F71" t="str">
            <v>FY16F</v>
          </cell>
          <cell r="G71" t="str">
            <v>FY17F</v>
          </cell>
        </row>
        <row r="72">
          <cell r="A72" t="str">
            <v>EPS</v>
          </cell>
          <cell r="B72">
            <v>0.28323381031161921</v>
          </cell>
          <cell r="C72">
            <v>1.7059936963823303</v>
          </cell>
          <cell r="D72">
            <v>2.0743976613783675</v>
          </cell>
          <cell r="E72">
            <v>2.4306339158853025</v>
          </cell>
          <cell r="F72">
            <v>3.0016675177894756</v>
          </cell>
          <cell r="G72">
            <v>3.3637682877024684</v>
          </cell>
        </row>
        <row r="73">
          <cell r="A73" t="str">
            <v>DPS</v>
          </cell>
          <cell r="B73">
            <v>0</v>
          </cell>
          <cell r="C73">
            <v>0</v>
          </cell>
          <cell r="D73">
            <v>0.5</v>
          </cell>
          <cell r="E73">
            <v>1</v>
          </cell>
          <cell r="F73">
            <v>1.5</v>
          </cell>
          <cell r="G73">
            <v>1.5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ikawaiskhan@gmail.com" TargetMode="External"/><Relationship Id="rId2" Type="http://schemas.openxmlformats.org/officeDocument/2006/relationships/hyperlink" Target="mailto:malikawaiskhan@gmail.com" TargetMode="External"/><Relationship Id="rId1" Type="http://schemas.openxmlformats.org/officeDocument/2006/relationships/hyperlink" Target="mailto:malikawaiskhan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tabColor rgb="FFFF0000"/>
    <pageSetUpPr fitToPage="1"/>
  </sheetPr>
  <dimension ref="A1:AR352"/>
  <sheetViews>
    <sheetView tabSelected="1" workbookViewId="0">
      <selection activeCell="B1" sqref="B1"/>
    </sheetView>
  </sheetViews>
  <sheetFormatPr defaultColWidth="6.7109375" defaultRowHeight="12.75"/>
  <cols>
    <col min="1" max="1" width="2" style="1" customWidth="1"/>
    <col min="2" max="2" width="26.5703125" style="1" bestFit="1" customWidth="1"/>
    <col min="3" max="3" width="8.140625" style="1" bestFit="1" customWidth="1"/>
    <col min="4" max="4" width="7.5703125" style="1" bestFit="1" customWidth="1"/>
    <col min="5" max="5" width="10" style="1" bestFit="1" customWidth="1"/>
    <col min="6" max="10" width="8.7109375" style="1" bestFit="1" customWidth="1"/>
    <col min="11" max="11" width="8.7109375" style="1" customWidth="1"/>
    <col min="12" max="12" width="15.7109375" style="1" bestFit="1" customWidth="1"/>
    <col min="13" max="13" width="7.5703125" style="1" bestFit="1" customWidth="1"/>
    <col min="14" max="14" width="9" style="1090" bestFit="1" customWidth="1"/>
    <col min="15" max="15" width="26.7109375" style="1090" bestFit="1" customWidth="1"/>
    <col min="16" max="16" width="11" style="1090" bestFit="1" customWidth="1"/>
    <col min="17" max="17" width="10" style="1090" bestFit="1" customWidth="1"/>
    <col min="18" max="20" width="6.5703125" style="1090" bestFit="1" customWidth="1"/>
    <col min="21" max="21" width="6" style="1090" bestFit="1" customWidth="1"/>
    <col min="22" max="22" width="7.85546875" style="1090" bestFit="1" customWidth="1"/>
    <col min="23" max="23" width="7.85546875" style="1" bestFit="1" customWidth="1"/>
    <col min="24" max="24" width="4.42578125" style="1" customWidth="1"/>
    <col min="25" max="25" width="8.140625" style="1" bestFit="1" customWidth="1"/>
    <col min="26" max="28" width="8" style="1" customWidth="1"/>
    <col min="29" max="29" width="6.7109375" style="1"/>
    <col min="30" max="30" width="7.85546875" style="1" bestFit="1" customWidth="1"/>
    <col min="31" max="31" width="6.85546875" style="1" bestFit="1" customWidth="1"/>
    <col min="32" max="33" width="6.7109375" style="1"/>
    <col min="34" max="34" width="8.140625" style="1" bestFit="1" customWidth="1"/>
    <col min="35" max="36" width="7.28515625" style="1" bestFit="1" customWidth="1"/>
    <col min="37" max="16384" width="6.7109375" style="1"/>
  </cols>
  <sheetData>
    <row r="1" spans="2:42">
      <c r="J1" s="2"/>
      <c r="K1" s="2"/>
      <c r="L1" s="3" t="s">
        <v>706</v>
      </c>
      <c r="T1" s="1094"/>
      <c r="U1" s="1094"/>
      <c r="V1" s="1094"/>
      <c r="W1" s="269"/>
      <c r="X1" s="269"/>
      <c r="Y1" s="269"/>
      <c r="Z1" s="269"/>
      <c r="AA1" s="269"/>
      <c r="AB1" s="269"/>
      <c r="AC1" s="269"/>
      <c r="AD1" s="269"/>
      <c r="AE1" s="269"/>
      <c r="AF1" s="269"/>
      <c r="AG1" s="269"/>
      <c r="AH1" s="269"/>
      <c r="AI1" s="269"/>
      <c r="AJ1" s="269"/>
      <c r="AK1" s="269"/>
      <c r="AL1" s="269"/>
      <c r="AM1" s="269"/>
      <c r="AN1" s="269"/>
      <c r="AO1" s="269"/>
      <c r="AP1" s="269"/>
    </row>
    <row r="2" spans="2:42">
      <c r="B2" s="2" t="s">
        <v>280</v>
      </c>
      <c r="C2" s="91" t="s">
        <v>538</v>
      </c>
      <c r="D2" s="91" t="s">
        <v>539</v>
      </c>
      <c r="E2" s="894">
        <v>41455</v>
      </c>
      <c r="F2" s="894">
        <v>41820</v>
      </c>
      <c r="G2" s="894">
        <v>42185</v>
      </c>
      <c r="H2" s="894">
        <v>42551</v>
      </c>
      <c r="I2" s="894">
        <v>42916</v>
      </c>
      <c r="J2" s="894">
        <v>43281</v>
      </c>
      <c r="K2" s="894">
        <v>43646</v>
      </c>
      <c r="L2" s="894">
        <v>42185</v>
      </c>
      <c r="O2" s="1112" t="s">
        <v>926</v>
      </c>
      <c r="P2" s="1112"/>
      <c r="Q2" s="1112"/>
      <c r="R2" s="1112"/>
      <c r="S2" s="1112"/>
      <c r="T2" s="1112"/>
      <c r="U2" s="1112"/>
      <c r="V2" s="1112"/>
      <c r="W2" s="8"/>
      <c r="X2" s="8"/>
      <c r="Y2" s="8"/>
      <c r="Z2" s="588"/>
      <c r="AA2" s="269"/>
      <c r="AB2" s="8"/>
      <c r="AC2" s="8"/>
      <c r="AD2" s="8"/>
      <c r="AE2" s="8"/>
      <c r="AF2" s="8"/>
      <c r="AG2" s="269"/>
      <c r="AH2" s="8"/>
      <c r="AI2" s="8"/>
      <c r="AJ2" s="8"/>
      <c r="AK2" s="8"/>
      <c r="AL2" s="8"/>
      <c r="AM2" s="269"/>
      <c r="AN2" s="269"/>
      <c r="AO2" s="269"/>
      <c r="AP2" s="269"/>
    </row>
    <row r="3" spans="2:42" s="6" customFormat="1" ht="13.5" thickBot="1"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1091"/>
      <c r="O3" s="1121" t="s">
        <v>612</v>
      </c>
      <c r="P3" s="1122"/>
      <c r="Q3" s="1123" t="s">
        <v>560</v>
      </c>
      <c r="R3" s="1123" t="s">
        <v>587</v>
      </c>
      <c r="S3" s="1123" t="s">
        <v>590</v>
      </c>
      <c r="T3" s="1123" t="s">
        <v>619</v>
      </c>
      <c r="U3" s="1123" t="s">
        <v>620</v>
      </c>
      <c r="V3" s="1124" t="s">
        <v>911</v>
      </c>
      <c r="W3" s="733"/>
      <c r="X3" s="733"/>
      <c r="Y3" s="733"/>
      <c r="Z3" s="734"/>
      <c r="AA3" s="734"/>
      <c r="AB3" s="733"/>
      <c r="AC3" s="733"/>
      <c r="AD3" s="733"/>
      <c r="AE3" s="733"/>
      <c r="AF3" s="733"/>
      <c r="AG3" s="734"/>
      <c r="AH3" s="734"/>
      <c r="AI3" s="734"/>
      <c r="AJ3" s="734"/>
      <c r="AK3" s="734"/>
      <c r="AL3" s="734"/>
      <c r="AM3" s="734"/>
      <c r="AN3" s="734"/>
      <c r="AO3" s="734"/>
      <c r="AP3" s="734"/>
    </row>
    <row r="4" spans="2:42">
      <c r="B4" s="1" t="s">
        <v>689</v>
      </c>
      <c r="C4" s="889"/>
      <c r="D4" s="889"/>
      <c r="E4" s="889">
        <f>IS!BJ20*(1-IS!BJ48)</f>
        <v>6273.6038839211524</v>
      </c>
      <c r="F4" s="889">
        <f>IS!BP20*(1-IS!BP48)</f>
        <v>6428.1095768674013</v>
      </c>
      <c r="G4" s="889">
        <f>IS!BU20*(1-IS!BU48)</f>
        <v>7188.0429308951771</v>
      </c>
      <c r="H4" s="889">
        <f>IS!BV20*(1-IS!BV48)</f>
        <v>7826.4682889438673</v>
      </c>
      <c r="I4" s="889">
        <f>IS!BW20*(1-IS!BW48)</f>
        <v>8029.5775751411211</v>
      </c>
      <c r="J4" s="889">
        <f>IS!BX20*(1-IS!BX48)</f>
        <v>8155.3423022736124</v>
      </c>
      <c r="K4" s="889">
        <f>IS!BY20*(1-IS!BY48)</f>
        <v>8136.3411257096841</v>
      </c>
      <c r="O4" s="1125" t="s">
        <v>954</v>
      </c>
      <c r="P4" s="1125"/>
      <c r="Q4" s="1126">
        <f>F4+F5</f>
        <v>5176.6218659863953</v>
      </c>
      <c r="R4" s="1126">
        <f t="shared" ref="R4:U4" si="0">G4+G5</f>
        <v>5992.9453007325701</v>
      </c>
      <c r="S4" s="1126">
        <f t="shared" si="0"/>
        <v>6573.0664787137393</v>
      </c>
      <c r="T4" s="1126">
        <f t="shared" si="0"/>
        <v>6728.321462688471</v>
      </c>
      <c r="U4" s="1126">
        <f t="shared" si="0"/>
        <v>6806.2318875984411</v>
      </c>
      <c r="V4" s="1113"/>
      <c r="W4" s="733"/>
      <c r="X4" s="733"/>
      <c r="Y4" s="733"/>
      <c r="Z4" s="269"/>
      <c r="AA4" s="269"/>
      <c r="AB4" s="269"/>
      <c r="AC4" s="269"/>
      <c r="AD4" s="269"/>
      <c r="AE4" s="269"/>
      <c r="AF4" s="269"/>
      <c r="AG4" s="269"/>
      <c r="AH4" s="269"/>
      <c r="AI4" s="269"/>
      <c r="AJ4" s="269"/>
      <c r="AK4" s="269"/>
      <c r="AL4" s="269"/>
      <c r="AM4" s="269"/>
      <c r="AN4" s="269"/>
      <c r="AO4" s="269"/>
      <c r="AP4" s="269"/>
    </row>
    <row r="5" spans="2:42">
      <c r="B5" s="1" t="s">
        <v>690</v>
      </c>
      <c r="C5" s="11"/>
      <c r="D5" s="11"/>
      <c r="E5" s="11">
        <f>-IS!BJ18*(1-IS!BJ48)</f>
        <v>-1136.9689022583314</v>
      </c>
      <c r="F5" s="11">
        <f>-IS!BP18*(1-IS!BP48)</f>
        <v>-1251.4877108810063</v>
      </c>
      <c r="G5" s="11">
        <f>-IS!BU18*(1-IS!BU48)</f>
        <v>-1195.0976301626069</v>
      </c>
      <c r="H5" s="11">
        <f>-IS!BV18*(1-IS!BV48)</f>
        <v>-1253.4018102301284</v>
      </c>
      <c r="I5" s="11">
        <f>-IS!BW18*(1-IS!BW48)</f>
        <v>-1301.2561124526496</v>
      </c>
      <c r="J5" s="11">
        <f>-IS!BX18*(1-IS!BX48)</f>
        <v>-1349.1104146751711</v>
      </c>
      <c r="K5" s="11">
        <f>-IS!BY18*(1-IS!BY48)</f>
        <v>-1293.4647168976926</v>
      </c>
      <c r="L5" s="11"/>
      <c r="M5" s="11"/>
      <c r="N5" s="1092"/>
      <c r="O5" s="1127" t="s">
        <v>912</v>
      </c>
      <c r="P5" s="1127"/>
      <c r="Q5" s="1126">
        <f>F6</f>
        <v>1790.002</v>
      </c>
      <c r="R5" s="1126">
        <f t="shared" ref="R5:U7" si="1">G6</f>
        <v>1749.9402957853522</v>
      </c>
      <c r="S5" s="1126">
        <f t="shared" si="1"/>
        <v>1784.9481344642295</v>
      </c>
      <c r="T5" s="1126">
        <f t="shared" si="1"/>
        <v>1820.6563106185727</v>
      </c>
      <c r="U5" s="1126">
        <f t="shared" si="1"/>
        <v>1857.0788346128613</v>
      </c>
      <c r="V5" s="1114"/>
      <c r="W5" s="733"/>
      <c r="X5" s="733"/>
      <c r="Y5" s="733"/>
      <c r="Z5" s="269"/>
      <c r="AA5" s="269"/>
      <c r="AB5" s="269"/>
      <c r="AC5" s="269"/>
      <c r="AD5" s="269"/>
      <c r="AE5" s="269"/>
      <c r="AF5" s="269"/>
      <c r="AG5" s="269"/>
      <c r="AH5" s="269"/>
      <c r="AI5" s="269"/>
      <c r="AJ5" s="269"/>
      <c r="AK5" s="269"/>
      <c r="AL5" s="269"/>
      <c r="AM5" s="269"/>
      <c r="AN5" s="269"/>
      <c r="AO5" s="269"/>
      <c r="AP5" s="269"/>
    </row>
    <row r="6" spans="2:42">
      <c r="B6" s="1" t="s">
        <v>691</v>
      </c>
      <c r="C6" s="11"/>
      <c r="D6" s="11"/>
      <c r="E6" s="11">
        <f>CFS!R8</f>
        <v>1577.7550000000001</v>
      </c>
      <c r="F6" s="11">
        <f>CFS!S8</f>
        <v>1790.002</v>
      </c>
      <c r="G6" s="11">
        <f>CFS!T8</f>
        <v>1749.9402957853522</v>
      </c>
      <c r="H6" s="11">
        <f>CFS!U8</f>
        <v>1784.9481344642295</v>
      </c>
      <c r="I6" s="11">
        <f>CFS!V8</f>
        <v>1820.6563106185727</v>
      </c>
      <c r="J6" s="11">
        <f>CFS!W8</f>
        <v>1857.0788346128613</v>
      </c>
      <c r="K6" s="11">
        <f>CFS!X8</f>
        <v>1894.2299970911833</v>
      </c>
      <c r="L6" s="11"/>
      <c r="M6" s="11"/>
      <c r="N6" s="1092"/>
      <c r="O6" s="1127" t="s">
        <v>913</v>
      </c>
      <c r="P6" s="1127"/>
      <c r="Q6" s="1126">
        <f>F7</f>
        <v>1227.4829999999999</v>
      </c>
      <c r="R6" s="1126">
        <f t="shared" si="1"/>
        <v>-710.45401558871345</v>
      </c>
      <c r="S6" s="1126">
        <f t="shared" si="1"/>
        <v>-238.78523457403003</v>
      </c>
      <c r="T6" s="1126">
        <f t="shared" si="1"/>
        <v>-188.91382697298309</v>
      </c>
      <c r="U6" s="1126">
        <f t="shared" si="1"/>
        <v>-194.30077245092161</v>
      </c>
      <c r="V6" s="1115"/>
      <c r="W6" s="735"/>
      <c r="X6" s="735"/>
      <c r="Y6" s="735"/>
      <c r="Z6" s="269"/>
      <c r="AA6" s="269"/>
      <c r="AB6" s="592"/>
      <c r="AC6" s="592"/>
      <c r="AD6" s="592"/>
      <c r="AE6" s="269"/>
      <c r="AF6" s="269"/>
      <c r="AG6" s="269"/>
      <c r="AH6" s="269"/>
      <c r="AI6" s="269"/>
      <c r="AJ6" s="269"/>
      <c r="AK6" s="269"/>
      <c r="AL6" s="269"/>
      <c r="AM6" s="269"/>
      <c r="AN6" s="269"/>
      <c r="AO6" s="269"/>
      <c r="AP6" s="269"/>
    </row>
    <row r="7" spans="2:42">
      <c r="B7" s="1" t="s">
        <v>692</v>
      </c>
      <c r="C7" s="11"/>
      <c r="D7" s="11"/>
      <c r="E7" s="11">
        <f>CFS!R17</f>
        <v>-458.70300000000009</v>
      </c>
      <c r="F7" s="11">
        <f>CFS!S17</f>
        <v>1227.4829999999999</v>
      </c>
      <c r="G7" s="11">
        <f>CFS!T17</f>
        <v>-710.45401558871345</v>
      </c>
      <c r="H7" s="11">
        <f>CFS!U17</f>
        <v>-238.78523457403003</v>
      </c>
      <c r="I7" s="11">
        <f>CFS!V17</f>
        <v>-188.91382697298309</v>
      </c>
      <c r="J7" s="11">
        <f>CFS!W17</f>
        <v>-194.30077245092161</v>
      </c>
      <c r="K7" s="11">
        <f>CFS!X17</f>
        <v>-206.59120934039322</v>
      </c>
      <c r="L7" s="11"/>
      <c r="M7" s="11"/>
      <c r="N7" s="1092"/>
      <c r="O7" s="1127" t="s">
        <v>914</v>
      </c>
      <c r="P7" s="1127"/>
      <c r="Q7" s="1128">
        <f>F8</f>
        <v>-2687.6479999999933</v>
      </c>
      <c r="R7" s="1128">
        <f t="shared" si="1"/>
        <v>-891.46069572344231</v>
      </c>
      <c r="S7" s="1128">
        <f t="shared" si="1"/>
        <v>-909.29451113966888</v>
      </c>
      <c r="T7" s="1128">
        <f t="shared" si="1"/>
        <v>-927.48509491800496</v>
      </c>
      <c r="U7" s="1128">
        <f t="shared" si="1"/>
        <v>-946.03958426723716</v>
      </c>
      <c r="V7" s="1113"/>
      <c r="W7" s="736"/>
      <c r="X7" s="736"/>
      <c r="Y7" s="736"/>
      <c r="Z7" s="269"/>
      <c r="AA7" s="269"/>
      <c r="AB7" s="269"/>
      <c r="AC7" s="269"/>
      <c r="AD7" s="269"/>
      <c r="AE7" s="269"/>
      <c r="AF7" s="269"/>
      <c r="AG7" s="269"/>
      <c r="AH7" s="269"/>
      <c r="AI7" s="269"/>
      <c r="AJ7" s="269"/>
      <c r="AK7" s="269"/>
      <c r="AL7" s="269"/>
      <c r="AM7" s="269"/>
      <c r="AN7" s="269"/>
      <c r="AO7" s="269"/>
      <c r="AP7" s="269"/>
    </row>
    <row r="8" spans="2:42">
      <c r="B8" s="1" t="s">
        <v>693</v>
      </c>
      <c r="C8" s="11"/>
      <c r="D8" s="11"/>
      <c r="E8" s="11">
        <f>CFS!R24+CFS!R25</f>
        <v>-3046.8190000000004</v>
      </c>
      <c r="F8" s="11">
        <f>CFS!S24</f>
        <v>-2687.6479999999933</v>
      </c>
      <c r="G8" s="11">
        <f>CFS!T24</f>
        <v>-891.46069572344231</v>
      </c>
      <c r="H8" s="11">
        <f>CFS!U24</f>
        <v>-909.29451113966888</v>
      </c>
      <c r="I8" s="11">
        <f>CFS!V24</f>
        <v>-927.48509491800496</v>
      </c>
      <c r="J8" s="11">
        <f>CFS!W24</f>
        <v>-946.03958426723716</v>
      </c>
      <c r="K8" s="11">
        <f>CFS!X24</f>
        <v>-964.96525917719441</v>
      </c>
      <c r="L8" s="11"/>
      <c r="M8" s="11"/>
      <c r="N8" s="1092"/>
      <c r="O8" s="1127" t="s">
        <v>915</v>
      </c>
      <c r="P8" s="1127"/>
      <c r="Q8" s="1129">
        <f>SUM(Q4:Q7)</f>
        <v>5506.4588659864021</v>
      </c>
      <c r="R8" s="1129">
        <f>SUM(R4:R7)</f>
        <v>6140.9708852057665</v>
      </c>
      <c r="S8" s="1129">
        <f>SUM(S4:S7)</f>
        <v>7209.9348674642697</v>
      </c>
      <c r="T8" s="1129">
        <f>SUM(T4:T7)</f>
        <v>7432.5788514160558</v>
      </c>
      <c r="U8" s="1129">
        <f>SUM(U4:U7)</f>
        <v>7522.9703654931436</v>
      </c>
      <c r="V8" s="1129">
        <f>L10</f>
        <v>40594.592441383589</v>
      </c>
      <c r="W8" s="733"/>
      <c r="X8" s="733"/>
      <c r="Y8" s="733"/>
      <c r="Z8" s="269"/>
      <c r="AA8" s="269"/>
      <c r="AB8" s="269"/>
      <c r="AC8" s="269"/>
      <c r="AD8" s="269"/>
      <c r="AE8" s="593"/>
      <c r="AF8" s="269"/>
      <c r="AG8" s="269"/>
      <c r="AH8" s="592"/>
      <c r="AI8" s="591"/>
      <c r="AJ8" s="591"/>
      <c r="AK8" s="269"/>
      <c r="AL8" s="269"/>
      <c r="AM8" s="269"/>
      <c r="AN8" s="269"/>
      <c r="AO8" s="269"/>
      <c r="AP8" s="269"/>
    </row>
    <row r="9" spans="2:42">
      <c r="C9" s="11"/>
      <c r="D9" s="11"/>
      <c r="E9" s="11"/>
      <c r="F9" s="11"/>
      <c r="G9" s="11"/>
      <c r="H9" s="11"/>
      <c r="I9" s="11"/>
      <c r="J9" s="11"/>
      <c r="K9" s="11"/>
      <c r="L9" s="32">
        <v>0.03</v>
      </c>
      <c r="N9" s="1092"/>
      <c r="O9" s="1130" t="s">
        <v>287</v>
      </c>
      <c r="P9" s="1131"/>
      <c r="Q9" s="1132">
        <f>F19</f>
        <v>0.21273151739681775</v>
      </c>
      <c r="R9" s="1132">
        <f t="shared" ref="R9:U9" si="2">G19</f>
        <v>0.21692588130512705</v>
      </c>
      <c r="S9" s="1132">
        <f t="shared" si="2"/>
        <v>0.21914110908692841</v>
      </c>
      <c r="T9" s="1132">
        <f t="shared" si="2"/>
        <v>0.22132809193658229</v>
      </c>
      <c r="U9" s="1132">
        <f t="shared" si="2"/>
        <v>0.22167660377304915</v>
      </c>
      <c r="V9" s="1116"/>
      <c r="W9" s="737"/>
      <c r="X9" s="737"/>
      <c r="Y9" s="737"/>
      <c r="Z9" s="593"/>
      <c r="AA9" s="269"/>
      <c r="AB9" s="269"/>
      <c r="AC9" s="269"/>
      <c r="AD9" s="593"/>
      <c r="AE9" s="269"/>
      <c r="AF9" s="269"/>
      <c r="AG9" s="269"/>
      <c r="AH9" s="592"/>
      <c r="AI9" s="591"/>
      <c r="AJ9" s="591"/>
      <c r="AK9" s="594"/>
      <c r="AL9" s="269"/>
      <c r="AM9" s="269"/>
      <c r="AN9" s="269"/>
      <c r="AO9" s="269"/>
      <c r="AP9" s="269"/>
    </row>
    <row r="10" spans="2:42">
      <c r="B10" s="1" t="s">
        <v>694</v>
      </c>
      <c r="C10" s="11"/>
      <c r="D10" s="11"/>
      <c r="E10" s="11">
        <f t="shared" ref="E10:J10" si="3">SUM(E4:E8)</f>
        <v>3208.8679816628201</v>
      </c>
      <c r="F10" s="11">
        <f t="shared" si="3"/>
        <v>5506.4588659864021</v>
      </c>
      <c r="G10" s="11">
        <f t="shared" si="3"/>
        <v>6140.9708852057665</v>
      </c>
      <c r="H10" s="11">
        <f t="shared" si="3"/>
        <v>7209.9348674642697</v>
      </c>
      <c r="I10" s="11">
        <f t="shared" si="3"/>
        <v>7432.5788514160558</v>
      </c>
      <c r="J10" s="11">
        <f t="shared" si="3"/>
        <v>7522.9703654931436</v>
      </c>
      <c r="K10" s="11">
        <f t="shared" ref="K10" si="4">SUM(K4:K8)</f>
        <v>7565.5499373855864</v>
      </c>
      <c r="L10" s="11">
        <f>K10*(1+L9)/(K19-L9)</f>
        <v>40594.592441383589</v>
      </c>
      <c r="M10" s="11"/>
      <c r="N10" s="1092"/>
      <c r="O10" s="1130" t="s">
        <v>916</v>
      </c>
      <c r="P10" s="1133"/>
      <c r="Q10" s="1126">
        <f>F21</f>
        <v>6677.8562160308502</v>
      </c>
      <c r="R10" s="1126">
        <f t="shared" ref="R10:U10" si="5">G21</f>
        <v>6140.9708852057665</v>
      </c>
      <c r="S10" s="1126">
        <f t="shared" si="5"/>
        <v>5910.7365319328119</v>
      </c>
      <c r="T10" s="1126">
        <f t="shared" si="5"/>
        <v>4980.0870655427834</v>
      </c>
      <c r="U10" s="1126">
        <f t="shared" si="5"/>
        <v>4123.655197477804</v>
      </c>
      <c r="V10" s="1126"/>
      <c r="W10" s="269"/>
      <c r="X10" s="269"/>
      <c r="Y10" s="269"/>
      <c r="Z10" s="269"/>
      <c r="AA10" s="269"/>
      <c r="AB10" s="738"/>
      <c r="AC10" s="269"/>
      <c r="AD10" s="269"/>
      <c r="AE10" s="269"/>
      <c r="AF10" s="269"/>
      <c r="AG10" s="269"/>
      <c r="AH10" s="738"/>
      <c r="AI10" s="269"/>
      <c r="AJ10" s="269"/>
      <c r="AK10" s="269"/>
      <c r="AL10" s="269"/>
      <c r="AM10" s="269"/>
      <c r="AN10" s="269"/>
      <c r="AO10" s="269"/>
      <c r="AP10" s="269"/>
    </row>
    <row r="11" spans="2:42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092"/>
      <c r="O11" s="1130" t="s">
        <v>917</v>
      </c>
      <c r="P11" s="1134">
        <f>L9</f>
        <v>0.03</v>
      </c>
      <c r="Q11" s="1135"/>
      <c r="R11" s="1135"/>
      <c r="S11" s="1135"/>
      <c r="T11" s="1135"/>
      <c r="U11" s="1117"/>
      <c r="V11" s="1094"/>
      <c r="W11" s="269"/>
      <c r="X11" s="269"/>
      <c r="Y11" s="269"/>
      <c r="Z11" s="269"/>
      <c r="AA11" s="269"/>
      <c r="AB11" s="591"/>
      <c r="AC11" s="269"/>
      <c r="AD11" s="269"/>
      <c r="AE11" s="269"/>
      <c r="AF11" s="269"/>
      <c r="AG11" s="269"/>
      <c r="AH11" s="269"/>
      <c r="AI11" s="269"/>
      <c r="AJ11" s="269"/>
      <c r="AK11" s="269"/>
      <c r="AL11" s="269"/>
      <c r="AM11" s="269"/>
      <c r="AN11" s="269"/>
      <c r="AO11" s="269"/>
      <c r="AP11" s="269"/>
    </row>
    <row r="12" spans="2:42">
      <c r="B12" s="1" t="s">
        <v>702</v>
      </c>
      <c r="O12" s="1130" t="s">
        <v>918</v>
      </c>
      <c r="P12" s="1135">
        <f>SUM(Q10:U10)</f>
        <v>27833.305896190017</v>
      </c>
      <c r="Q12" s="1130"/>
      <c r="R12" s="1130"/>
      <c r="S12" s="1130"/>
      <c r="T12" s="1130"/>
      <c r="U12" s="1117"/>
      <c r="V12" s="1097"/>
      <c r="W12" s="269"/>
      <c r="X12" s="269"/>
      <c r="Y12" s="269"/>
      <c r="Z12" s="269"/>
      <c r="AA12" s="269"/>
      <c r="AB12" s="738"/>
      <c r="AC12" s="269"/>
      <c r="AD12" s="269"/>
      <c r="AE12" s="269"/>
      <c r="AF12" s="269"/>
      <c r="AG12" s="269"/>
      <c r="AH12" s="591"/>
      <c r="AI12" s="269"/>
      <c r="AJ12" s="269"/>
      <c r="AK12" s="269"/>
      <c r="AL12" s="269"/>
      <c r="AM12" s="269"/>
      <c r="AN12" s="269"/>
      <c r="AO12" s="269"/>
      <c r="AP12" s="269"/>
    </row>
    <row r="13" spans="2:42">
      <c r="B13" s="1" t="s">
        <v>703</v>
      </c>
      <c r="C13" s="11"/>
      <c r="D13" s="11"/>
      <c r="E13" s="37">
        <f>Sheet1!G238</f>
        <v>0.16283319861717208</v>
      </c>
      <c r="F13" s="37">
        <f>Sheet1!H238</f>
        <v>9.422246884160343E-2</v>
      </c>
      <c r="G13" s="37">
        <f>Sheet1!I238</f>
        <v>6.2305978772384731E-2</v>
      </c>
      <c r="H13" s="37">
        <f>Sheet1!J238</f>
        <v>4.7964723895124989E-2</v>
      </c>
      <c r="I13" s="37">
        <f>Sheet1!K238</f>
        <v>3.685308406194681E-2</v>
      </c>
      <c r="J13" s="37">
        <f>Sheet1!L238</f>
        <v>3.4510152393390434E-2</v>
      </c>
      <c r="K13" s="37">
        <f>Sheet1!M238</f>
        <v>3.2608537181951718E-2</v>
      </c>
      <c r="L13" s="11"/>
      <c r="M13" s="11"/>
      <c r="N13" s="1092"/>
      <c r="O13" s="1130" t="s">
        <v>919</v>
      </c>
      <c r="P13" s="1137">
        <f>L21</f>
        <v>18197.112016520077</v>
      </c>
      <c r="Q13" s="1130"/>
      <c r="R13" s="1130"/>
      <c r="S13" s="1130"/>
      <c r="T13" s="1130"/>
      <c r="U13" s="1117"/>
      <c r="V13" s="1098"/>
      <c r="W13" s="269"/>
      <c r="X13" s="588"/>
      <c r="Y13" s="739"/>
      <c r="Z13" s="269"/>
      <c r="AA13" s="269"/>
      <c r="AB13" s="701"/>
      <c r="AC13" s="269"/>
      <c r="AD13" s="269"/>
      <c r="AE13" s="269"/>
      <c r="AF13" s="269"/>
      <c r="AG13" s="269"/>
      <c r="AH13" s="269"/>
      <c r="AI13" s="269"/>
      <c r="AJ13" s="269"/>
      <c r="AK13" s="269"/>
      <c r="AL13" s="269"/>
      <c r="AM13" s="269"/>
      <c r="AN13" s="269"/>
      <c r="AO13" s="269"/>
      <c r="AP13" s="269"/>
    </row>
    <row r="14" spans="2:42">
      <c r="B14" s="1" t="s">
        <v>286</v>
      </c>
      <c r="C14" s="18"/>
      <c r="D14" s="18"/>
      <c r="E14" s="37">
        <f>Sheet1!G239</f>
        <v>0.83716680138282795</v>
      </c>
      <c r="F14" s="37">
        <f>Sheet1!H239</f>
        <v>0.90577753115839654</v>
      </c>
      <c r="G14" s="37">
        <f>Sheet1!I239</f>
        <v>0.93769402122761525</v>
      </c>
      <c r="H14" s="37">
        <f>Sheet1!J239</f>
        <v>0.95203527610487504</v>
      </c>
      <c r="I14" s="37">
        <f>Sheet1!K239</f>
        <v>0.96314691593805324</v>
      </c>
      <c r="J14" s="37">
        <f>Sheet1!L239</f>
        <v>0.96548984760660961</v>
      </c>
      <c r="K14" s="37">
        <f>Sheet1!M239</f>
        <v>0.96739146281804833</v>
      </c>
      <c r="L14" s="18"/>
      <c r="M14" s="18"/>
      <c r="N14" s="1093"/>
      <c r="O14" s="1130" t="s">
        <v>709</v>
      </c>
      <c r="P14" s="1135">
        <f>P12+P13</f>
        <v>46030.417912710094</v>
      </c>
      <c r="Q14" s="1130"/>
      <c r="R14" s="1130"/>
      <c r="S14" s="1130"/>
      <c r="T14" s="1130"/>
      <c r="U14" s="1117"/>
      <c r="V14" s="1094"/>
      <c r="W14" s="269"/>
      <c r="X14" s="269"/>
      <c r="Y14" s="269"/>
      <c r="Z14" s="269"/>
      <c r="AA14" s="269"/>
      <c r="AB14" s="269"/>
      <c r="AC14" s="269"/>
      <c r="AD14" s="269"/>
      <c r="AE14" s="269"/>
      <c r="AF14" s="269"/>
      <c r="AG14" s="269"/>
      <c r="AH14" s="591"/>
      <c r="AI14" s="269"/>
      <c r="AJ14" s="269"/>
      <c r="AK14" s="269"/>
      <c r="AL14" s="269"/>
      <c r="AM14" s="269"/>
      <c r="AN14" s="269"/>
      <c r="AO14" s="269"/>
      <c r="AP14" s="269"/>
    </row>
    <row r="15" spans="2:42">
      <c r="B15" s="2"/>
      <c r="C15" s="13"/>
      <c r="D15" s="13"/>
      <c r="E15" s="13"/>
      <c r="F15" s="13"/>
      <c r="G15" s="19"/>
      <c r="H15" s="18"/>
      <c r="I15" s="18"/>
      <c r="J15" s="18"/>
      <c r="K15" s="18"/>
      <c r="L15" s="18"/>
      <c r="M15" s="18"/>
      <c r="N15" s="1093"/>
      <c r="O15" s="1130" t="s">
        <v>710</v>
      </c>
      <c r="P15" s="1138">
        <f>E26</f>
        <v>3366.8330000000005</v>
      </c>
      <c r="Q15" s="1130"/>
      <c r="R15" s="1130"/>
      <c r="S15" s="1130"/>
      <c r="T15" s="1130"/>
      <c r="U15" s="1117"/>
      <c r="V15" s="1094"/>
      <c r="W15" s="269"/>
      <c r="X15" s="269"/>
      <c r="Y15" s="269"/>
      <c r="Z15" s="269"/>
      <c r="AA15" s="269"/>
      <c r="AB15" s="269"/>
      <c r="AC15" s="269"/>
      <c r="AD15" s="269"/>
      <c r="AE15" s="269"/>
      <c r="AF15" s="269"/>
      <c r="AG15" s="269"/>
      <c r="AH15" s="269"/>
      <c r="AI15" s="269"/>
      <c r="AJ15" s="269"/>
      <c r="AK15" s="269"/>
      <c r="AL15" s="269"/>
      <c r="AM15" s="269"/>
      <c r="AN15" s="269"/>
      <c r="AO15" s="269"/>
      <c r="AP15" s="269"/>
    </row>
    <row r="16" spans="2:42">
      <c r="B16" s="13" t="s">
        <v>704</v>
      </c>
      <c r="D16" s="13"/>
      <c r="E16" s="893">
        <f>Sheet1!G237</f>
        <v>0.11250867529105872</v>
      </c>
      <c r="F16" s="893">
        <f>Sheet1!H237</f>
        <v>0.10185897364363967</v>
      </c>
      <c r="G16" s="893">
        <f>Sheet1!I237</f>
        <v>9.8799468858300293E-2</v>
      </c>
      <c r="H16" s="893">
        <f>Sheet1!J237</f>
        <v>9.6991211635497607E-2</v>
      </c>
      <c r="I16" s="893">
        <f>Sheet1!K237</f>
        <v>0.11312997037677736</v>
      </c>
      <c r="J16" s="893">
        <f>Sheet1!L237</f>
        <v>0.11312997037677736</v>
      </c>
      <c r="K16" s="893">
        <f>Sheet1!M237</f>
        <v>0.11312997037677736</v>
      </c>
      <c r="L16" s="18"/>
      <c r="M16" s="18"/>
      <c r="N16" s="1093"/>
      <c r="O16" s="1130" t="s">
        <v>955</v>
      </c>
      <c r="P16" s="1135">
        <f>P14-P15</f>
        <v>42663.584912710096</v>
      </c>
      <c r="Q16" s="1130"/>
      <c r="R16" s="1130"/>
      <c r="S16" s="1130"/>
      <c r="T16" s="1130"/>
      <c r="U16" s="1118"/>
      <c r="V16" s="1094"/>
      <c r="W16" s="593">
        <f>Q16*(1+Q9)^0.5</f>
        <v>0</v>
      </c>
      <c r="X16" s="269"/>
      <c r="Y16" s="269"/>
      <c r="Z16" s="269"/>
      <c r="AA16" s="269"/>
      <c r="AB16" s="269"/>
      <c r="AC16" s="269"/>
      <c r="AD16" s="269"/>
      <c r="AE16" s="269"/>
      <c r="AF16" s="269"/>
      <c r="AG16" s="269"/>
      <c r="AH16" s="269"/>
      <c r="AI16" s="269"/>
      <c r="AJ16" s="269"/>
      <c r="AK16" s="269"/>
      <c r="AL16" s="269"/>
      <c r="AM16" s="269"/>
      <c r="AN16" s="269"/>
      <c r="AO16" s="269"/>
      <c r="AP16" s="269"/>
    </row>
    <row r="17" spans="2:44">
      <c r="B17" s="2" t="s">
        <v>696</v>
      </c>
      <c r="C17" s="13"/>
      <c r="D17" s="13"/>
      <c r="E17" s="893">
        <f t="shared" ref="E17:K17" si="6">$C$37</f>
        <v>0.22681000000000001</v>
      </c>
      <c r="F17" s="893">
        <f t="shared" si="6"/>
        <v>0.22681000000000001</v>
      </c>
      <c r="G17" s="893">
        <f t="shared" si="6"/>
        <v>0.22681000000000001</v>
      </c>
      <c r="H17" s="893">
        <f t="shared" si="6"/>
        <v>0.22681000000000001</v>
      </c>
      <c r="I17" s="893">
        <f t="shared" si="6"/>
        <v>0.22681000000000001</v>
      </c>
      <c r="J17" s="893">
        <f t="shared" si="6"/>
        <v>0.22681000000000001</v>
      </c>
      <c r="K17" s="893">
        <f t="shared" si="6"/>
        <v>0.22681000000000001</v>
      </c>
      <c r="L17" s="18"/>
      <c r="M17" s="18"/>
      <c r="N17" s="1093"/>
      <c r="O17" s="1130" t="s">
        <v>922</v>
      </c>
      <c r="P17" s="1135">
        <f>Investments!F15</f>
        <v>31447.593354426448</v>
      </c>
      <c r="V17" s="1094"/>
      <c r="W17" s="269"/>
      <c r="X17" s="269"/>
      <c r="Y17" s="269"/>
      <c r="Z17" s="269"/>
      <c r="AA17" s="269"/>
      <c r="AB17" s="269"/>
      <c r="AC17" s="269"/>
      <c r="AD17" s="269"/>
      <c r="AE17" s="269"/>
      <c r="AF17" s="269"/>
      <c r="AG17" s="269"/>
      <c r="AH17" s="269"/>
      <c r="AI17" s="269"/>
      <c r="AJ17" s="269"/>
      <c r="AK17" s="269"/>
      <c r="AL17" s="269"/>
      <c r="AM17" s="269"/>
      <c r="AN17" s="269"/>
      <c r="AO17" s="269"/>
      <c r="AP17" s="269"/>
    </row>
    <row r="18" spans="2:44"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1096"/>
      <c r="O18" s="1130" t="s">
        <v>923</v>
      </c>
      <c r="P18" s="1136">
        <v>0.35</v>
      </c>
      <c r="V18" s="1094"/>
      <c r="W18" s="269"/>
      <c r="X18" s="269"/>
      <c r="Y18" s="269"/>
      <c r="Z18" s="269"/>
      <c r="AA18" s="269"/>
      <c r="AB18" s="269"/>
      <c r="AC18" s="269"/>
      <c r="AD18" s="269"/>
      <c r="AE18" s="269"/>
      <c r="AF18" s="269"/>
      <c r="AG18" s="269"/>
      <c r="AH18" s="591"/>
      <c r="AI18" s="591"/>
      <c r="AJ18" s="269"/>
      <c r="AK18" s="269"/>
      <c r="AL18" s="269"/>
      <c r="AM18" s="269"/>
      <c r="AN18" s="269"/>
      <c r="AO18" s="269"/>
      <c r="AP18" s="269"/>
      <c r="AQ18" s="56"/>
      <c r="AR18" s="56"/>
    </row>
    <row r="19" spans="2:44">
      <c r="B19" s="2" t="s">
        <v>287</v>
      </c>
      <c r="D19" s="56"/>
      <c r="E19" s="711">
        <f>(E17*E14)+E16*E13*(1-IS!BJ48)</f>
        <v>0.20408334966690847</v>
      </c>
      <c r="F19" s="711">
        <f>(F17*F14)+F16*F13*(1-IS!BP48)</f>
        <v>0.21273151739681775</v>
      </c>
      <c r="G19" s="711">
        <f>(G17*G14)+G16*G13*(1-IS!BU48)</f>
        <v>0.21692588130512705</v>
      </c>
      <c r="H19" s="711">
        <f>(H17*H14)+H16*H13*(1-IS!BV48)</f>
        <v>0.21914110908692841</v>
      </c>
      <c r="I19" s="711">
        <f>(I17*I14)+I16*I13*(1-IS!BW48)</f>
        <v>0.22132809193658229</v>
      </c>
      <c r="J19" s="711">
        <f>(J17*J14)+J16*J13*(1-IS!BX48)</f>
        <v>0.22167660377304915</v>
      </c>
      <c r="K19" s="711">
        <f>(K17*K14)+K16*K13*(1-IS!BY48)</f>
        <v>0.2219594696451043</v>
      </c>
      <c r="L19" s="56"/>
      <c r="M19" s="56"/>
      <c r="N19" s="1100"/>
      <c r="O19" s="1130" t="s">
        <v>924</v>
      </c>
      <c r="P19" s="657">
        <f>P17*(1-P18)</f>
        <v>20440.935680377192</v>
      </c>
      <c r="V19" s="1094"/>
      <c r="W19" s="593">
        <f>Q19*(1+Q9)^0.5</f>
        <v>0</v>
      </c>
      <c r="X19" s="269"/>
      <c r="Y19" s="269"/>
      <c r="Z19" s="269"/>
      <c r="AA19" s="269"/>
      <c r="AB19" s="56"/>
      <c r="AC19" s="56"/>
      <c r="AD19" s="56"/>
      <c r="AE19" s="56"/>
      <c r="AF19" s="56"/>
      <c r="AG19" s="56"/>
      <c r="AH19" s="700"/>
      <c r="AI19" s="700"/>
      <c r="AJ19" s="700"/>
      <c r="AK19" s="700"/>
      <c r="AL19" s="700"/>
      <c r="AM19" s="700"/>
      <c r="AN19" s="56"/>
      <c r="AO19" s="56"/>
      <c r="AP19" s="56"/>
      <c r="AQ19" s="56"/>
      <c r="AR19" s="56"/>
    </row>
    <row r="20" spans="2:44">
      <c r="D20" s="56"/>
      <c r="E20" s="212"/>
      <c r="F20" s="212"/>
      <c r="G20" s="212"/>
      <c r="H20" s="212"/>
      <c r="I20" s="212"/>
      <c r="J20" s="56"/>
      <c r="K20" s="56"/>
      <c r="L20" s="56"/>
      <c r="M20" s="56"/>
      <c r="N20" s="1094"/>
      <c r="O20" s="1130" t="s">
        <v>925</v>
      </c>
      <c r="P20" s="1135">
        <f>P19+P16</f>
        <v>63104.520593087291</v>
      </c>
      <c r="V20" s="1101"/>
      <c r="W20" s="594"/>
      <c r="X20" s="269"/>
      <c r="Y20" s="269"/>
      <c r="Z20" s="269"/>
      <c r="AA20" s="269"/>
      <c r="AB20" s="56"/>
      <c r="AC20" s="56"/>
      <c r="AD20" s="56"/>
      <c r="AE20" s="56"/>
      <c r="AF20" s="56"/>
      <c r="AG20" s="56"/>
      <c r="AH20" s="700"/>
      <c r="AI20" s="700"/>
      <c r="AJ20" s="56"/>
      <c r="AK20" s="589"/>
      <c r="AL20" s="589"/>
      <c r="AM20" s="589"/>
      <c r="AN20" s="56"/>
      <c r="AO20" s="56"/>
      <c r="AP20" s="56"/>
      <c r="AQ20" s="56"/>
      <c r="AR20" s="56"/>
    </row>
    <row r="21" spans="2:44">
      <c r="B21" s="1" t="s">
        <v>705</v>
      </c>
      <c r="D21" s="56"/>
      <c r="E21" s="589">
        <f t="shared" ref="E21:J21" si="7">E10/(1+E19)^((E2-$L$2)/365)</f>
        <v>4652.2704294491114</v>
      </c>
      <c r="F21" s="589">
        <f t="shared" si="7"/>
        <v>6677.8562160308502</v>
      </c>
      <c r="G21" s="589">
        <f t="shared" si="7"/>
        <v>6140.9708852057665</v>
      </c>
      <c r="H21" s="589">
        <f t="shared" si="7"/>
        <v>5910.7365319328119</v>
      </c>
      <c r="I21" s="589">
        <f t="shared" si="7"/>
        <v>4980.0870655427834</v>
      </c>
      <c r="J21" s="589">
        <f t="shared" si="7"/>
        <v>4123.655197477804</v>
      </c>
      <c r="K21" s="589">
        <f t="shared" ref="K21" si="8">K10/(1+K19)^((K2-$L$2)/365)</f>
        <v>3391.366962877426</v>
      </c>
      <c r="L21" s="589">
        <f>L10/(1+K19)^((K2-$L$2)/365)</f>
        <v>18197.112016520077</v>
      </c>
      <c r="M21" s="56"/>
      <c r="N21" s="1093"/>
      <c r="O21" s="1130" t="s">
        <v>920</v>
      </c>
      <c r="P21" s="1133">
        <f>IS!BJ44</f>
        <v>438.11919999999998</v>
      </c>
      <c r="Q21" s="1130"/>
      <c r="R21" s="1130"/>
      <c r="S21" s="1130"/>
      <c r="T21" s="1130"/>
      <c r="U21" s="1119"/>
      <c r="V21" s="1101"/>
      <c r="W21" s="594"/>
      <c r="X21" s="269"/>
      <c r="Y21" s="269"/>
      <c r="Z21" s="269"/>
      <c r="AA21" s="269"/>
      <c r="AB21" s="56"/>
      <c r="AC21" s="56"/>
      <c r="AD21" s="56"/>
      <c r="AE21" s="56"/>
      <c r="AF21" s="56"/>
      <c r="AG21" s="56"/>
      <c r="AH21" s="700"/>
      <c r="AI21" s="700"/>
      <c r="AJ21" s="56"/>
      <c r="AK21" s="589"/>
      <c r="AL21" s="589"/>
      <c r="AM21" s="589"/>
      <c r="AN21" s="56"/>
      <c r="AO21" s="56"/>
      <c r="AP21" s="56"/>
      <c r="AQ21" s="56"/>
      <c r="AR21" s="56"/>
    </row>
    <row r="22" spans="2:44" ht="13.5" thickBot="1">
      <c r="D22" s="56"/>
      <c r="E22" s="212"/>
      <c r="F22" s="212"/>
      <c r="G22" s="212"/>
      <c r="H22" s="212"/>
      <c r="I22" s="212"/>
      <c r="J22" s="212"/>
      <c r="K22" s="212"/>
      <c r="L22" s="56"/>
      <c r="M22" s="56"/>
      <c r="N22" s="1100"/>
      <c r="O22" s="1139" t="s">
        <v>921</v>
      </c>
      <c r="P22" s="1215">
        <f>P20/P21</f>
        <v>144.03504934978264</v>
      </c>
      <c r="Q22" s="1140"/>
      <c r="R22" s="1140"/>
      <c r="S22" s="1140"/>
      <c r="T22" s="1140"/>
      <c r="U22" s="1120"/>
      <c r="V22" s="1101"/>
      <c r="W22" s="594"/>
      <c r="X22" s="269"/>
      <c r="Y22" s="269"/>
      <c r="Z22" s="269"/>
      <c r="AA22" s="269"/>
      <c r="AB22" s="56"/>
      <c r="AC22" s="56"/>
      <c r="AD22" s="56"/>
      <c r="AE22" s="56"/>
      <c r="AF22" s="56"/>
      <c r="AG22" s="56"/>
      <c r="AH22" s="700"/>
      <c r="AI22" s="700"/>
      <c r="AJ22" s="56"/>
      <c r="AK22" s="589"/>
      <c r="AL22" s="589"/>
      <c r="AM22" s="589"/>
      <c r="AN22" s="56"/>
      <c r="AO22" s="56"/>
      <c r="AP22" s="56"/>
      <c r="AQ22" s="56"/>
      <c r="AR22" s="56"/>
    </row>
    <row r="23" spans="2:44">
      <c r="B23" s="1" t="s">
        <v>707</v>
      </c>
      <c r="D23" s="56"/>
      <c r="E23" s="700">
        <f>SUM(G21:K21)</f>
        <v>24546.816643036593</v>
      </c>
      <c r="F23" s="56"/>
      <c r="G23" s="56"/>
      <c r="H23" s="56"/>
      <c r="I23" s="56"/>
      <c r="J23" s="56"/>
      <c r="K23" s="56"/>
      <c r="L23" s="56"/>
      <c r="M23" s="56"/>
      <c r="N23" s="1094"/>
      <c r="O23" s="1141" t="s">
        <v>956</v>
      </c>
      <c r="P23" s="1141"/>
      <c r="Q23" s="1141"/>
      <c r="R23" s="1141"/>
      <c r="S23" s="1141"/>
      <c r="T23" s="1141"/>
      <c r="U23" s="1117"/>
      <c r="V23" s="1101"/>
      <c r="W23" s="594"/>
      <c r="X23" s="269"/>
      <c r="Y23" s="269"/>
      <c r="Z23" s="269"/>
      <c r="AA23" s="269"/>
      <c r="AB23" s="56"/>
      <c r="AC23" s="56"/>
      <c r="AD23" s="56"/>
      <c r="AE23" s="56"/>
      <c r="AF23" s="56"/>
      <c r="AG23" s="56"/>
      <c r="AH23" s="700"/>
      <c r="AI23" s="700"/>
      <c r="AJ23" s="56"/>
      <c r="AK23" s="589"/>
      <c r="AL23" s="589"/>
      <c r="AM23" s="589"/>
      <c r="AN23" s="56"/>
      <c r="AO23" s="56"/>
      <c r="AP23" s="56"/>
      <c r="AQ23" s="56"/>
      <c r="AR23" s="56"/>
    </row>
    <row r="24" spans="2:44">
      <c r="B24" s="1" t="s">
        <v>708</v>
      </c>
      <c r="D24" s="56"/>
      <c r="E24" s="700">
        <f>L21</f>
        <v>18197.112016520077</v>
      </c>
      <c r="F24" s="56"/>
      <c r="G24" s="724">
        <f>E16*(1-IS!BJ48)</f>
        <v>8.723987224906829E-2</v>
      </c>
      <c r="H24" s="56"/>
      <c r="I24" s="56"/>
      <c r="J24" s="56"/>
      <c r="K24" s="56"/>
      <c r="L24" s="56"/>
      <c r="M24" s="56"/>
      <c r="N24" s="1094"/>
      <c r="O24" s="1100"/>
      <c r="P24" s="1100"/>
      <c r="Q24" s="1100"/>
      <c r="R24" s="1100"/>
      <c r="S24" s="1100"/>
      <c r="T24" s="1094"/>
      <c r="U24" s="1101"/>
      <c r="V24" s="1101"/>
      <c r="W24" s="594"/>
      <c r="X24" s="269"/>
      <c r="Y24" s="269"/>
      <c r="Z24" s="269"/>
      <c r="AA24" s="269"/>
      <c r="AB24" s="56"/>
      <c r="AC24" s="56"/>
      <c r="AD24" s="56"/>
      <c r="AE24" s="56"/>
      <c r="AF24" s="56"/>
      <c r="AG24" s="56"/>
      <c r="AH24" s="700"/>
      <c r="AI24" s="700"/>
      <c r="AJ24" s="56"/>
      <c r="AK24" s="589"/>
      <c r="AL24" s="589"/>
      <c r="AM24" s="589"/>
      <c r="AN24" s="56"/>
      <c r="AO24" s="56"/>
      <c r="AP24" s="56"/>
      <c r="AQ24" s="56"/>
      <c r="AR24" s="56"/>
    </row>
    <row r="25" spans="2:44">
      <c r="B25" s="1" t="s">
        <v>709</v>
      </c>
      <c r="D25" s="56"/>
      <c r="E25" s="700">
        <f>E24+E23</f>
        <v>42743.928659556666</v>
      </c>
      <c r="F25" s="56"/>
      <c r="G25" s="56"/>
      <c r="H25" s="56"/>
      <c r="I25" s="56"/>
      <c r="J25" s="56"/>
      <c r="K25" s="56"/>
      <c r="L25" s="1142" t="s">
        <v>927</v>
      </c>
      <c r="M25" s="1143"/>
      <c r="N25" s="1094"/>
      <c r="O25" s="1142"/>
      <c r="P25" s="1143"/>
      <c r="Q25" s="1100"/>
      <c r="R25" s="1100"/>
      <c r="S25" s="1100"/>
      <c r="T25" s="1094"/>
      <c r="U25" s="1101"/>
      <c r="V25" s="1101"/>
      <c r="W25" s="594"/>
      <c r="X25" s="269"/>
      <c r="Y25" s="269"/>
      <c r="Z25" s="269"/>
      <c r="AA25" s="269"/>
      <c r="AB25" s="56"/>
      <c r="AC25" s="56"/>
      <c r="AD25" s="56"/>
      <c r="AE25" s="56"/>
      <c r="AF25" s="56"/>
      <c r="AG25" s="56"/>
      <c r="AH25" s="700"/>
      <c r="AI25" s="700"/>
      <c r="AJ25" s="56"/>
      <c r="AK25" s="589"/>
      <c r="AL25" s="589"/>
      <c r="AM25" s="589"/>
      <c r="AN25" s="56"/>
      <c r="AO25" s="56"/>
      <c r="AP25" s="56"/>
      <c r="AQ25" s="56"/>
      <c r="AR25" s="56"/>
    </row>
    <row r="26" spans="2:44">
      <c r="B26" s="1" t="s">
        <v>710</v>
      </c>
      <c r="D26" s="56"/>
      <c r="E26" s="700">
        <f>BS!S20+BS!S28+BS!S32-BS!S58</f>
        <v>3366.8330000000005</v>
      </c>
      <c r="F26" s="700"/>
      <c r="G26" s="56"/>
      <c r="H26" s="56"/>
      <c r="I26" s="56"/>
      <c r="J26" s="56"/>
      <c r="K26" s="56"/>
      <c r="L26" s="1144" t="s">
        <v>928</v>
      </c>
      <c r="M26" s="1145">
        <f>C33</f>
        <v>0.13</v>
      </c>
      <c r="N26" s="1094"/>
      <c r="O26" s="1144"/>
      <c r="P26" s="1145"/>
      <c r="Q26" s="1100"/>
      <c r="R26" s="1100"/>
      <c r="S26" s="1100"/>
      <c r="T26" s="1094"/>
      <c r="U26" s="1101"/>
      <c r="V26" s="1101"/>
      <c r="W26" s="594"/>
      <c r="X26" s="269"/>
      <c r="Y26" s="269"/>
      <c r="Z26" s="269"/>
      <c r="AA26" s="269"/>
      <c r="AB26" s="56"/>
      <c r="AC26" s="56"/>
      <c r="AD26" s="56"/>
      <c r="AE26" s="56"/>
      <c r="AF26" s="56"/>
      <c r="AG26" s="56"/>
      <c r="AH26" s="700"/>
      <c r="AI26" s="700"/>
      <c r="AJ26" s="56"/>
      <c r="AK26" s="589"/>
      <c r="AL26" s="589"/>
      <c r="AM26" s="589"/>
      <c r="AN26" s="56"/>
      <c r="AO26" s="56"/>
      <c r="AP26" s="56"/>
      <c r="AQ26" s="56"/>
      <c r="AR26" s="56"/>
    </row>
    <row r="27" spans="2:44">
      <c r="B27" s="1" t="s">
        <v>711</v>
      </c>
      <c r="D27" s="56"/>
      <c r="E27" s="700">
        <f>E25-E26</f>
        <v>39377.095659556668</v>
      </c>
      <c r="F27" s="56"/>
      <c r="G27" s="56"/>
      <c r="H27" s="56"/>
      <c r="I27" s="56"/>
      <c r="J27" s="56"/>
      <c r="K27" s="56"/>
      <c r="L27" s="1144" t="s">
        <v>282</v>
      </c>
      <c r="M27" s="1145">
        <f>C34</f>
        <v>0.2</v>
      </c>
      <c r="N27" s="1094"/>
      <c r="O27" s="1144"/>
      <c r="P27" s="1145"/>
      <c r="Q27" s="1100"/>
      <c r="R27" s="1100"/>
      <c r="S27" s="1100"/>
      <c r="T27" s="1094"/>
      <c r="U27" s="1101"/>
      <c r="V27" s="1101"/>
      <c r="W27" s="594"/>
      <c r="X27" s="269"/>
      <c r="Y27" s="269"/>
      <c r="Z27" s="269"/>
      <c r="AA27" s="269"/>
      <c r="AB27" s="56"/>
      <c r="AC27" s="56"/>
      <c r="AD27" s="56"/>
      <c r="AE27" s="56"/>
      <c r="AF27" s="56"/>
      <c r="AG27" s="56"/>
      <c r="AH27" s="700"/>
      <c r="AI27" s="700"/>
      <c r="AJ27" s="56"/>
      <c r="AK27" s="589"/>
      <c r="AL27" s="589"/>
      <c r="AM27" s="589"/>
      <c r="AN27" s="56"/>
      <c r="AO27" s="56"/>
      <c r="AP27" s="56"/>
      <c r="AQ27" s="56"/>
      <c r="AR27" s="56"/>
    </row>
    <row r="28" spans="2:44">
      <c r="B28" s="1" t="s">
        <v>712</v>
      </c>
      <c r="D28" s="56"/>
      <c r="E28" s="589">
        <f>E27/(BS!R7/10)</f>
        <v>89.877605563319804</v>
      </c>
      <c r="F28" s="589">
        <f>E28*(1+G19)^0.5</f>
        <v>99.14790858215531</v>
      </c>
      <c r="G28" s="56"/>
      <c r="H28" s="56"/>
      <c r="I28" s="56"/>
      <c r="J28" s="56"/>
      <c r="K28" s="56"/>
      <c r="L28" s="1144" t="s">
        <v>5</v>
      </c>
      <c r="M28" s="1146">
        <f>C32</f>
        <v>1.383</v>
      </c>
      <c r="N28" s="1094"/>
      <c r="O28" s="1144"/>
      <c r="P28" s="1146"/>
      <c r="Q28" s="1100"/>
      <c r="R28" s="1100"/>
      <c r="S28" s="1100"/>
      <c r="T28" s="1094"/>
      <c r="U28" s="1101"/>
      <c r="V28" s="1101"/>
      <c r="W28" s="594"/>
      <c r="X28" s="269"/>
      <c r="Y28" s="269"/>
      <c r="Z28" s="269"/>
      <c r="AA28" s="269"/>
      <c r="AB28" s="56"/>
      <c r="AC28" s="56"/>
      <c r="AD28" s="56"/>
      <c r="AE28" s="56"/>
      <c r="AF28" s="56"/>
      <c r="AG28" s="56"/>
      <c r="AH28" s="700"/>
      <c r="AI28" s="700"/>
      <c r="AJ28" s="56"/>
      <c r="AK28" s="589"/>
      <c r="AL28" s="589"/>
      <c r="AM28" s="589"/>
      <c r="AN28" s="56"/>
      <c r="AO28" s="56"/>
      <c r="AP28" s="56"/>
      <c r="AQ28" s="56"/>
      <c r="AR28" s="56"/>
    </row>
    <row r="29" spans="2:44">
      <c r="D29" s="56"/>
      <c r="E29" s="589">
        <f>Investments!F17</f>
        <v>50.245048316995337</v>
      </c>
      <c r="F29" s="700">
        <f>E29</f>
        <v>50.245048316995337</v>
      </c>
      <c r="G29" s="56"/>
      <c r="H29" s="56"/>
      <c r="I29" s="56"/>
      <c r="J29" s="56"/>
      <c r="K29" s="56"/>
      <c r="L29" s="1144" t="s">
        <v>696</v>
      </c>
      <c r="M29" s="659">
        <f>M26+M28*(M27-M26)</f>
        <v>0.22681000000000001</v>
      </c>
      <c r="N29" s="1094"/>
      <c r="O29" s="1144"/>
      <c r="P29" s="659"/>
      <c r="Q29" s="1100"/>
      <c r="R29" s="1100"/>
      <c r="S29" s="1100"/>
      <c r="T29" s="1094"/>
      <c r="U29" s="1101"/>
      <c r="V29" s="1101"/>
      <c r="W29" s="594"/>
      <c r="X29" s="269"/>
      <c r="Y29" s="269"/>
      <c r="Z29" s="269"/>
      <c r="AA29" s="269"/>
      <c r="AB29" s="56"/>
      <c r="AC29" s="56"/>
      <c r="AD29" s="56"/>
      <c r="AE29" s="56"/>
      <c r="AF29" s="56"/>
      <c r="AG29" s="56"/>
      <c r="AH29" s="700"/>
      <c r="AI29" s="700"/>
      <c r="AJ29" s="56"/>
      <c r="AK29" s="589"/>
      <c r="AL29" s="589"/>
      <c r="AM29" s="589"/>
      <c r="AN29" s="56"/>
      <c r="AO29" s="56"/>
      <c r="AP29" s="56"/>
      <c r="AQ29" s="56"/>
      <c r="AR29" s="56"/>
    </row>
    <row r="30" spans="2:44">
      <c r="D30" s="56"/>
      <c r="E30" s="1378">
        <f>E29+E28</f>
        <v>140.12265388031514</v>
      </c>
      <c r="F30" s="1236">
        <f>F29+F28</f>
        <v>149.39295689915065</v>
      </c>
      <c r="G30" s="56"/>
      <c r="H30" s="268">
        <v>96.1</v>
      </c>
      <c r="I30" s="56"/>
      <c r="J30" s="56"/>
      <c r="K30" s="56"/>
      <c r="L30" s="1144" t="s">
        <v>929</v>
      </c>
      <c r="M30" s="659">
        <f>G24</f>
        <v>8.723987224906829E-2</v>
      </c>
      <c r="N30" s="1094"/>
      <c r="O30" s="1144"/>
      <c r="P30" s="659"/>
      <c r="Q30" s="1100"/>
      <c r="R30" s="1100"/>
      <c r="S30" s="1100"/>
      <c r="T30" s="1094"/>
      <c r="U30" s="1101"/>
      <c r="V30" s="1101"/>
      <c r="W30" s="594"/>
      <c r="X30" s="269"/>
      <c r="Y30" s="269"/>
      <c r="Z30" s="269"/>
      <c r="AA30" s="269"/>
      <c r="AB30" s="56"/>
      <c r="AC30" s="56"/>
      <c r="AD30" s="56"/>
      <c r="AE30" s="56"/>
      <c r="AF30" s="56"/>
      <c r="AG30" s="56"/>
      <c r="AH30" s="700"/>
      <c r="AI30" s="700"/>
      <c r="AJ30" s="56"/>
      <c r="AK30" s="589"/>
      <c r="AL30" s="589"/>
      <c r="AM30" s="589"/>
      <c r="AN30" s="56"/>
      <c r="AO30" s="56"/>
      <c r="AP30" s="56"/>
      <c r="AQ30" s="56"/>
      <c r="AR30" s="56"/>
    </row>
    <row r="31" spans="2:44">
      <c r="D31" s="56"/>
      <c r="E31" s="700">
        <v>72.69</v>
      </c>
      <c r="F31" s="268">
        <f>E30/E31-1</f>
        <v>0.92767442399663147</v>
      </c>
      <c r="G31" s="56"/>
      <c r="H31" s="56">
        <f>E30/H30-1</f>
        <v>0.45809213194916909</v>
      </c>
      <c r="I31" s="56"/>
      <c r="J31" s="56"/>
      <c r="K31" s="56"/>
      <c r="L31" s="1144" t="s">
        <v>930</v>
      </c>
      <c r="M31" s="1147">
        <f>E19</f>
        <v>0.20408334966690847</v>
      </c>
      <c r="N31" s="1094"/>
      <c r="O31" s="1144"/>
      <c r="P31" s="659"/>
      <c r="Q31" s="1100"/>
      <c r="R31" s="1100"/>
      <c r="S31" s="1100"/>
      <c r="T31" s="1096"/>
      <c r="U31" s="1102"/>
      <c r="V31" s="1094"/>
      <c r="W31" s="269"/>
      <c r="X31" s="269"/>
      <c r="Y31" s="269"/>
      <c r="Z31" s="269"/>
      <c r="AA31" s="269"/>
      <c r="AB31" s="56"/>
      <c r="AC31" s="56"/>
      <c r="AD31" s="56"/>
      <c r="AE31" s="56"/>
      <c r="AF31" s="56"/>
      <c r="AG31" s="56"/>
      <c r="AH31" s="700"/>
      <c r="AI31" s="700"/>
      <c r="AJ31" s="56"/>
      <c r="AK31" s="589"/>
      <c r="AL31" s="589"/>
      <c r="AM31" s="589"/>
      <c r="AN31" s="56"/>
      <c r="AO31" s="56"/>
      <c r="AP31" s="56"/>
      <c r="AQ31" s="56"/>
      <c r="AR31" s="56"/>
    </row>
    <row r="32" spans="2:44">
      <c r="B32" s="610" t="s">
        <v>5</v>
      </c>
      <c r="C32" s="611">
        <v>1.383</v>
      </c>
      <c r="D32" s="56"/>
      <c r="E32" s="56"/>
      <c r="F32" s="56">
        <f>E31*438/100</f>
        <v>318.38219999999995</v>
      </c>
      <c r="G32" s="56"/>
      <c r="H32" s="56"/>
      <c r="I32" s="56"/>
      <c r="J32" s="56"/>
      <c r="K32" s="56"/>
      <c r="L32" s="1148" t="s">
        <v>956</v>
      </c>
      <c r="M32" s="1149"/>
      <c r="N32" s="1094"/>
      <c r="O32" s="1144"/>
      <c r="P32" s="1147"/>
      <c r="Q32" s="1100"/>
      <c r="R32" s="1100"/>
      <c r="S32" s="1100"/>
      <c r="T32" s="1094"/>
      <c r="U32" s="1096"/>
      <c r="V32" s="1094"/>
      <c r="W32" s="269"/>
      <c r="X32" s="269"/>
      <c r="Y32" s="269"/>
      <c r="Z32" s="269"/>
      <c r="AA32" s="269"/>
      <c r="AB32" s="56"/>
      <c r="AC32" s="56"/>
      <c r="AD32" s="702"/>
      <c r="AE32" s="589"/>
      <c r="AF32" s="589"/>
      <c r="AG32" s="589"/>
      <c r="AH32" s="589"/>
      <c r="AI32" s="589"/>
      <c r="AJ32" s="589"/>
      <c r="AK32" s="589"/>
      <c r="AL32" s="589"/>
      <c r="AM32" s="589"/>
      <c r="AN32" s="56"/>
      <c r="AO32" s="56"/>
      <c r="AP32" s="56"/>
      <c r="AQ32" s="56"/>
      <c r="AR32" s="56"/>
    </row>
    <row r="33" spans="2:44">
      <c r="B33" s="610" t="s">
        <v>281</v>
      </c>
      <c r="C33" s="612">
        <v>0.13</v>
      </c>
      <c r="D33" s="56"/>
      <c r="E33" s="56"/>
      <c r="F33" s="56"/>
      <c r="G33" s="56"/>
      <c r="H33" s="56"/>
      <c r="I33" s="56">
        <v>13.09</v>
      </c>
      <c r="J33" s="56"/>
      <c r="K33" s="56"/>
      <c r="N33" s="1094"/>
      <c r="O33" s="1148"/>
      <c r="P33" s="1149"/>
      <c r="Q33" s="1100"/>
      <c r="R33" s="1100"/>
      <c r="S33" s="1100"/>
      <c r="T33" s="1094"/>
      <c r="U33" s="1102"/>
      <c r="V33" s="1094"/>
      <c r="W33" s="269"/>
      <c r="X33" s="1194" t="s">
        <v>947</v>
      </c>
      <c r="Y33" s="1195"/>
      <c r="Z33" s="1195"/>
      <c r="AA33" s="1195"/>
      <c r="AB33" s="1195"/>
      <c r="AC33" s="1196"/>
      <c r="AD33" s="1196"/>
      <c r="AE33" s="56"/>
      <c r="AF33" s="703"/>
      <c r="AG33" s="704"/>
      <c r="AH33" s="589"/>
      <c r="AI33" s="589"/>
      <c r="AJ33" s="589"/>
      <c r="AK33" s="589"/>
      <c r="AL33" s="589"/>
      <c r="AM33" s="589"/>
      <c r="AN33" s="56"/>
      <c r="AO33" s="56"/>
      <c r="AP33" s="56"/>
      <c r="AQ33" s="56"/>
      <c r="AR33" s="56"/>
    </row>
    <row r="34" spans="2:44">
      <c r="B34" s="610" t="s">
        <v>282</v>
      </c>
      <c r="C34" s="612">
        <f>+C33+7%</f>
        <v>0.2</v>
      </c>
      <c r="D34" s="56"/>
      <c r="E34" s="56"/>
      <c r="F34" s="56"/>
      <c r="G34" s="56"/>
      <c r="H34" s="56"/>
      <c r="I34" s="268">
        <f>H30/I33</f>
        <v>7.3414820473643996</v>
      </c>
      <c r="J34" s="56"/>
      <c r="K34" s="56"/>
      <c r="L34" s="700"/>
      <c r="M34" s="589"/>
      <c r="N34" s="1094"/>
      <c r="O34" s="1100"/>
      <c r="P34" s="1100"/>
      <c r="Q34" s="1100"/>
      <c r="R34" s="1100"/>
      <c r="S34" s="1100"/>
      <c r="T34" s="1094"/>
      <c r="U34" s="1094"/>
      <c r="V34" s="1094"/>
      <c r="W34" s="269"/>
      <c r="X34" s="1384" t="s">
        <v>928</v>
      </c>
      <c r="Y34" s="1386" t="s">
        <v>917</v>
      </c>
      <c r="Z34" s="1386"/>
      <c r="AA34" s="1386"/>
      <c r="AB34" s="1386"/>
      <c r="AC34" s="1386"/>
      <c r="AD34" s="1386"/>
      <c r="AE34" s="589"/>
      <c r="AF34" s="589"/>
      <c r="AG34" s="589"/>
      <c r="AH34" s="589"/>
      <c r="AI34" s="589"/>
      <c r="AJ34" s="589"/>
      <c r="AK34" s="589"/>
      <c r="AL34" s="589"/>
      <c r="AM34" s="589"/>
      <c r="AN34" s="56"/>
      <c r="AO34" s="56"/>
      <c r="AP34" s="56"/>
      <c r="AQ34" s="56"/>
      <c r="AR34" s="56"/>
    </row>
    <row r="35" spans="2:44">
      <c r="B35" s="610" t="s">
        <v>283</v>
      </c>
      <c r="C35" s="612">
        <f>C33+((C34-C33)*C32)</f>
        <v>0.22681000000000001</v>
      </c>
      <c r="D35" s="56"/>
      <c r="E35" s="268"/>
      <c r="F35" s="56"/>
      <c r="G35" s="56"/>
      <c r="H35" s="56"/>
      <c r="I35" s="705"/>
      <c r="J35" s="56"/>
      <c r="K35" s="56"/>
      <c r="L35" s="56"/>
      <c r="M35" s="56"/>
      <c r="N35" s="1095"/>
      <c r="O35" s="1100"/>
      <c r="P35" s="1100"/>
      <c r="Q35" s="1100"/>
      <c r="R35" s="1100"/>
      <c r="S35" s="1094"/>
      <c r="T35" s="1094"/>
      <c r="U35" s="1094"/>
      <c r="V35" s="1094"/>
      <c r="W35" s="269"/>
      <c r="X35" s="1384"/>
      <c r="Y35" s="1205">
        <f>W16</f>
        <v>0</v>
      </c>
      <c r="Z35" s="1197">
        <v>0.02</v>
      </c>
      <c r="AA35" s="1197">
        <v>0.03</v>
      </c>
      <c r="AB35" s="1197">
        <v>0.04</v>
      </c>
      <c r="AC35" s="1197">
        <v>0.05</v>
      </c>
      <c r="AD35" s="1197">
        <v>0.06</v>
      </c>
      <c r="AE35" s="589"/>
      <c r="AF35" s="589"/>
      <c r="AG35" s="704"/>
      <c r="AH35" s="589"/>
      <c r="AI35" s="589"/>
      <c r="AJ35" s="589"/>
      <c r="AK35" s="589"/>
      <c r="AL35" s="589"/>
      <c r="AM35" s="589"/>
      <c r="AN35" s="56"/>
      <c r="AO35" s="56"/>
      <c r="AP35" s="56"/>
      <c r="AQ35" s="56"/>
      <c r="AR35" s="56"/>
    </row>
    <row r="36" spans="2:44">
      <c r="B36" s="76"/>
      <c r="C36" s="613"/>
      <c r="D36" s="56"/>
      <c r="E36" s="56"/>
      <c r="F36" s="56"/>
      <c r="G36" s="56"/>
      <c r="H36" s="268">
        <f>E30</f>
        <v>140.12265388031514</v>
      </c>
      <c r="I36" s="705"/>
      <c r="J36" s="56"/>
      <c r="K36" s="56"/>
      <c r="L36" s="1286" t="s">
        <v>990</v>
      </c>
      <c r="M36" s="1287">
        <v>6.6128523681042441</v>
      </c>
      <c r="N36" s="1287">
        <v>133.87</v>
      </c>
      <c r="O36" s="1287">
        <v>114.522468</v>
      </c>
      <c r="P36" s="1287">
        <f>O36*N36</f>
        <v>15331.122791160002</v>
      </c>
      <c r="Q36" s="1292">
        <f>P36*M36</f>
        <v>101382.45165521937</v>
      </c>
      <c r="R36" s="1094"/>
      <c r="S36" s="1094"/>
      <c r="T36" s="1103"/>
      <c r="U36" s="1100"/>
      <c r="V36" s="1100"/>
      <c r="W36" s="593"/>
      <c r="X36" s="1384"/>
      <c r="Y36" s="1198">
        <v>0.11</v>
      </c>
      <c r="Z36" s="1199">
        <f t="dataTable" ref="Z36:AD40" dt2D="1" dtr="1" r1="L9" r2="C33"/>
        <v>0</v>
      </c>
      <c r="AA36" s="1199">
        <v>0</v>
      </c>
      <c r="AB36" s="1199">
        <v>0</v>
      </c>
      <c r="AC36" s="1199">
        <v>0</v>
      </c>
      <c r="AD36" s="1199">
        <v>0</v>
      </c>
      <c r="AE36" s="589"/>
      <c r="AF36" s="589"/>
      <c r="AG36" s="706"/>
      <c r="AH36" s="589"/>
      <c r="AI36" s="589"/>
      <c r="AJ36" s="56"/>
      <c r="AK36" s="56"/>
      <c r="AL36" s="56"/>
      <c r="AM36" s="56"/>
      <c r="AN36" s="56"/>
      <c r="AO36" s="56"/>
      <c r="AP36" s="56"/>
      <c r="AQ36" s="56"/>
      <c r="AR36" s="56"/>
    </row>
    <row r="37" spans="2:44">
      <c r="B37" s="610" t="s">
        <v>284</v>
      </c>
      <c r="C37" s="612">
        <f>C35</f>
        <v>0.22681000000000001</v>
      </c>
      <c r="D37" s="56"/>
      <c r="E37" s="56"/>
      <c r="F37" s="56"/>
      <c r="G37" s="56"/>
      <c r="H37" s="56"/>
      <c r="I37" s="707"/>
      <c r="J37" s="56"/>
      <c r="K37" s="56"/>
      <c r="L37" s="1288" t="s">
        <v>882</v>
      </c>
      <c r="M37" s="1289">
        <v>7.3440822556628769</v>
      </c>
      <c r="N37" s="1289">
        <v>96.07</v>
      </c>
      <c r="O37" s="1289">
        <v>438.11909700000001</v>
      </c>
      <c r="P37" s="1289">
        <f t="shared" ref="P37:P40" si="9">O37*N37</f>
        <v>42090.101648789998</v>
      </c>
      <c r="Q37" s="1293">
        <f t="shared" ref="Q37:Q40" si="10">P37*M37</f>
        <v>309113.16865792545</v>
      </c>
      <c r="R37" s="1094"/>
      <c r="S37" s="1094"/>
      <c r="T37" s="1100"/>
      <c r="U37" s="1100"/>
      <c r="V37" s="1100"/>
      <c r="W37" s="269"/>
      <c r="X37" s="1384"/>
      <c r="Y37" s="1198">
        <v>0.12</v>
      </c>
      <c r="Z37" s="1199">
        <v>0</v>
      </c>
      <c r="AA37" s="1200">
        <v>0</v>
      </c>
      <c r="AB37" s="1199">
        <v>0</v>
      </c>
      <c r="AC37" s="1199">
        <v>0</v>
      </c>
      <c r="AD37" s="1199">
        <v>0</v>
      </c>
      <c r="AE37" s="708"/>
      <c r="AF37" s="709"/>
      <c r="AG37" s="589"/>
      <c r="AH37" s="589"/>
      <c r="AI37" s="589"/>
      <c r="AJ37" s="56"/>
      <c r="AK37" s="56"/>
      <c r="AL37" s="56"/>
      <c r="AM37" s="56"/>
      <c r="AN37" s="56"/>
      <c r="AO37" s="56"/>
      <c r="AP37" s="56"/>
      <c r="AQ37" s="56"/>
      <c r="AR37" s="56"/>
    </row>
    <row r="38" spans="2:44">
      <c r="B38" s="610"/>
      <c r="C38" s="612"/>
      <c r="D38" s="56"/>
      <c r="E38" s="56"/>
      <c r="F38" s="56"/>
      <c r="G38" s="56"/>
      <c r="H38" s="56"/>
      <c r="I38" s="56"/>
      <c r="J38" s="56"/>
      <c r="K38" s="56"/>
      <c r="L38" s="1288" t="s">
        <v>987</v>
      </c>
      <c r="M38" s="1289">
        <v>7.6955053742676434</v>
      </c>
      <c r="N38" s="1289">
        <v>16.39</v>
      </c>
      <c r="O38" s="1289">
        <v>1331.1158390000001</v>
      </c>
      <c r="P38" s="1289">
        <f t="shared" si="9"/>
        <v>21816.988601210003</v>
      </c>
      <c r="Q38" s="1293">
        <f t="shared" si="10"/>
        <v>167892.7530309475</v>
      </c>
      <c r="R38" s="1094"/>
      <c r="S38" s="1094"/>
      <c r="T38" s="1100"/>
      <c r="U38" s="1104"/>
      <c r="V38" s="1104"/>
      <c r="W38" s="592"/>
      <c r="X38" s="1384"/>
      <c r="Y38" s="1198">
        <v>0.13</v>
      </c>
      <c r="Z38" s="1199">
        <v>0</v>
      </c>
      <c r="AA38" s="1199">
        <v>0</v>
      </c>
      <c r="AB38" s="1199">
        <v>0</v>
      </c>
      <c r="AC38" s="1199">
        <v>0</v>
      </c>
      <c r="AD38" s="1199">
        <v>0</v>
      </c>
      <c r="AE38" s="589"/>
      <c r="AF38" s="589"/>
      <c r="AG38" s="589"/>
      <c r="AH38" s="589"/>
      <c r="AI38" s="589"/>
      <c r="AJ38" s="56"/>
      <c r="AK38" s="56"/>
      <c r="AL38" s="56"/>
      <c r="AM38" s="56"/>
      <c r="AN38" s="56"/>
      <c r="AO38" s="56"/>
      <c r="AP38" s="56"/>
      <c r="AQ38" s="56"/>
      <c r="AR38" s="56"/>
    </row>
    <row r="39" spans="2:44">
      <c r="B39" s="610" t="s">
        <v>285</v>
      </c>
      <c r="C39" s="612">
        <f>G40</f>
        <v>0</v>
      </c>
      <c r="D39" s="56"/>
      <c r="E39" s="56"/>
      <c r="F39" s="56"/>
      <c r="G39" s="711"/>
      <c r="H39" s="56"/>
      <c r="I39" s="56"/>
      <c r="J39" s="56"/>
      <c r="K39" s="56"/>
      <c r="L39" s="1288" t="s">
        <v>984</v>
      </c>
      <c r="M39" s="1289">
        <v>5.9445542717432183</v>
      </c>
      <c r="N39" s="1289">
        <v>117.42</v>
      </c>
      <c r="O39" s="1289">
        <v>154.50868800000001</v>
      </c>
      <c r="P39" s="1289">
        <f t="shared" si="9"/>
        <v>18142.410144960002</v>
      </c>
      <c r="Q39" s="1293">
        <f t="shared" si="10"/>
        <v>107848.54172693948</v>
      </c>
      <c r="R39" s="1094"/>
      <c r="S39" s="1094"/>
      <c r="T39" s="1100"/>
      <c r="U39" s="1104"/>
      <c r="V39" s="1104"/>
      <c r="W39" s="592"/>
      <c r="X39" s="1384"/>
      <c r="Y39" s="1198">
        <v>0.14000000000000001</v>
      </c>
      <c r="Z39" s="1199">
        <v>0</v>
      </c>
      <c r="AA39" s="1199">
        <v>0</v>
      </c>
      <c r="AB39" s="1199">
        <v>0</v>
      </c>
      <c r="AC39" s="1199">
        <v>0</v>
      </c>
      <c r="AD39" s="1199">
        <v>0</v>
      </c>
      <c r="AE39" s="589"/>
      <c r="AF39" s="589"/>
      <c r="AG39" s="589"/>
      <c r="AH39" s="589"/>
      <c r="AI39" s="589"/>
      <c r="AJ39" s="56"/>
      <c r="AK39" s="56"/>
      <c r="AL39" s="56"/>
      <c r="AM39" s="56"/>
      <c r="AN39" s="56"/>
      <c r="AO39" s="56"/>
      <c r="AP39" s="56"/>
      <c r="AQ39" s="56"/>
      <c r="AR39" s="56"/>
    </row>
    <row r="40" spans="2:44">
      <c r="B40" s="610" t="s">
        <v>229</v>
      </c>
      <c r="C40" s="614">
        <v>0.56000000000000005</v>
      </c>
      <c r="D40" s="56"/>
      <c r="E40" s="56"/>
      <c r="F40" s="56"/>
      <c r="G40" s="712"/>
      <c r="H40" s="56"/>
      <c r="I40" s="56"/>
      <c r="J40" s="56"/>
      <c r="K40" s="56"/>
      <c r="L40" s="1290" t="s">
        <v>978</v>
      </c>
      <c r="M40" s="1291">
        <v>7.7657861635220122</v>
      </c>
      <c r="N40" s="1291">
        <v>308.69</v>
      </c>
      <c r="O40" s="1291">
        <v>323.375</v>
      </c>
      <c r="P40" s="1291">
        <f t="shared" si="9"/>
        <v>99822.628750000003</v>
      </c>
      <c r="Q40" s="1294">
        <f t="shared" si="10"/>
        <v>775201.1891531446</v>
      </c>
      <c r="R40" s="1094"/>
      <c r="S40" s="1094"/>
      <c r="T40" s="1100"/>
      <c r="U40" s="1104"/>
      <c r="V40" s="1104"/>
      <c r="W40" s="710"/>
      <c r="X40" s="1385"/>
      <c r="Y40" s="1201">
        <v>0.15</v>
      </c>
      <c r="Z40" s="1202">
        <v>0</v>
      </c>
      <c r="AA40" s="1202">
        <v>0</v>
      </c>
      <c r="AB40" s="1202">
        <v>0</v>
      </c>
      <c r="AC40" s="1202">
        <v>0</v>
      </c>
      <c r="AD40" s="1202">
        <v>0</v>
      </c>
      <c r="AE40" s="589"/>
      <c r="AF40" s="704"/>
      <c r="AG40" s="589"/>
      <c r="AH40" s="589"/>
      <c r="AI40" s="702"/>
      <c r="AJ40" s="56"/>
      <c r="AK40" s="56"/>
      <c r="AL40" s="56"/>
      <c r="AM40" s="56"/>
      <c r="AN40" s="56"/>
      <c r="AO40" s="56"/>
      <c r="AP40" s="56"/>
      <c r="AQ40" s="56"/>
      <c r="AR40" s="56"/>
    </row>
    <row r="41" spans="2:44" ht="13.5">
      <c r="B41" s="610" t="s">
        <v>286</v>
      </c>
      <c r="C41" s="615">
        <v>0.44</v>
      </c>
      <c r="D41" s="589"/>
      <c r="E41" s="704"/>
      <c r="F41" s="589"/>
      <c r="G41" s="589"/>
      <c r="H41" s="589"/>
      <c r="I41" s="589"/>
      <c r="J41" s="56"/>
      <c r="K41" s="56"/>
      <c r="L41" s="56"/>
      <c r="M41" s="56"/>
      <c r="N41" s="1094"/>
      <c r="O41" s="1094"/>
      <c r="P41" s="1295">
        <f>SUM(P36:P40)-P37</f>
        <v>155113.15028732998</v>
      </c>
      <c r="Q41" s="1295">
        <f>SUM(Q36:Q40)-Q37</f>
        <v>1152324.9355662509</v>
      </c>
      <c r="R41" s="1094"/>
      <c r="S41" s="1094"/>
      <c r="T41" s="1100"/>
      <c r="U41" s="1100"/>
      <c r="V41" s="1105"/>
      <c r="W41" s="713"/>
      <c r="X41" s="1203" t="s">
        <v>956</v>
      </c>
      <c r="Y41" s="1204"/>
      <c r="Z41" s="1204"/>
      <c r="AA41" s="1204"/>
      <c r="AB41" s="1204"/>
      <c r="AC41" s="1204"/>
      <c r="AD41" s="1204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</row>
    <row r="42" spans="2:44" ht="13.5">
      <c r="B42" s="610" t="s">
        <v>287</v>
      </c>
      <c r="C42" s="612">
        <f>C41*C37+C40*C39</f>
        <v>9.9796400000000007E-2</v>
      </c>
      <c r="D42" s="589"/>
      <c r="E42" s="714"/>
      <c r="F42" s="715"/>
      <c r="G42" s="589"/>
      <c r="H42" s="589"/>
      <c r="I42" s="589"/>
      <c r="J42" s="56"/>
      <c r="K42" s="56"/>
      <c r="L42" s="716"/>
      <c r="M42" s="716"/>
      <c r="N42" s="1094"/>
      <c r="O42" s="1094"/>
      <c r="P42" s="1296"/>
      <c r="Q42" s="864">
        <f>Q41/P41</f>
        <v>7.4289312893954911</v>
      </c>
      <c r="R42" s="1094"/>
      <c r="S42" s="1094"/>
      <c r="T42" s="1100"/>
      <c r="U42" s="1100"/>
      <c r="V42" s="1100"/>
      <c r="W42" s="269"/>
      <c r="X42" s="592"/>
      <c r="Y42" s="269"/>
      <c r="Z42" s="269"/>
      <c r="AA42" s="269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</row>
    <row r="43" spans="2:44" ht="13.5">
      <c r="B43" s="610"/>
      <c r="C43" s="615"/>
      <c r="D43" s="589"/>
      <c r="E43" s="704"/>
      <c r="F43" s="589"/>
      <c r="G43" s="589"/>
      <c r="H43" s="589"/>
      <c r="I43" s="589"/>
      <c r="J43" s="56"/>
      <c r="K43" s="56"/>
      <c r="L43" s="717"/>
      <c r="M43" s="212"/>
      <c r="N43" s="1094"/>
      <c r="O43" s="1094"/>
      <c r="P43" s="1296"/>
      <c r="Q43" s="1296"/>
      <c r="R43" s="1094"/>
      <c r="S43" s="1094"/>
      <c r="T43" s="1100"/>
      <c r="U43" s="1100"/>
      <c r="V43" s="1100"/>
      <c r="W43" s="269"/>
      <c r="X43" s="590"/>
      <c r="Y43" s="269"/>
      <c r="Z43" s="269"/>
      <c r="AA43" s="269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</row>
    <row r="44" spans="2:44">
      <c r="B44" s="76" t="s">
        <v>288</v>
      </c>
      <c r="C44" s="613">
        <f>NPV(C42,P14:R14)</f>
        <v>41853.581183490045</v>
      </c>
      <c r="D44" s="589"/>
      <c r="E44" s="589"/>
      <c r="F44" s="589"/>
      <c r="G44" s="589"/>
      <c r="H44" s="589"/>
      <c r="I44" s="589"/>
      <c r="J44" s="56"/>
      <c r="K44" s="56"/>
      <c r="L44" s="717"/>
      <c r="M44" s="212"/>
      <c r="N44" s="1094"/>
      <c r="O44" s="1094"/>
      <c r="P44" s="1094"/>
      <c r="Q44" s="1094"/>
      <c r="R44" s="1094"/>
      <c r="S44" s="1094"/>
      <c r="T44" s="1106"/>
      <c r="U44" s="1100"/>
      <c r="V44" s="1100"/>
      <c r="W44" s="269"/>
      <c r="X44" s="269"/>
      <c r="Y44" s="269"/>
      <c r="Z44" s="269"/>
      <c r="AA44" s="269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</row>
    <row r="45" spans="2:44">
      <c r="B45" s="76" t="s">
        <v>289</v>
      </c>
      <c r="C45" s="613">
        <f>+(BS!O20+BS!O21+BS!O28+BS!O29+BS!O32)-(BS!O58)</f>
        <v>16583.64</v>
      </c>
      <c r="D45" s="589"/>
      <c r="E45" s="589"/>
      <c r="F45" s="589"/>
      <c r="G45" s="589"/>
      <c r="H45" s="589"/>
      <c r="I45" s="589"/>
      <c r="J45" s="56"/>
      <c r="K45" s="56"/>
      <c r="L45" s="56"/>
      <c r="M45" s="56"/>
      <c r="N45" s="1094"/>
      <c r="O45" s="1094"/>
      <c r="P45" s="1094"/>
      <c r="Q45" s="1094"/>
      <c r="R45" s="1094"/>
      <c r="S45" s="1094"/>
      <c r="T45" s="1100"/>
      <c r="U45" s="1100"/>
      <c r="V45" s="1100"/>
      <c r="W45" s="269"/>
      <c r="X45" s="269"/>
      <c r="Y45" s="269"/>
      <c r="Z45" s="269"/>
      <c r="AA45" s="269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</row>
    <row r="46" spans="2:44">
      <c r="B46" s="76"/>
      <c r="C46" s="613">
        <f>+C44-C45</f>
        <v>25269.941183490046</v>
      </c>
      <c r="D46" s="589"/>
      <c r="E46" s="589"/>
      <c r="F46" s="711"/>
      <c r="G46" s="718"/>
      <c r="H46" s="719"/>
      <c r="I46" s="720"/>
      <c r="J46" s="270"/>
      <c r="K46" s="270"/>
      <c r="L46" s="270"/>
      <c r="M46" s="270"/>
      <c r="N46" s="1094"/>
      <c r="O46" s="1094"/>
      <c r="P46" s="1094"/>
      <c r="Q46" s="1094"/>
      <c r="R46" s="1094"/>
      <c r="S46" s="1094"/>
      <c r="T46" s="1100"/>
      <c r="U46" s="1100"/>
      <c r="V46" s="1100"/>
      <c r="W46" s="269"/>
      <c r="X46" s="269"/>
      <c r="Y46" s="269"/>
      <c r="Z46" s="269"/>
      <c r="AA46" s="269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</row>
    <row r="47" spans="2:44">
      <c r="B47" s="76" t="s">
        <v>290</v>
      </c>
      <c r="C47" s="616">
        <f>+IS!AU44</f>
        <v>365.09899999999999</v>
      </c>
      <c r="D47" s="589"/>
      <c r="E47" s="702"/>
      <c r="F47" s="589"/>
      <c r="G47" s="718"/>
      <c r="H47" s="718"/>
      <c r="I47" s="721"/>
      <c r="J47" s="270"/>
      <c r="K47" s="270"/>
      <c r="L47" s="722"/>
      <c r="M47" s="723"/>
      <c r="N47" s="1094"/>
      <c r="O47" s="1094"/>
      <c r="P47" s="1094"/>
      <c r="Q47" s="1094"/>
      <c r="R47" s="1094"/>
      <c r="S47" s="1094"/>
      <c r="T47" s="1100"/>
      <c r="U47" s="1100"/>
      <c r="V47" s="1100"/>
      <c r="W47" s="269"/>
      <c r="X47" s="592"/>
      <c r="Y47" s="269"/>
      <c r="Z47" s="269"/>
      <c r="AA47" s="269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</row>
    <row r="48" spans="2:44">
      <c r="B48" s="610" t="s">
        <v>568</v>
      </c>
      <c r="C48" s="617">
        <f>+C46/C47</f>
        <v>69.213942474479651</v>
      </c>
      <c r="D48" s="706"/>
      <c r="E48" s="704"/>
      <c r="F48" s="589"/>
      <c r="G48" s="718"/>
      <c r="H48" s="718"/>
      <c r="I48" s="720"/>
      <c r="J48" s="270"/>
      <c r="K48" s="270"/>
      <c r="L48" s="270"/>
      <c r="M48" s="723"/>
      <c r="N48" s="1094"/>
      <c r="O48" s="1094"/>
      <c r="P48" s="1094"/>
      <c r="Q48" s="1094"/>
      <c r="R48" s="1094"/>
      <c r="S48" s="1094"/>
      <c r="T48" s="1094"/>
      <c r="U48" s="1107"/>
      <c r="V48" s="1100"/>
      <c r="W48" s="269"/>
      <c r="X48" s="269"/>
      <c r="Y48" s="269"/>
      <c r="Z48" s="269"/>
      <c r="AA48" s="269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</row>
    <row r="49" spans="2:44">
      <c r="B49" s="610" t="s">
        <v>569</v>
      </c>
      <c r="C49" s="617">
        <f>Investments!BF42</f>
        <v>38.341908408018092</v>
      </c>
      <c r="D49" s="706"/>
      <c r="E49" s="704"/>
      <c r="F49" s="589"/>
      <c r="G49" s="718"/>
      <c r="H49" s="718"/>
      <c r="I49" s="720"/>
      <c r="J49" s="270"/>
      <c r="K49" s="270"/>
      <c r="L49" s="270"/>
      <c r="M49" s="723"/>
      <c r="N49" s="1094"/>
      <c r="O49" s="1094"/>
      <c r="P49" s="1094"/>
      <c r="Q49" s="1094"/>
      <c r="R49" s="1094"/>
      <c r="S49" s="1094"/>
      <c r="T49" s="1094"/>
      <c r="U49" s="1107"/>
      <c r="V49" s="1100"/>
      <c r="W49" s="269"/>
      <c r="X49" s="269"/>
      <c r="Y49" s="269"/>
      <c r="Z49" s="269"/>
      <c r="AA49" s="269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</row>
    <row r="50" spans="2:44">
      <c r="B50" s="610" t="s">
        <v>291</v>
      </c>
      <c r="C50" s="618">
        <f>(C48+C49)</f>
        <v>107.55585088249774</v>
      </c>
      <c r="D50" s="706"/>
      <c r="E50" s="724"/>
      <c r="F50" s="589"/>
      <c r="G50" s="718"/>
      <c r="H50" s="718"/>
      <c r="I50" s="720"/>
      <c r="J50" s="270"/>
      <c r="K50" s="270"/>
      <c r="L50" s="270"/>
      <c r="M50" s="723"/>
      <c r="N50" s="1094"/>
      <c r="O50" s="1094"/>
      <c r="P50" s="1094"/>
      <c r="Q50" s="1094"/>
      <c r="R50" s="1094"/>
      <c r="S50" s="1094"/>
      <c r="T50" s="1094"/>
      <c r="U50" s="1107"/>
      <c r="V50" s="1100"/>
      <c r="W50" s="269"/>
      <c r="X50" s="269"/>
      <c r="Y50" s="269"/>
      <c r="Z50" s="269"/>
      <c r="AA50" s="269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</row>
    <row r="51" spans="2:44">
      <c r="B51" s="43" t="s">
        <v>291</v>
      </c>
      <c r="C51" s="44">
        <f>+Z104</f>
        <v>0</v>
      </c>
      <c r="D51" s="704"/>
      <c r="E51" s="589"/>
      <c r="F51" s="589"/>
      <c r="G51" s="720"/>
      <c r="H51" s="720"/>
      <c r="I51" s="720"/>
      <c r="J51" s="270"/>
      <c r="K51" s="270"/>
      <c r="L51" s="722"/>
      <c r="M51" s="723"/>
      <c r="N51" s="1094"/>
      <c r="O51" s="1094"/>
      <c r="P51" s="1094"/>
      <c r="Q51" s="1094"/>
      <c r="R51" s="1094"/>
      <c r="S51" s="1094"/>
      <c r="T51" s="1100"/>
      <c r="U51" s="1099"/>
      <c r="V51" s="1100"/>
      <c r="W51" s="269"/>
      <c r="X51" s="269"/>
      <c r="Y51" s="269"/>
      <c r="Z51" s="269"/>
      <c r="AA51" s="269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</row>
    <row r="52" spans="2:44">
      <c r="B52" s="1" t="s">
        <v>292</v>
      </c>
      <c r="C52" s="11">
        <f>+C51*C47</f>
        <v>0</v>
      </c>
      <c r="D52" s="589"/>
      <c r="E52" s="589"/>
      <c r="F52" s="589"/>
      <c r="G52" s="719"/>
      <c r="H52" s="718"/>
      <c r="I52" s="726"/>
      <c r="J52" s="270"/>
      <c r="K52" s="270"/>
      <c r="L52" s="270"/>
      <c r="M52" s="723"/>
      <c r="N52" s="1094"/>
      <c r="O52" s="1094"/>
      <c r="P52" s="1094"/>
      <c r="Q52" s="1094"/>
      <c r="R52" s="1094"/>
      <c r="S52" s="1094"/>
      <c r="T52" s="1094"/>
      <c r="U52" s="1108"/>
      <c r="V52" s="1100"/>
      <c r="W52" s="269"/>
      <c r="X52" s="269"/>
      <c r="Y52" s="269"/>
      <c r="Z52" s="269"/>
      <c r="AA52" s="269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</row>
    <row r="53" spans="2:44">
      <c r="C53" s="1">
        <v>71.849999999999994</v>
      </c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1094"/>
      <c r="O53" s="1094"/>
      <c r="P53" s="1094"/>
      <c r="Q53" s="1094"/>
      <c r="R53" s="1094"/>
      <c r="S53" s="1094"/>
      <c r="T53" s="1109"/>
      <c r="U53" s="1110"/>
      <c r="V53" s="1094"/>
      <c r="W53" s="269"/>
      <c r="X53" s="269"/>
      <c r="Y53" s="269"/>
      <c r="Z53" s="269"/>
      <c r="AA53" s="269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</row>
    <row r="54" spans="2:44">
      <c r="C54" s="1">
        <f>+C51/C53-1</f>
        <v>-1</v>
      </c>
      <c r="D54" s="727"/>
      <c r="E54" s="727"/>
      <c r="F54" s="727"/>
      <c r="G54" s="727"/>
      <c r="H54" s="727"/>
      <c r="I54" s="727"/>
      <c r="J54" s="56"/>
      <c r="K54" s="56"/>
      <c r="L54" s="56"/>
      <c r="M54" s="56"/>
      <c r="N54" s="1094"/>
      <c r="O54" s="1094"/>
      <c r="P54" s="1094"/>
      <c r="Q54" s="1094"/>
      <c r="R54" s="1094"/>
      <c r="S54" s="1094"/>
      <c r="T54" s="1094"/>
      <c r="U54" s="1094"/>
      <c r="V54" s="1094"/>
      <c r="W54" s="269"/>
      <c r="X54" s="269"/>
      <c r="Y54" s="269"/>
      <c r="Z54" s="269"/>
      <c r="AA54" s="269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</row>
    <row r="55" spans="2:44"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1094"/>
      <c r="O55" s="1094"/>
      <c r="P55" s="1094"/>
      <c r="Q55" s="1094"/>
      <c r="R55" s="1094"/>
      <c r="S55" s="1094"/>
      <c r="T55" s="1094"/>
      <c r="U55" s="1094"/>
      <c r="V55" s="1094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</row>
    <row r="56" spans="2:44">
      <c r="B56" s="47" t="s">
        <v>293</v>
      </c>
      <c r="D56" s="700"/>
      <c r="E56" s="700"/>
      <c r="F56" s="700"/>
      <c r="G56" s="700"/>
      <c r="H56" s="700"/>
      <c r="I56" s="700"/>
      <c r="J56" s="56"/>
      <c r="K56" s="56"/>
      <c r="L56" s="56"/>
      <c r="M56" s="56"/>
      <c r="N56" s="1094"/>
      <c r="O56" s="1094"/>
      <c r="P56" s="1094"/>
      <c r="Q56" s="1094"/>
      <c r="R56" s="1094"/>
      <c r="S56" s="1094"/>
      <c r="T56" s="1094"/>
      <c r="U56" s="1094"/>
      <c r="V56" s="1094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</row>
    <row r="57" spans="2:44">
      <c r="B57" s="47"/>
      <c r="D57" s="700"/>
      <c r="E57" s="700"/>
      <c r="F57" s="700"/>
      <c r="G57" s="700"/>
      <c r="H57" s="700"/>
      <c r="I57" s="700"/>
      <c r="J57" s="56"/>
      <c r="K57" s="56"/>
      <c r="L57" s="56"/>
      <c r="M57" s="56"/>
      <c r="N57" s="1094"/>
      <c r="O57" s="1094"/>
      <c r="P57" s="1094"/>
      <c r="Q57" s="1094"/>
      <c r="R57" s="1094"/>
      <c r="S57" s="1094"/>
      <c r="T57" s="1094"/>
      <c r="U57" s="1094"/>
      <c r="V57" s="1094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</row>
    <row r="58" spans="2:44">
      <c r="B58" s="47"/>
      <c r="D58" s="728"/>
      <c r="E58" s="728"/>
      <c r="F58" s="728"/>
      <c r="G58" s="728"/>
      <c r="H58" s="728"/>
      <c r="I58" s="728"/>
      <c r="J58" s="56"/>
      <c r="K58" s="56"/>
      <c r="L58" s="56"/>
      <c r="M58" s="56"/>
      <c r="N58" s="1094"/>
      <c r="O58" s="1094"/>
      <c r="P58" s="1094"/>
      <c r="Q58" s="1094"/>
      <c r="R58" s="1094"/>
      <c r="S58" s="1094"/>
      <c r="T58" s="1094"/>
      <c r="U58" s="1094"/>
      <c r="V58" s="1094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</row>
    <row r="59" spans="2:44">
      <c r="B59" s="47" t="s">
        <v>294</v>
      </c>
      <c r="D59" s="729"/>
      <c r="E59" s="729"/>
      <c r="F59" s="729"/>
      <c r="G59" s="729"/>
      <c r="H59" s="729"/>
      <c r="I59" s="729"/>
      <c r="J59" s="56"/>
      <c r="K59" s="56"/>
      <c r="L59" s="56"/>
      <c r="M59" s="56"/>
      <c r="N59" s="1094"/>
      <c r="O59" s="1094"/>
      <c r="P59" s="1094"/>
      <c r="Q59" s="1094"/>
      <c r="R59" s="1094"/>
      <c r="S59" s="1094"/>
      <c r="T59" s="1094"/>
      <c r="U59" s="1094"/>
      <c r="V59" s="1094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</row>
    <row r="60" spans="2:44"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1094"/>
      <c r="O60" s="1094"/>
      <c r="P60" s="1094"/>
      <c r="Q60" s="1094"/>
      <c r="R60" s="1094"/>
      <c r="S60" s="1094"/>
      <c r="T60" s="1094"/>
      <c r="U60" s="1094"/>
      <c r="V60" s="1094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</row>
    <row r="61" spans="2:44">
      <c r="D61" s="730"/>
      <c r="E61" s="730"/>
      <c r="F61" s="730"/>
      <c r="G61" s="730"/>
      <c r="H61" s="730"/>
      <c r="I61" s="272"/>
      <c r="J61" s="56"/>
      <c r="K61" s="56"/>
      <c r="L61" s="56"/>
      <c r="M61" s="56"/>
      <c r="N61" s="1094"/>
      <c r="O61" s="1094"/>
      <c r="P61" s="1094"/>
      <c r="Q61" s="1094"/>
      <c r="R61" s="1094"/>
      <c r="S61" s="1094"/>
      <c r="T61" s="1094"/>
      <c r="U61" s="1094"/>
      <c r="V61" s="1094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</row>
    <row r="62" spans="2:44">
      <c r="B62" s="47" t="s">
        <v>295</v>
      </c>
      <c r="C62" s="50">
        <v>0.02</v>
      </c>
      <c r="D62" s="700"/>
      <c r="E62" s="700"/>
      <c r="F62" s="700"/>
      <c r="G62" s="700"/>
      <c r="H62" s="700"/>
      <c r="I62" s="700"/>
      <c r="J62" s="56"/>
      <c r="K62" s="56"/>
      <c r="L62" s="56"/>
      <c r="M62" s="56"/>
      <c r="N62" s="1094"/>
      <c r="O62" s="1094"/>
      <c r="P62" s="1094"/>
      <c r="Q62" s="1094"/>
      <c r="R62" s="1094"/>
      <c r="S62" s="1094"/>
      <c r="T62" s="1094"/>
      <c r="U62" s="1094"/>
      <c r="V62" s="1094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</row>
    <row r="63" spans="2:44">
      <c r="B63" s="47"/>
      <c r="C63" s="50">
        <v>0.03</v>
      </c>
      <c r="D63" s="700"/>
      <c r="E63" s="700"/>
      <c r="F63" s="700"/>
      <c r="G63" s="700"/>
      <c r="H63" s="700"/>
      <c r="I63" s="700"/>
      <c r="J63" s="56"/>
      <c r="K63" s="56"/>
      <c r="L63" s="56"/>
      <c r="M63" s="56"/>
      <c r="N63" s="1094"/>
      <c r="O63" s="1094"/>
      <c r="P63" s="1094"/>
      <c r="Q63" s="1094"/>
      <c r="R63" s="1094"/>
      <c r="S63" s="1094"/>
      <c r="T63" s="1094"/>
      <c r="U63" s="1094"/>
      <c r="V63" s="1094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</row>
    <row r="64" spans="2:44">
      <c r="B64" s="47"/>
      <c r="C64" s="50">
        <v>0.04</v>
      </c>
      <c r="D64" s="700"/>
      <c r="E64" s="700"/>
      <c r="F64" s="700"/>
      <c r="G64" s="700"/>
      <c r="H64" s="700"/>
      <c r="I64" s="700"/>
      <c r="J64" s="56"/>
      <c r="K64" s="56"/>
      <c r="L64" s="56"/>
      <c r="M64" s="56"/>
      <c r="N64" s="1094"/>
      <c r="O64" s="1094"/>
      <c r="P64" s="1094"/>
      <c r="Q64" s="1094"/>
      <c r="R64" s="1094"/>
      <c r="S64" s="1094"/>
      <c r="T64" s="1094"/>
      <c r="U64" s="1094"/>
      <c r="V64" s="1094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</row>
    <row r="65" spans="2:44">
      <c r="B65" s="47"/>
      <c r="C65" s="50">
        <v>0.05</v>
      </c>
      <c r="D65" s="700"/>
      <c r="E65" s="700"/>
      <c r="F65" s="700"/>
      <c r="G65" s="700"/>
      <c r="H65" s="700"/>
      <c r="I65" s="700"/>
      <c r="J65" s="56"/>
      <c r="K65" s="56"/>
      <c r="L65" s="56"/>
      <c r="M65" s="56"/>
      <c r="N65" s="1094"/>
      <c r="O65" s="1094"/>
      <c r="P65" s="1094"/>
      <c r="Q65" s="1094"/>
      <c r="R65" s="1094"/>
      <c r="S65" s="1094"/>
      <c r="T65" s="1094"/>
      <c r="U65" s="1094"/>
      <c r="V65" s="1094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</row>
    <row r="66" spans="2:44">
      <c r="B66" s="47"/>
      <c r="C66" s="50">
        <v>0.06</v>
      </c>
      <c r="D66" s="700"/>
      <c r="E66" s="700"/>
      <c r="F66" s="700"/>
      <c r="G66" s="700"/>
      <c r="H66" s="700"/>
      <c r="I66" s="700"/>
      <c r="J66" s="56"/>
      <c r="K66" s="56"/>
      <c r="L66" s="56"/>
      <c r="M66" s="56"/>
      <c r="N66" s="1094"/>
      <c r="O66" s="1094"/>
      <c r="P66" s="1094"/>
      <c r="Q66" s="1094"/>
      <c r="R66" s="1094"/>
      <c r="S66" s="1094"/>
      <c r="T66" s="1094"/>
      <c r="U66" s="1094"/>
      <c r="V66" s="1094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</row>
    <row r="67" spans="2:44">
      <c r="B67" s="47"/>
      <c r="D67" s="56"/>
      <c r="E67" s="56"/>
      <c r="F67" s="56"/>
      <c r="G67" s="56"/>
      <c r="H67" s="56"/>
      <c r="I67" s="700"/>
      <c r="J67" s="56"/>
      <c r="K67" s="56"/>
      <c r="L67" s="56"/>
      <c r="M67" s="56"/>
      <c r="N67" s="1094"/>
      <c r="O67" s="1094"/>
      <c r="P67" s="1094"/>
      <c r="Q67" s="1094"/>
      <c r="R67" s="1094"/>
      <c r="S67" s="1094"/>
      <c r="T67" s="1094"/>
      <c r="U67" s="1094"/>
      <c r="V67" s="1094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</row>
    <row r="68" spans="2:44">
      <c r="B68" s="47"/>
      <c r="D68" s="730"/>
      <c r="E68" s="730"/>
      <c r="F68" s="730"/>
      <c r="G68" s="730"/>
      <c r="H68" s="730"/>
      <c r="I68" s="272"/>
      <c r="J68" s="56"/>
      <c r="K68" s="56"/>
      <c r="L68" s="56"/>
      <c r="M68" s="56"/>
      <c r="N68" s="1094"/>
      <c r="O68" s="1094"/>
      <c r="P68" s="1094"/>
      <c r="Q68" s="1094"/>
      <c r="R68" s="1094"/>
      <c r="S68" s="1094"/>
      <c r="T68" s="1094"/>
      <c r="U68" s="1094"/>
      <c r="V68" s="1094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</row>
    <row r="69" spans="2:44">
      <c r="B69" s="47" t="s">
        <v>296</v>
      </c>
      <c r="C69" s="35">
        <f>C62</f>
        <v>0.02</v>
      </c>
      <c r="D69" s="700"/>
      <c r="E69" s="700"/>
      <c r="F69" s="700"/>
      <c r="G69" s="700"/>
      <c r="H69" s="700"/>
      <c r="I69" s="700"/>
      <c r="J69" s="56"/>
      <c r="K69" s="56"/>
      <c r="L69" s="56"/>
      <c r="M69" s="56"/>
      <c r="N69" s="1094"/>
      <c r="O69" s="1094"/>
      <c r="P69" s="1094"/>
      <c r="Q69" s="1094"/>
      <c r="R69" s="1094"/>
      <c r="S69" s="1094"/>
      <c r="T69" s="1094"/>
      <c r="U69" s="1094"/>
      <c r="V69" s="1094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</row>
    <row r="70" spans="2:44">
      <c r="C70" s="35">
        <f>C63</f>
        <v>0.03</v>
      </c>
      <c r="D70" s="700"/>
      <c r="E70" s="700"/>
      <c r="F70" s="700"/>
      <c r="G70" s="700"/>
      <c r="H70" s="700"/>
      <c r="I70" s="700"/>
      <c r="J70" s="56"/>
      <c r="K70" s="56"/>
      <c r="L70" s="56"/>
      <c r="M70" s="56"/>
      <c r="N70" s="1094"/>
      <c r="O70" s="1094"/>
      <c r="P70" s="1094"/>
      <c r="Q70" s="1094"/>
      <c r="R70" s="1094"/>
      <c r="S70" s="1094"/>
      <c r="T70" s="1094"/>
      <c r="U70" s="1094"/>
      <c r="V70" s="1094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</row>
    <row r="71" spans="2:44">
      <c r="C71" s="35">
        <f>C64</f>
        <v>0.04</v>
      </c>
      <c r="D71" s="700"/>
      <c r="E71" s="700"/>
      <c r="F71" s="700"/>
      <c r="G71" s="700"/>
      <c r="H71" s="700"/>
      <c r="I71" s="700"/>
      <c r="J71" s="56"/>
      <c r="K71" s="56"/>
      <c r="L71" s="56"/>
      <c r="M71" s="56"/>
      <c r="N71" s="1094"/>
      <c r="O71" s="1094"/>
      <c r="P71" s="1094"/>
      <c r="Q71" s="1094"/>
      <c r="R71" s="1094"/>
      <c r="S71" s="1094"/>
      <c r="T71" s="1094"/>
      <c r="U71" s="1094"/>
      <c r="V71" s="1094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</row>
    <row r="72" spans="2:44">
      <c r="C72" s="35">
        <f>C65</f>
        <v>0.05</v>
      </c>
      <c r="D72" s="700"/>
      <c r="E72" s="700"/>
      <c r="F72" s="700"/>
      <c r="G72" s="700"/>
      <c r="H72" s="700"/>
      <c r="I72" s="700"/>
      <c r="J72" s="56"/>
      <c r="K72" s="56"/>
      <c r="L72" s="56"/>
      <c r="M72" s="56"/>
      <c r="N72" s="1094"/>
      <c r="O72" s="1094"/>
      <c r="P72" s="1094"/>
      <c r="Q72" s="1094"/>
      <c r="R72" s="1094"/>
      <c r="S72" s="1094"/>
      <c r="T72" s="1094"/>
      <c r="U72" s="1094"/>
      <c r="V72" s="1094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</row>
    <row r="73" spans="2:44">
      <c r="C73" s="35">
        <f>C66</f>
        <v>0.06</v>
      </c>
      <c r="D73" s="700"/>
      <c r="E73" s="700"/>
      <c r="F73" s="700"/>
      <c r="G73" s="700"/>
      <c r="H73" s="700"/>
      <c r="I73" s="700"/>
      <c r="J73" s="56"/>
      <c r="K73" s="56"/>
      <c r="L73" s="56"/>
      <c r="M73" s="56"/>
      <c r="N73" s="1094"/>
      <c r="O73" s="1094"/>
      <c r="P73" s="1094"/>
      <c r="Q73" s="1094"/>
      <c r="R73" s="1094"/>
      <c r="S73" s="1094"/>
      <c r="T73" s="1094"/>
      <c r="U73" s="1094"/>
      <c r="V73" s="1094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</row>
    <row r="74" spans="2:44">
      <c r="D74" s="700"/>
      <c r="E74" s="700"/>
      <c r="F74" s="700"/>
      <c r="G74" s="700"/>
      <c r="H74" s="700"/>
      <c r="I74" s="700"/>
      <c r="J74" s="56"/>
      <c r="K74" s="56"/>
      <c r="L74" s="56"/>
      <c r="M74" s="56"/>
      <c r="N74" s="1094"/>
      <c r="O74" s="1094"/>
      <c r="P74" s="1094"/>
      <c r="Q74" s="1094"/>
      <c r="R74" s="1094"/>
      <c r="S74" s="1094"/>
      <c r="T74" s="1094"/>
      <c r="U74" s="1094"/>
      <c r="V74" s="1094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</row>
    <row r="75" spans="2:44">
      <c r="D75" s="730"/>
      <c r="E75" s="730"/>
      <c r="F75" s="730"/>
      <c r="G75" s="730"/>
      <c r="H75" s="730"/>
      <c r="I75" s="272"/>
      <c r="J75" s="56"/>
      <c r="K75" s="56"/>
      <c r="L75" s="56"/>
      <c r="M75" s="56"/>
      <c r="N75" s="1094"/>
      <c r="O75" s="1094"/>
      <c r="P75" s="1094"/>
      <c r="Q75" s="1094"/>
      <c r="R75" s="1094"/>
      <c r="S75" s="1094"/>
      <c r="T75" s="1094"/>
      <c r="U75" s="1094"/>
      <c r="V75" s="1094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</row>
    <row r="76" spans="2:44">
      <c r="B76" s="47" t="s">
        <v>297</v>
      </c>
      <c r="C76" s="32">
        <f>C69</f>
        <v>0.02</v>
      </c>
      <c r="D76" s="729"/>
      <c r="E76" s="729"/>
      <c r="F76" s="729"/>
      <c r="G76" s="729"/>
      <c r="H76" s="729"/>
      <c r="I76" s="729"/>
      <c r="J76" s="56"/>
      <c r="K76" s="56"/>
      <c r="L76" s="56"/>
      <c r="M76" s="56"/>
      <c r="N76" s="1094"/>
      <c r="O76" s="1094"/>
      <c r="P76" s="1094"/>
      <c r="Q76" s="1094"/>
      <c r="R76" s="1094"/>
      <c r="S76" s="1094"/>
      <c r="T76" s="1094"/>
      <c r="U76" s="1094"/>
      <c r="V76" s="1094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</row>
    <row r="77" spans="2:44">
      <c r="C77" s="32">
        <f>C70</f>
        <v>0.03</v>
      </c>
      <c r="D77" s="729"/>
      <c r="E77" s="729"/>
      <c r="F77" s="729"/>
      <c r="G77" s="729"/>
      <c r="H77" s="729"/>
      <c r="I77" s="729"/>
      <c r="J77" s="56"/>
      <c r="K77" s="56"/>
      <c r="L77" s="56"/>
      <c r="M77" s="56"/>
      <c r="N77" s="1094"/>
      <c r="O77" s="1094"/>
      <c r="P77" s="1094"/>
      <c r="Q77" s="1094"/>
      <c r="R77" s="1094"/>
      <c r="S77" s="1094"/>
      <c r="T77" s="1094"/>
      <c r="U77" s="1094"/>
      <c r="V77" s="1094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</row>
    <row r="78" spans="2:44">
      <c r="C78" s="32">
        <f>C71</f>
        <v>0.04</v>
      </c>
      <c r="D78" s="729"/>
      <c r="E78" s="729"/>
      <c r="F78" s="729"/>
      <c r="G78" s="729"/>
      <c r="H78" s="729"/>
      <c r="I78" s="729"/>
      <c r="J78" s="56"/>
      <c r="K78" s="56"/>
      <c r="L78" s="56"/>
      <c r="M78" s="56"/>
      <c r="N78" s="1094"/>
      <c r="O78" s="1094"/>
      <c r="P78" s="1094"/>
      <c r="Q78" s="1094"/>
      <c r="R78" s="1094"/>
      <c r="S78" s="1094"/>
      <c r="T78" s="1094"/>
      <c r="U78" s="1094"/>
      <c r="V78" s="1094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</row>
    <row r="79" spans="2:44">
      <c r="C79" s="32">
        <f>C72</f>
        <v>0.05</v>
      </c>
      <c r="D79" s="729"/>
      <c r="E79" s="729"/>
      <c r="F79" s="729"/>
      <c r="G79" s="729"/>
      <c r="H79" s="729"/>
      <c r="I79" s="729"/>
      <c r="J79" s="56"/>
      <c r="K79" s="56"/>
      <c r="L79" s="56"/>
      <c r="M79" s="56"/>
      <c r="N79" s="1094"/>
      <c r="O79" s="1094"/>
      <c r="P79" s="1094"/>
      <c r="Q79" s="1094"/>
      <c r="R79" s="1094"/>
      <c r="S79" s="1094"/>
      <c r="T79" s="1094"/>
      <c r="U79" s="1094"/>
      <c r="V79" s="1094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</row>
    <row r="80" spans="2:44">
      <c r="C80" s="32">
        <f>C73</f>
        <v>0.06</v>
      </c>
      <c r="D80" s="729"/>
      <c r="E80" s="729"/>
      <c r="F80" s="729"/>
      <c r="G80" s="729"/>
      <c r="H80" s="729"/>
      <c r="I80" s="729"/>
      <c r="J80" s="56"/>
      <c r="K80" s="56"/>
      <c r="L80" s="56"/>
      <c r="M80" s="56"/>
      <c r="N80" s="1094"/>
      <c r="O80" s="1094"/>
      <c r="P80" s="1094"/>
      <c r="Q80" s="1094"/>
      <c r="R80" s="1094"/>
      <c r="S80" s="1094"/>
      <c r="T80" s="1094"/>
      <c r="U80" s="1094"/>
      <c r="V80" s="1094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</row>
    <row r="81" spans="2:44">
      <c r="C81" s="32"/>
      <c r="D81" s="729"/>
      <c r="E81" s="729"/>
      <c r="F81" s="729"/>
      <c r="G81" s="729"/>
      <c r="H81" s="729"/>
      <c r="I81" s="729"/>
      <c r="J81" s="56"/>
      <c r="K81" s="56"/>
      <c r="L81" s="56"/>
      <c r="M81" s="56"/>
      <c r="N81" s="1094"/>
      <c r="O81" s="1094"/>
      <c r="P81" s="1094"/>
      <c r="Q81" s="1094"/>
      <c r="R81" s="1094"/>
      <c r="S81" s="1094"/>
      <c r="T81" s="1094"/>
      <c r="U81" s="1094"/>
      <c r="V81" s="1094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</row>
    <row r="82" spans="2:44">
      <c r="C82" s="32"/>
      <c r="D82" s="730"/>
      <c r="E82" s="730"/>
      <c r="F82" s="730"/>
      <c r="G82" s="730"/>
      <c r="H82" s="730"/>
      <c r="I82" s="272"/>
      <c r="J82" s="56"/>
      <c r="K82" s="56"/>
      <c r="L82" s="56"/>
      <c r="M82" s="56"/>
      <c r="N82" s="1094"/>
      <c r="O82" s="1094"/>
      <c r="P82" s="1094"/>
      <c r="Q82" s="1094"/>
      <c r="R82" s="1094"/>
      <c r="S82" s="1094"/>
      <c r="T82" s="1094"/>
      <c r="U82" s="1094"/>
      <c r="V82" s="1094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</row>
    <row r="83" spans="2:44">
      <c r="B83" s="47" t="s">
        <v>298</v>
      </c>
      <c r="C83" s="32">
        <f>C62</f>
        <v>0.02</v>
      </c>
      <c r="D83" s="729"/>
      <c r="E83" s="729"/>
      <c r="F83" s="729"/>
      <c r="G83" s="729"/>
      <c r="H83" s="729"/>
      <c r="I83" s="729"/>
      <c r="J83" s="56"/>
      <c r="K83" s="56"/>
      <c r="L83" s="56"/>
      <c r="M83" s="56"/>
      <c r="N83" s="1094"/>
      <c r="O83" s="1094"/>
      <c r="P83" s="1094"/>
      <c r="Q83" s="1094"/>
      <c r="R83" s="1094"/>
      <c r="S83" s="1094"/>
      <c r="T83" s="1094"/>
      <c r="U83" s="1094"/>
      <c r="V83" s="1094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</row>
    <row r="84" spans="2:44">
      <c r="C84" s="32">
        <f>C63</f>
        <v>0.03</v>
      </c>
      <c r="D84" s="729"/>
      <c r="E84" s="729"/>
      <c r="F84" s="729"/>
      <c r="G84" s="729"/>
      <c r="H84" s="729"/>
      <c r="I84" s="729"/>
      <c r="J84" s="56"/>
      <c r="K84" s="56"/>
      <c r="L84" s="56"/>
      <c r="M84" s="56"/>
      <c r="N84" s="1094"/>
      <c r="O84" s="1094"/>
      <c r="P84" s="1094"/>
      <c r="Q84" s="1094"/>
      <c r="R84" s="1094"/>
      <c r="S84" s="1094"/>
      <c r="T84" s="1094"/>
      <c r="U84" s="1094"/>
      <c r="V84" s="1094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</row>
    <row r="85" spans="2:44">
      <c r="C85" s="32">
        <f>C64</f>
        <v>0.04</v>
      </c>
      <c r="D85" s="729"/>
      <c r="E85" s="729"/>
      <c r="F85" s="729"/>
      <c r="G85" s="729"/>
      <c r="H85" s="729"/>
      <c r="I85" s="729"/>
      <c r="J85" s="56"/>
      <c r="K85" s="56"/>
      <c r="L85" s="56"/>
      <c r="M85" s="56"/>
      <c r="N85" s="1094"/>
      <c r="O85" s="1094"/>
      <c r="P85" s="1094"/>
      <c r="Q85" s="1094"/>
      <c r="R85" s="1094"/>
      <c r="S85" s="1094"/>
      <c r="T85" s="1094"/>
      <c r="U85" s="1094"/>
      <c r="V85" s="1094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</row>
    <row r="86" spans="2:44">
      <c r="C86" s="32">
        <f>C65</f>
        <v>0.05</v>
      </c>
      <c r="D86" s="729"/>
      <c r="E86" s="729"/>
      <c r="F86" s="729"/>
      <c r="G86" s="729"/>
      <c r="H86" s="729"/>
      <c r="I86" s="729"/>
      <c r="J86" s="56"/>
      <c r="K86" s="56"/>
      <c r="L86" s="56"/>
      <c r="M86" s="56"/>
      <c r="N86" s="1094"/>
      <c r="O86" s="1094"/>
      <c r="P86" s="1094"/>
      <c r="Q86" s="1094"/>
      <c r="R86" s="1094"/>
      <c r="S86" s="1094"/>
      <c r="T86" s="1094"/>
      <c r="U86" s="1094"/>
      <c r="V86" s="1094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</row>
    <row r="87" spans="2:44">
      <c r="C87" s="32">
        <f>C66</f>
        <v>0.06</v>
      </c>
      <c r="D87" s="729"/>
      <c r="E87" s="729"/>
      <c r="F87" s="729"/>
      <c r="G87" s="729"/>
      <c r="H87" s="729"/>
      <c r="I87" s="729"/>
      <c r="J87" s="56"/>
      <c r="K87" s="56"/>
      <c r="L87" s="56"/>
      <c r="M87" s="56"/>
      <c r="N87" s="1094"/>
      <c r="O87" s="1094"/>
      <c r="P87" s="1094"/>
      <c r="Q87" s="1094"/>
      <c r="R87" s="1094"/>
      <c r="S87" s="1094"/>
      <c r="T87" s="1094"/>
      <c r="U87" s="1094"/>
      <c r="V87" s="1094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</row>
    <row r="88" spans="2:44"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1094"/>
      <c r="O88" s="1094"/>
      <c r="P88" s="1094"/>
      <c r="Q88" s="1094"/>
      <c r="R88" s="1094"/>
      <c r="S88" s="1094"/>
      <c r="T88" s="1094"/>
      <c r="U88" s="1094"/>
      <c r="V88" s="1094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</row>
    <row r="89" spans="2:44"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1094"/>
      <c r="O89" s="1094"/>
      <c r="P89" s="1094"/>
      <c r="Q89" s="1094"/>
      <c r="R89" s="1094"/>
      <c r="S89" s="1094"/>
      <c r="T89" s="1094"/>
      <c r="U89" s="1094"/>
      <c r="V89" s="1094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</row>
    <row r="90" spans="2:44">
      <c r="B90" s="47" t="s">
        <v>299</v>
      </c>
      <c r="D90" s="730"/>
      <c r="E90" s="730"/>
      <c r="F90" s="730"/>
      <c r="G90" s="730"/>
      <c r="H90" s="730"/>
      <c r="I90" s="272"/>
      <c r="J90" s="56"/>
      <c r="K90" s="56"/>
      <c r="L90" s="56"/>
      <c r="M90" s="56"/>
      <c r="N90" s="1094"/>
      <c r="O90" s="1094"/>
      <c r="P90" s="1094"/>
      <c r="Q90" s="1094"/>
      <c r="R90" s="1094"/>
      <c r="S90" s="1094"/>
      <c r="T90" s="1094"/>
      <c r="U90" s="1094"/>
      <c r="V90" s="1094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</row>
    <row r="91" spans="2:44">
      <c r="C91" s="32">
        <f>C76</f>
        <v>0.02</v>
      </c>
      <c r="D91" s="706"/>
      <c r="E91" s="706"/>
      <c r="F91" s="706"/>
      <c r="G91" s="706"/>
      <c r="H91" s="706"/>
      <c r="I91" s="706"/>
      <c r="J91" s="56"/>
      <c r="K91" s="56"/>
      <c r="L91" s="56"/>
      <c r="M91" s="56"/>
      <c r="N91" s="1094"/>
      <c r="O91" s="1094"/>
      <c r="P91" s="1094"/>
      <c r="Q91" s="1094"/>
      <c r="R91" s="1094"/>
      <c r="S91" s="1094"/>
      <c r="T91" s="1094"/>
      <c r="U91" s="1094"/>
      <c r="V91" s="1094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</row>
    <row r="92" spans="2:44">
      <c r="C92" s="32">
        <f>C77</f>
        <v>0.03</v>
      </c>
      <c r="D92" s="706"/>
      <c r="E92" s="706"/>
      <c r="F92" s="706"/>
      <c r="G92" s="706"/>
      <c r="H92" s="706"/>
      <c r="I92" s="706"/>
      <c r="J92" s="56"/>
      <c r="K92" s="56"/>
      <c r="L92" s="56"/>
      <c r="M92" s="56"/>
      <c r="N92" s="1094"/>
      <c r="O92" s="1094"/>
      <c r="P92" s="1094"/>
      <c r="Q92" s="1094"/>
      <c r="R92" s="1094"/>
      <c r="S92" s="1094"/>
      <c r="T92" s="1094"/>
      <c r="U92" s="1094"/>
      <c r="V92" s="1094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</row>
    <row r="93" spans="2:44">
      <c r="C93" s="32">
        <f>C78</f>
        <v>0.04</v>
      </c>
      <c r="D93" s="706"/>
      <c r="E93" s="706"/>
      <c r="F93" s="706"/>
      <c r="G93" s="706"/>
      <c r="H93" s="706"/>
      <c r="I93" s="706"/>
      <c r="J93" s="56"/>
      <c r="K93" s="56"/>
      <c r="L93" s="56"/>
      <c r="M93" s="56"/>
      <c r="N93" s="1094"/>
      <c r="O93" s="1094"/>
      <c r="P93" s="1094"/>
      <c r="Q93" s="1094"/>
      <c r="R93" s="1094"/>
      <c r="S93" s="1094"/>
      <c r="T93" s="1094"/>
      <c r="U93" s="1094"/>
      <c r="V93" s="1094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</row>
    <row r="94" spans="2:44">
      <c r="C94" s="32">
        <f>C79</f>
        <v>0.05</v>
      </c>
      <c r="D94" s="706"/>
      <c r="E94" s="706"/>
      <c r="F94" s="706"/>
      <c r="G94" s="706"/>
      <c r="H94" s="706"/>
      <c r="I94" s="706"/>
      <c r="J94" s="56"/>
      <c r="K94" s="56"/>
      <c r="L94" s="56"/>
      <c r="M94" s="56"/>
      <c r="N94" s="1094"/>
      <c r="O94" s="1094"/>
      <c r="P94" s="1094"/>
      <c r="Q94" s="1094"/>
      <c r="R94" s="1094"/>
      <c r="S94" s="1094"/>
      <c r="T94" s="1094"/>
      <c r="U94" s="1094"/>
      <c r="V94" s="1094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</row>
    <row r="95" spans="2:44">
      <c r="C95" s="32">
        <f>C80</f>
        <v>0.06</v>
      </c>
      <c r="D95" s="706"/>
      <c r="E95" s="706"/>
      <c r="F95" s="706"/>
      <c r="G95" s="706"/>
      <c r="H95" s="706"/>
      <c r="I95" s="706"/>
      <c r="J95" s="56"/>
      <c r="K95" s="56"/>
      <c r="L95" s="56"/>
      <c r="M95" s="56"/>
      <c r="N95" s="1094"/>
      <c r="O95" s="1094"/>
      <c r="P95" s="1094"/>
      <c r="Q95" s="1094"/>
      <c r="R95" s="1094"/>
      <c r="S95" s="1094"/>
      <c r="T95" s="1094"/>
      <c r="U95" s="1094"/>
      <c r="V95" s="1094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</row>
    <row r="96" spans="2:44"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1094"/>
      <c r="O96" s="1094"/>
      <c r="P96" s="1094"/>
      <c r="Q96" s="1094"/>
      <c r="R96" s="1094"/>
      <c r="S96" s="1094"/>
      <c r="T96" s="1094"/>
      <c r="U96" s="1094"/>
      <c r="V96" s="1094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</row>
    <row r="97" spans="1:44">
      <c r="B97" s="51"/>
      <c r="C97" s="52"/>
      <c r="D97" s="52"/>
      <c r="E97" s="52"/>
      <c r="F97" s="52"/>
      <c r="G97" s="52"/>
      <c r="H97" s="52"/>
      <c r="I97" s="52"/>
      <c r="J97" s="52"/>
      <c r="K97" s="52"/>
      <c r="L97" s="56"/>
      <c r="M97" s="56"/>
      <c r="N97" s="1094"/>
      <c r="O97" s="1094"/>
      <c r="P97" s="1094"/>
      <c r="Q97" s="1094"/>
      <c r="R97" s="1094"/>
      <c r="S97" s="1094"/>
      <c r="T97" s="1094"/>
      <c r="U97" s="1094"/>
      <c r="V97" s="1094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</row>
    <row r="98" spans="1:44">
      <c r="D98" s="56"/>
      <c r="E98" s="56"/>
      <c r="F98" s="56"/>
      <c r="G98" s="56"/>
      <c r="H98" s="56"/>
      <c r="I98" s="56"/>
      <c r="J98" s="52"/>
      <c r="K98" s="52"/>
      <c r="L98" s="56"/>
      <c r="M98" s="56"/>
      <c r="N98" s="1094"/>
      <c r="O98" s="1094"/>
      <c r="P98" s="1094"/>
      <c r="Q98" s="1094"/>
      <c r="R98" s="1094"/>
      <c r="S98" s="1094"/>
      <c r="T98" s="1094"/>
      <c r="U98" s="1094"/>
      <c r="V98" s="1109"/>
      <c r="W98" s="53"/>
      <c r="X98" s="52"/>
      <c r="Y98" s="52"/>
      <c r="Z98" s="52"/>
      <c r="AA98" s="52"/>
      <c r="AB98" s="52"/>
      <c r="AC98" s="52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</row>
    <row r="99" spans="1:44" ht="13.5" customHeight="1">
      <c r="D99" s="56"/>
      <c r="E99" s="56"/>
      <c r="F99" s="56"/>
      <c r="G99" s="56"/>
      <c r="H99" s="56"/>
      <c r="I99" s="56"/>
      <c r="J99" s="54"/>
      <c r="K99" s="54"/>
      <c r="L99" s="56"/>
      <c r="M99" s="56"/>
      <c r="N99" s="1094"/>
      <c r="O99" s="1094"/>
      <c r="P99" s="1094"/>
      <c r="Q99" s="1094"/>
      <c r="R99" s="1094"/>
      <c r="S99" s="1094"/>
      <c r="T99" s="1094"/>
      <c r="U99" s="1094"/>
      <c r="V99" s="1382"/>
      <c r="W99" s="1382"/>
      <c r="X99" s="1382"/>
      <c r="Y99" s="1382"/>
      <c r="Z99" s="1382"/>
      <c r="AA99" s="1382"/>
      <c r="AB99" s="1382"/>
      <c r="AC99" s="1382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</row>
    <row r="100" spans="1:44" ht="13.5" customHeight="1">
      <c r="D100" s="56"/>
      <c r="E100" s="56"/>
      <c r="F100" s="56"/>
      <c r="G100" s="56"/>
      <c r="H100" s="56"/>
      <c r="I100" s="56"/>
      <c r="J100" s="54"/>
      <c r="K100" s="54"/>
      <c r="L100" s="56"/>
      <c r="M100" s="56"/>
      <c r="N100" s="1094"/>
      <c r="O100" s="1094"/>
      <c r="P100" s="1094"/>
      <c r="Q100" s="1094"/>
      <c r="R100" s="1094"/>
      <c r="S100" s="1094"/>
      <c r="T100" s="1094"/>
      <c r="U100" s="1094"/>
      <c r="V100" s="1111"/>
      <c r="W100" s="55"/>
      <c r="X100" s="1383"/>
      <c r="Y100" s="1383"/>
      <c r="Z100" s="1383"/>
      <c r="AA100" s="1383"/>
      <c r="AB100" s="1383"/>
      <c r="AC100" s="55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</row>
    <row r="101" spans="1:44">
      <c r="D101" s="56"/>
      <c r="E101" s="56"/>
      <c r="F101" s="56"/>
      <c r="G101" s="56"/>
      <c r="H101" s="56"/>
      <c r="I101" s="56"/>
      <c r="J101" s="52"/>
      <c r="K101" s="52"/>
      <c r="L101" s="52"/>
      <c r="M101" s="56"/>
      <c r="N101" s="1094"/>
      <c r="O101" s="1094"/>
      <c r="P101" s="1094"/>
      <c r="Q101" s="1094"/>
      <c r="R101" s="1094"/>
      <c r="S101" s="1094"/>
      <c r="T101" s="1094"/>
      <c r="U101" s="1094"/>
      <c r="V101" s="1381"/>
      <c r="W101" s="56"/>
      <c r="X101" s="57"/>
      <c r="Y101" s="731"/>
      <c r="Z101" s="732"/>
      <c r="AA101" s="57"/>
      <c r="AB101" s="57"/>
      <c r="AC101" s="57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</row>
    <row r="102" spans="1:44">
      <c r="D102" s="56"/>
      <c r="E102" s="56"/>
      <c r="F102" s="56"/>
      <c r="G102" s="56"/>
      <c r="H102" s="56"/>
      <c r="I102" s="56"/>
      <c r="J102" s="52"/>
      <c r="K102" s="52"/>
      <c r="L102" s="52"/>
      <c r="M102" s="56"/>
      <c r="N102" s="1094"/>
      <c r="O102" s="1094"/>
      <c r="P102" s="1094"/>
      <c r="Q102" s="1094"/>
      <c r="R102" s="1094"/>
      <c r="S102" s="1094"/>
      <c r="T102" s="1094"/>
      <c r="U102" s="1094"/>
      <c r="V102" s="1381"/>
      <c r="W102" s="58"/>
      <c r="X102" s="60"/>
      <c r="Y102" s="60"/>
      <c r="Z102" s="60"/>
      <c r="AA102" s="60"/>
      <c r="AB102" s="60"/>
      <c r="AC102" s="59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</row>
    <row r="103" spans="1:44">
      <c r="D103" s="56"/>
      <c r="E103" s="56"/>
      <c r="F103" s="56"/>
      <c r="G103" s="56"/>
      <c r="H103" s="56"/>
      <c r="I103" s="56"/>
      <c r="J103" s="52"/>
      <c r="K103" s="52"/>
      <c r="L103" s="52"/>
      <c r="M103" s="56"/>
      <c r="N103" s="1094"/>
      <c r="O103" s="1094"/>
      <c r="P103" s="1094"/>
      <c r="Q103" s="1094"/>
      <c r="R103" s="1094"/>
      <c r="S103" s="1094"/>
      <c r="T103" s="1094"/>
      <c r="U103" s="1094"/>
      <c r="V103" s="1381"/>
      <c r="W103" s="58"/>
      <c r="X103" s="60"/>
      <c r="Y103" s="60"/>
      <c r="Z103" s="60"/>
      <c r="AA103" s="60"/>
      <c r="AB103" s="60"/>
      <c r="AC103" s="59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</row>
    <row r="104" spans="1:44">
      <c r="D104" s="56"/>
      <c r="E104" s="56"/>
      <c r="F104" s="56"/>
      <c r="G104" s="56"/>
      <c r="H104" s="56"/>
      <c r="I104" s="56"/>
      <c r="J104" s="52"/>
      <c r="K104" s="52"/>
      <c r="L104" s="52"/>
      <c r="M104" s="56"/>
      <c r="N104" s="1094"/>
      <c r="O104" s="1094"/>
      <c r="P104" s="1094"/>
      <c r="Q104" s="1094"/>
      <c r="R104" s="1094"/>
      <c r="S104" s="1094"/>
      <c r="T104" s="1094"/>
      <c r="U104" s="1094"/>
      <c r="V104" s="1381"/>
      <c r="W104" s="61"/>
      <c r="X104" s="60"/>
      <c r="Y104" s="60"/>
      <c r="Z104" s="59"/>
      <c r="AA104" s="60"/>
      <c r="AB104" s="60"/>
      <c r="AC104" s="59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</row>
    <row r="105" spans="1:44">
      <c r="D105" s="56"/>
      <c r="E105" s="56"/>
      <c r="F105" s="56"/>
      <c r="G105" s="56"/>
      <c r="H105" s="56"/>
      <c r="I105" s="56"/>
      <c r="J105" s="52"/>
      <c r="K105" s="52"/>
      <c r="L105" s="52"/>
      <c r="M105" s="56"/>
      <c r="N105" s="1094"/>
      <c r="O105" s="1094"/>
      <c r="P105" s="1094"/>
      <c r="Q105" s="1094"/>
      <c r="R105" s="1094"/>
      <c r="S105" s="1094"/>
      <c r="T105" s="1094"/>
      <c r="U105" s="1094"/>
      <c r="V105" s="1381"/>
      <c r="W105" s="58"/>
      <c r="X105" s="60"/>
      <c r="Y105" s="60"/>
      <c r="Z105" s="60"/>
      <c r="AA105" s="60"/>
      <c r="AB105" s="60"/>
      <c r="AC105" s="59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</row>
    <row r="106" spans="1:44">
      <c r="D106" s="56"/>
      <c r="E106" s="56"/>
      <c r="F106" s="56"/>
      <c r="G106" s="56"/>
      <c r="H106" s="56"/>
      <c r="I106" s="56"/>
      <c r="J106" s="52"/>
      <c r="K106" s="52"/>
      <c r="L106" s="52"/>
      <c r="M106" s="56"/>
      <c r="N106" s="1094"/>
      <c r="O106" s="1094"/>
      <c r="P106" s="1094"/>
      <c r="Q106" s="1094"/>
      <c r="R106" s="1094"/>
      <c r="S106" s="1094"/>
      <c r="T106" s="1094"/>
      <c r="U106" s="1094"/>
      <c r="V106" s="1381"/>
      <c r="W106" s="58"/>
      <c r="X106" s="60"/>
      <c r="Y106" s="60"/>
      <c r="Z106" s="60"/>
      <c r="AA106" s="60"/>
      <c r="AB106" s="60"/>
      <c r="AC106" s="59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</row>
    <row r="107" spans="1:44">
      <c r="B107" s="51"/>
      <c r="C107" s="51"/>
      <c r="D107" s="52"/>
      <c r="E107" s="52"/>
      <c r="F107" s="52"/>
      <c r="G107" s="52"/>
      <c r="H107" s="52"/>
      <c r="I107" s="52"/>
      <c r="J107" s="52"/>
      <c r="K107" s="52"/>
      <c r="L107" s="52"/>
      <c r="M107" s="56"/>
      <c r="N107" s="1094"/>
      <c r="O107" s="1094"/>
      <c r="P107" s="1094"/>
      <c r="Q107" s="1094"/>
      <c r="R107" s="1094"/>
      <c r="S107" s="1094"/>
      <c r="T107" s="1094"/>
      <c r="U107" s="1094"/>
      <c r="V107" s="1094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</row>
    <row r="108" spans="1:44">
      <c r="A108" s="51"/>
      <c r="B108" s="51"/>
      <c r="C108" s="51"/>
      <c r="D108" s="52"/>
      <c r="E108" s="52"/>
      <c r="F108" s="52"/>
      <c r="G108" s="52"/>
      <c r="H108" s="52"/>
      <c r="I108" s="52"/>
      <c r="J108" s="52"/>
      <c r="K108" s="52"/>
      <c r="L108" s="52"/>
      <c r="M108" s="56"/>
      <c r="N108" s="1094"/>
      <c r="O108" s="1094"/>
      <c r="P108" s="1094"/>
      <c r="Q108" s="1094"/>
      <c r="R108" s="1094"/>
      <c r="S108" s="1094"/>
      <c r="T108" s="1094"/>
      <c r="U108" s="1094"/>
      <c r="V108" s="1094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</row>
    <row r="109" spans="1:44">
      <c r="A109" s="51"/>
      <c r="B109" s="51"/>
      <c r="C109" s="51"/>
      <c r="D109" s="52"/>
      <c r="E109" s="52"/>
      <c r="F109" s="52"/>
      <c r="G109" s="52"/>
      <c r="H109" s="52"/>
      <c r="I109" s="52"/>
      <c r="J109" s="52"/>
      <c r="K109" s="52"/>
      <c r="L109" s="52"/>
      <c r="M109" s="56"/>
      <c r="N109" s="1094"/>
      <c r="O109" s="1094"/>
      <c r="P109" s="1094"/>
      <c r="Q109" s="1094"/>
      <c r="R109" s="1094"/>
      <c r="S109" s="1094"/>
      <c r="T109" s="1094"/>
      <c r="U109" s="1094"/>
      <c r="V109" s="1094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</row>
    <row r="110" spans="1:44"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1094"/>
      <c r="O110" s="1094"/>
      <c r="P110" s="1094"/>
      <c r="Q110" s="1094"/>
      <c r="R110" s="1094"/>
      <c r="S110" s="1094"/>
      <c r="T110" s="1094"/>
      <c r="U110" s="1094"/>
      <c r="V110" s="1094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</row>
    <row r="111" spans="1:44"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1094"/>
      <c r="O111" s="1094"/>
      <c r="P111" s="1094"/>
      <c r="Q111" s="1094"/>
      <c r="R111" s="1094"/>
      <c r="S111" s="1094"/>
      <c r="T111" s="1094"/>
      <c r="U111" s="1094"/>
      <c r="V111" s="1094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</row>
    <row r="112" spans="1:44"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1094"/>
      <c r="O112" s="1094"/>
      <c r="P112" s="1094"/>
      <c r="Q112" s="1094"/>
      <c r="R112" s="1094"/>
      <c r="S112" s="1094"/>
      <c r="T112" s="1094"/>
      <c r="U112" s="1094"/>
      <c r="V112" s="1094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</row>
    <row r="113" spans="4:44"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1094"/>
      <c r="O113" s="1094"/>
      <c r="P113" s="1094"/>
      <c r="Q113" s="1094"/>
      <c r="R113" s="1094"/>
      <c r="S113" s="1094"/>
      <c r="T113" s="1094"/>
      <c r="U113" s="1094"/>
      <c r="V113" s="1094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</row>
    <row r="114" spans="4:44"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1094"/>
      <c r="O114" s="1094"/>
      <c r="P114" s="1094"/>
      <c r="Q114" s="1094"/>
      <c r="R114" s="1094"/>
      <c r="S114" s="1094"/>
      <c r="T114" s="1094"/>
      <c r="U114" s="1094"/>
      <c r="V114" s="1094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</row>
    <row r="115" spans="4:44"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1094"/>
      <c r="O115" s="1094"/>
      <c r="P115" s="1094"/>
      <c r="Q115" s="1094"/>
      <c r="R115" s="1094"/>
      <c r="S115" s="1094"/>
      <c r="T115" s="1094"/>
      <c r="U115" s="1094"/>
      <c r="V115" s="1094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</row>
    <row r="116" spans="4:44"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1094"/>
      <c r="O116" s="1094"/>
      <c r="P116" s="1094"/>
      <c r="Q116" s="1094"/>
      <c r="R116" s="1094"/>
      <c r="S116" s="1094"/>
      <c r="T116" s="1094"/>
      <c r="U116" s="1094"/>
      <c r="V116" s="1094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</row>
    <row r="117" spans="4:44"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1094"/>
      <c r="O117" s="1094"/>
      <c r="P117" s="1094"/>
      <c r="Q117" s="1094"/>
      <c r="R117" s="1094"/>
      <c r="S117" s="1094"/>
      <c r="T117" s="1094"/>
      <c r="U117" s="1094"/>
      <c r="V117" s="1094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</row>
    <row r="118" spans="4:44"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1094"/>
      <c r="O118" s="1094"/>
      <c r="P118" s="1094"/>
      <c r="Q118" s="1094"/>
      <c r="R118" s="1094"/>
      <c r="S118" s="1094"/>
      <c r="T118" s="1094"/>
      <c r="U118" s="1094"/>
      <c r="V118" s="1094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</row>
    <row r="119" spans="4:44"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1094"/>
      <c r="O119" s="1094"/>
      <c r="P119" s="1094"/>
      <c r="Q119" s="1094"/>
      <c r="R119" s="1094"/>
      <c r="S119" s="1094"/>
      <c r="T119" s="1094"/>
      <c r="U119" s="1094"/>
      <c r="V119" s="1094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</row>
    <row r="120" spans="4:44"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1094"/>
      <c r="O120" s="1094"/>
      <c r="P120" s="1094"/>
      <c r="Q120" s="1094"/>
      <c r="R120" s="1094"/>
      <c r="S120" s="1094"/>
      <c r="T120" s="1094"/>
      <c r="U120" s="1094"/>
      <c r="V120" s="1094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</row>
    <row r="121" spans="4:44"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1094"/>
      <c r="O121" s="1094"/>
      <c r="P121" s="1094"/>
      <c r="Q121" s="1094"/>
      <c r="R121" s="1094"/>
      <c r="S121" s="1094"/>
      <c r="T121" s="1094"/>
      <c r="U121" s="1094"/>
      <c r="V121" s="1094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</row>
    <row r="122" spans="4:44"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1094"/>
      <c r="O122" s="1094"/>
      <c r="P122" s="1094"/>
      <c r="Q122" s="1094"/>
      <c r="R122" s="1094"/>
      <c r="S122" s="1094"/>
      <c r="T122" s="1094"/>
      <c r="U122" s="1094"/>
      <c r="V122" s="1094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</row>
    <row r="123" spans="4:44"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1094"/>
      <c r="O123" s="1094"/>
      <c r="P123" s="1094"/>
      <c r="Q123" s="1094"/>
      <c r="R123" s="1094"/>
      <c r="S123" s="1094"/>
      <c r="T123" s="1094"/>
      <c r="U123" s="1094"/>
      <c r="V123" s="1094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</row>
    <row r="124" spans="4:44"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1094"/>
      <c r="O124" s="1094"/>
      <c r="P124" s="1094"/>
      <c r="Q124" s="1094"/>
      <c r="R124" s="1094"/>
      <c r="S124" s="1094"/>
      <c r="T124" s="1094"/>
      <c r="U124" s="1094"/>
      <c r="V124" s="1094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</row>
    <row r="125" spans="4:44"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1094"/>
      <c r="O125" s="1094"/>
      <c r="P125" s="1094"/>
      <c r="Q125" s="1094"/>
      <c r="R125" s="1094"/>
      <c r="S125" s="1094"/>
      <c r="T125" s="1094"/>
      <c r="U125" s="1094"/>
      <c r="V125" s="1094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</row>
    <row r="126" spans="4:44"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1094"/>
      <c r="O126" s="1094"/>
      <c r="P126" s="1094"/>
      <c r="Q126" s="1094"/>
      <c r="R126" s="1094"/>
      <c r="S126" s="1094"/>
      <c r="T126" s="1094"/>
      <c r="U126" s="1094"/>
      <c r="V126" s="1094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</row>
    <row r="127" spans="4:44"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1094"/>
      <c r="O127" s="1094"/>
      <c r="P127" s="1094"/>
      <c r="Q127" s="1094"/>
      <c r="R127" s="1094"/>
      <c r="S127" s="1094"/>
      <c r="T127" s="1094"/>
      <c r="U127" s="1094"/>
      <c r="V127" s="1094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</row>
    <row r="128" spans="4:44"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1094"/>
      <c r="O128" s="1094"/>
      <c r="P128" s="1094"/>
      <c r="Q128" s="1094"/>
      <c r="R128" s="1094"/>
      <c r="S128" s="1094"/>
      <c r="T128" s="1094"/>
      <c r="U128" s="1094"/>
      <c r="V128" s="1094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</row>
    <row r="129" spans="4:44"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1094"/>
      <c r="O129" s="1094"/>
      <c r="P129" s="1094"/>
      <c r="Q129" s="1094"/>
      <c r="R129" s="1094"/>
      <c r="S129" s="1094"/>
      <c r="T129" s="1094"/>
      <c r="U129" s="1094"/>
      <c r="V129" s="1094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</row>
    <row r="130" spans="4:44"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1094"/>
      <c r="O130" s="1094"/>
      <c r="P130" s="1094"/>
      <c r="Q130" s="1094"/>
      <c r="R130" s="1094"/>
      <c r="S130" s="1094"/>
      <c r="T130" s="1094"/>
      <c r="U130" s="1094"/>
      <c r="V130" s="1094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</row>
    <row r="131" spans="4:44"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1094"/>
      <c r="O131" s="1094"/>
      <c r="P131" s="1094"/>
      <c r="Q131" s="1094"/>
      <c r="R131" s="1094"/>
      <c r="S131" s="1094"/>
      <c r="T131" s="1094"/>
      <c r="U131" s="1094"/>
      <c r="V131" s="1094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</row>
    <row r="132" spans="4:44"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1094"/>
      <c r="O132" s="1094"/>
      <c r="P132" s="1094"/>
      <c r="Q132" s="1094"/>
      <c r="R132" s="1094"/>
      <c r="S132" s="1094"/>
      <c r="T132" s="1094"/>
      <c r="U132" s="1094"/>
      <c r="V132" s="1094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</row>
    <row r="133" spans="4:44"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1094"/>
      <c r="O133" s="1094"/>
      <c r="P133" s="1094"/>
      <c r="Q133" s="1094"/>
      <c r="R133" s="1094"/>
      <c r="S133" s="1094"/>
      <c r="T133" s="1094"/>
      <c r="U133" s="1094"/>
      <c r="V133" s="1094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</row>
    <row r="134" spans="4:44"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1094"/>
      <c r="O134" s="1094"/>
      <c r="P134" s="1094"/>
      <c r="Q134" s="1094"/>
      <c r="R134" s="1094"/>
      <c r="S134" s="1094"/>
      <c r="T134" s="1094"/>
      <c r="U134" s="1094"/>
      <c r="V134" s="1094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</row>
    <row r="135" spans="4:44"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1094"/>
      <c r="O135" s="1094"/>
      <c r="P135" s="1094"/>
      <c r="Q135" s="1094"/>
      <c r="R135" s="1094"/>
      <c r="S135" s="1094"/>
      <c r="T135" s="1094"/>
      <c r="U135" s="1094"/>
      <c r="V135" s="1094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</row>
    <row r="136" spans="4:44"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1094"/>
      <c r="O136" s="1094"/>
      <c r="P136" s="1094"/>
      <c r="Q136" s="1094"/>
      <c r="R136" s="1094"/>
      <c r="S136" s="1094"/>
      <c r="T136" s="1094"/>
      <c r="U136" s="1094"/>
      <c r="V136" s="1094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</row>
    <row r="137" spans="4:44"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1094"/>
      <c r="O137" s="1094"/>
      <c r="P137" s="1094"/>
      <c r="Q137" s="1094"/>
      <c r="R137" s="1094"/>
      <c r="S137" s="1094"/>
      <c r="T137" s="1094"/>
      <c r="U137" s="1094"/>
      <c r="V137" s="1094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</row>
    <row r="138" spans="4:44"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1094"/>
      <c r="O138" s="1094"/>
      <c r="P138" s="1094"/>
      <c r="Q138" s="1094"/>
      <c r="R138" s="1094"/>
      <c r="S138" s="1094"/>
      <c r="T138" s="1094"/>
      <c r="U138" s="1094"/>
      <c r="V138" s="1094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</row>
    <row r="139" spans="4:44"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1094"/>
      <c r="O139" s="1094"/>
      <c r="P139" s="1094"/>
      <c r="Q139" s="1094"/>
      <c r="R139" s="1094"/>
      <c r="S139" s="1094"/>
      <c r="T139" s="1094"/>
      <c r="U139" s="1094"/>
      <c r="V139" s="1094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</row>
    <row r="140" spans="4:44"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1094"/>
      <c r="O140" s="1094"/>
      <c r="P140" s="1094"/>
      <c r="Q140" s="1094"/>
      <c r="R140" s="1094"/>
      <c r="S140" s="1094"/>
      <c r="T140" s="1094"/>
      <c r="U140" s="1094"/>
      <c r="V140" s="1094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</row>
    <row r="141" spans="4:44"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1094"/>
      <c r="O141" s="1094"/>
      <c r="P141" s="1094"/>
      <c r="Q141" s="1094"/>
      <c r="R141" s="1094"/>
      <c r="S141" s="1094"/>
      <c r="T141" s="1094"/>
      <c r="U141" s="1094"/>
      <c r="V141" s="1094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</row>
    <row r="142" spans="4:44"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1094"/>
      <c r="O142" s="1094"/>
      <c r="P142" s="1094"/>
      <c r="Q142" s="1094"/>
      <c r="R142" s="1094"/>
      <c r="S142" s="1094"/>
      <c r="T142" s="1094"/>
      <c r="U142" s="1094"/>
      <c r="V142" s="1094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</row>
    <row r="143" spans="4:44"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1094"/>
      <c r="O143" s="1094"/>
      <c r="P143" s="1094"/>
      <c r="Q143" s="1094"/>
      <c r="R143" s="1094"/>
      <c r="S143" s="1094"/>
      <c r="T143" s="1094"/>
      <c r="U143" s="1094"/>
      <c r="V143" s="1094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</row>
    <row r="144" spans="4:44"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1094"/>
      <c r="O144" s="1094"/>
      <c r="P144" s="1094"/>
      <c r="Q144" s="1094"/>
      <c r="R144" s="1094"/>
      <c r="S144" s="1094"/>
      <c r="T144" s="1094"/>
      <c r="U144" s="1094"/>
      <c r="V144" s="1094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</row>
    <row r="145" spans="4:44"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1094"/>
      <c r="O145" s="1094"/>
      <c r="P145" s="1094"/>
      <c r="Q145" s="1094"/>
      <c r="R145" s="1094"/>
      <c r="S145" s="1094"/>
      <c r="T145" s="1094"/>
      <c r="U145" s="1094"/>
      <c r="V145" s="1094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</row>
    <row r="146" spans="4:44"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1094"/>
      <c r="O146" s="1094"/>
      <c r="P146" s="1094"/>
      <c r="Q146" s="1094"/>
      <c r="R146" s="1094"/>
      <c r="S146" s="1094"/>
      <c r="T146" s="1094"/>
      <c r="U146" s="1094"/>
      <c r="V146" s="1094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</row>
    <row r="147" spans="4:44"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1094"/>
      <c r="O147" s="1094"/>
      <c r="P147" s="1094"/>
      <c r="Q147" s="1094"/>
      <c r="R147" s="1094"/>
      <c r="S147" s="1094"/>
      <c r="T147" s="1094"/>
      <c r="U147" s="1094"/>
      <c r="V147" s="1094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</row>
    <row r="148" spans="4:44"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1094"/>
      <c r="O148" s="1094"/>
      <c r="P148" s="1094"/>
      <c r="Q148" s="1094"/>
      <c r="R148" s="1094"/>
      <c r="S148" s="1094"/>
      <c r="T148" s="1094"/>
      <c r="U148" s="1094"/>
      <c r="V148" s="1094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</row>
    <row r="149" spans="4:44"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1094"/>
      <c r="O149" s="1094"/>
      <c r="P149" s="1094"/>
      <c r="Q149" s="1094"/>
      <c r="R149" s="1094"/>
      <c r="S149" s="1094"/>
      <c r="T149" s="1094"/>
      <c r="U149" s="1094"/>
      <c r="V149" s="1094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</row>
    <row r="150" spans="4:44"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1094"/>
      <c r="O150" s="1094"/>
      <c r="P150" s="1094"/>
      <c r="Q150" s="1094"/>
      <c r="R150" s="1094"/>
      <c r="S150" s="1094"/>
      <c r="T150" s="1094"/>
      <c r="U150" s="1094"/>
      <c r="V150" s="1094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</row>
    <row r="151" spans="4:44"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1094"/>
      <c r="O151" s="1094"/>
      <c r="P151" s="1094"/>
      <c r="Q151" s="1094"/>
      <c r="R151" s="1094"/>
      <c r="S151" s="1094"/>
      <c r="T151" s="1094"/>
      <c r="U151" s="1094"/>
      <c r="V151" s="1094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</row>
    <row r="152" spans="4:44"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1094"/>
      <c r="O152" s="1094"/>
      <c r="P152" s="1094"/>
      <c r="Q152" s="1094"/>
      <c r="R152" s="1094"/>
      <c r="S152" s="1094"/>
      <c r="T152" s="1094"/>
      <c r="U152" s="1094"/>
      <c r="V152" s="1094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</row>
    <row r="153" spans="4:44"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1094"/>
      <c r="O153" s="1094"/>
      <c r="P153" s="1094"/>
      <c r="Q153" s="1094"/>
      <c r="R153" s="1094"/>
      <c r="S153" s="1094"/>
      <c r="T153" s="1094"/>
      <c r="U153" s="1094"/>
      <c r="V153" s="1094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</row>
    <row r="154" spans="4:44"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1094"/>
      <c r="O154" s="1094"/>
      <c r="P154" s="1094"/>
      <c r="Q154" s="1094"/>
      <c r="R154" s="1094"/>
      <c r="S154" s="1094"/>
      <c r="T154" s="1094"/>
      <c r="U154" s="1094"/>
      <c r="V154" s="1094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</row>
    <row r="155" spans="4:44"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1094"/>
      <c r="O155" s="1094"/>
      <c r="P155" s="1094"/>
      <c r="Q155" s="1094"/>
      <c r="R155" s="1094"/>
      <c r="S155" s="1094"/>
      <c r="T155" s="1094"/>
      <c r="U155" s="1094"/>
      <c r="V155" s="1094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</row>
    <row r="156" spans="4:44"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1094"/>
      <c r="O156" s="1094"/>
      <c r="P156" s="1094"/>
      <c r="Q156" s="1094"/>
      <c r="R156" s="1094"/>
      <c r="S156" s="1094"/>
      <c r="T156" s="1094"/>
      <c r="U156" s="1094"/>
      <c r="V156" s="1094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</row>
    <row r="157" spans="4:44"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1094"/>
      <c r="O157" s="1094"/>
      <c r="P157" s="1094"/>
      <c r="Q157" s="1094"/>
      <c r="R157" s="1094"/>
      <c r="S157" s="1094"/>
      <c r="T157" s="1094"/>
      <c r="U157" s="1094"/>
      <c r="V157" s="1094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</row>
    <row r="158" spans="4:44"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1094"/>
      <c r="O158" s="1094"/>
      <c r="P158" s="1094"/>
      <c r="Q158" s="1094"/>
      <c r="R158" s="1094"/>
      <c r="S158" s="1094"/>
      <c r="T158" s="1094"/>
      <c r="U158" s="1094"/>
      <c r="V158" s="1094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</row>
    <row r="159" spans="4:44"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1094"/>
      <c r="O159" s="1094"/>
      <c r="P159" s="1094"/>
      <c r="Q159" s="1094"/>
      <c r="R159" s="1094"/>
      <c r="S159" s="1094"/>
      <c r="T159" s="1094"/>
      <c r="U159" s="1094"/>
      <c r="V159" s="1094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</row>
    <row r="160" spans="4:44"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1094"/>
      <c r="O160" s="1094"/>
      <c r="P160" s="1094"/>
      <c r="Q160" s="1094"/>
      <c r="R160" s="1094"/>
      <c r="S160" s="1094"/>
      <c r="T160" s="1094"/>
      <c r="U160" s="1094"/>
      <c r="V160" s="1094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</row>
    <row r="161" spans="4:44"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1094"/>
      <c r="O161" s="1094"/>
      <c r="P161" s="1094"/>
      <c r="Q161" s="1094"/>
      <c r="R161" s="1094"/>
      <c r="S161" s="1094"/>
      <c r="T161" s="1094"/>
      <c r="U161" s="1094"/>
      <c r="V161" s="1094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</row>
    <row r="162" spans="4:44"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1094"/>
      <c r="O162" s="1094"/>
      <c r="P162" s="1094"/>
      <c r="Q162" s="1094"/>
      <c r="R162" s="1094"/>
      <c r="S162" s="1094"/>
      <c r="T162" s="1094"/>
      <c r="U162" s="1094"/>
      <c r="V162" s="1094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</row>
    <row r="163" spans="4:44"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1094"/>
      <c r="O163" s="1094"/>
      <c r="P163" s="1094"/>
      <c r="Q163" s="1094"/>
      <c r="R163" s="1094"/>
      <c r="S163" s="1094"/>
      <c r="T163" s="1094"/>
      <c r="U163" s="1094"/>
      <c r="V163" s="1094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</row>
    <row r="164" spans="4:44"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1094"/>
      <c r="O164" s="1094"/>
      <c r="P164" s="1094"/>
      <c r="Q164" s="1094"/>
      <c r="R164" s="1094"/>
      <c r="S164" s="1094"/>
      <c r="T164" s="1094"/>
      <c r="U164" s="1094"/>
      <c r="V164" s="1094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</row>
    <row r="165" spans="4:44"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1094"/>
      <c r="O165" s="1094"/>
      <c r="P165" s="1094"/>
      <c r="Q165" s="1094"/>
      <c r="R165" s="1094"/>
      <c r="S165" s="1094"/>
      <c r="T165" s="1094"/>
      <c r="U165" s="1094"/>
      <c r="V165" s="1094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</row>
    <row r="166" spans="4:44"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1094"/>
      <c r="O166" s="1094"/>
      <c r="P166" s="1094"/>
      <c r="Q166" s="1094"/>
      <c r="R166" s="1094"/>
      <c r="S166" s="1094"/>
      <c r="T166" s="1094"/>
      <c r="U166" s="1094"/>
      <c r="V166" s="1094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</row>
    <row r="167" spans="4:44"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1094"/>
      <c r="O167" s="1094"/>
      <c r="P167" s="1094"/>
      <c r="Q167" s="1094"/>
      <c r="R167" s="1094"/>
      <c r="S167" s="1094"/>
      <c r="T167" s="1094"/>
      <c r="U167" s="1094"/>
      <c r="V167" s="1094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</row>
    <row r="168" spans="4:44"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1094"/>
      <c r="O168" s="1094"/>
      <c r="P168" s="1094"/>
      <c r="Q168" s="1094"/>
      <c r="R168" s="1094"/>
      <c r="S168" s="1094"/>
      <c r="T168" s="1094"/>
      <c r="U168" s="1094"/>
      <c r="V168" s="1094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</row>
    <row r="169" spans="4:44"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1094"/>
      <c r="O169" s="1094"/>
      <c r="P169" s="1094"/>
      <c r="Q169" s="1094"/>
      <c r="R169" s="1094"/>
      <c r="S169" s="1094"/>
      <c r="T169" s="1094"/>
      <c r="U169" s="1094"/>
      <c r="V169" s="1094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</row>
    <row r="170" spans="4:44"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1094"/>
      <c r="O170" s="1094"/>
      <c r="P170" s="1094"/>
      <c r="Q170" s="1094"/>
      <c r="R170" s="1094"/>
      <c r="S170" s="1094"/>
      <c r="T170" s="1094"/>
      <c r="U170" s="1094"/>
      <c r="V170" s="1094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</row>
    <row r="171" spans="4:44"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1094"/>
      <c r="O171" s="1094"/>
      <c r="P171" s="1094"/>
      <c r="Q171" s="1094"/>
      <c r="R171" s="1094"/>
      <c r="S171" s="1094"/>
      <c r="T171" s="1094"/>
      <c r="U171" s="1094"/>
      <c r="V171" s="1094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</row>
    <row r="172" spans="4:44"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1094"/>
      <c r="O172" s="1094"/>
      <c r="P172" s="1094"/>
      <c r="Q172" s="1094"/>
      <c r="R172" s="1094"/>
      <c r="S172" s="1094"/>
      <c r="T172" s="1094"/>
      <c r="U172" s="1094"/>
      <c r="V172" s="1094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</row>
    <row r="173" spans="4:44"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1094"/>
      <c r="O173" s="1094"/>
      <c r="P173" s="1094"/>
      <c r="Q173" s="1094"/>
      <c r="R173" s="1094"/>
      <c r="S173" s="1094"/>
      <c r="T173" s="1094"/>
      <c r="U173" s="1094"/>
      <c r="V173" s="1094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</row>
    <row r="174" spans="4:44"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1094"/>
      <c r="O174" s="1094"/>
      <c r="P174" s="1094"/>
      <c r="Q174" s="1094"/>
      <c r="R174" s="1094"/>
      <c r="S174" s="1094"/>
      <c r="T174" s="1094"/>
      <c r="U174" s="1094"/>
      <c r="V174" s="1094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</row>
    <row r="175" spans="4:44"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1094"/>
      <c r="O175" s="1094"/>
      <c r="P175" s="1094"/>
      <c r="Q175" s="1094"/>
      <c r="R175" s="1094"/>
      <c r="S175" s="1094"/>
      <c r="T175" s="1094"/>
      <c r="U175" s="1094"/>
      <c r="V175" s="1094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</row>
    <row r="176" spans="4:44"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1094"/>
      <c r="O176" s="1094"/>
      <c r="P176" s="1094"/>
      <c r="Q176" s="1094"/>
      <c r="R176" s="1094"/>
      <c r="S176" s="1094"/>
      <c r="T176" s="1094"/>
      <c r="U176" s="1094"/>
      <c r="V176" s="1094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</row>
    <row r="177" spans="4:44"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1094"/>
      <c r="O177" s="1094"/>
      <c r="P177" s="1094"/>
      <c r="Q177" s="1094"/>
      <c r="R177" s="1094"/>
      <c r="S177" s="1094"/>
      <c r="T177" s="1094"/>
      <c r="U177" s="1094"/>
      <c r="V177" s="1094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</row>
    <row r="178" spans="4:44"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1094"/>
      <c r="O178" s="1094"/>
      <c r="P178" s="1094"/>
      <c r="Q178" s="1094"/>
      <c r="R178" s="1094"/>
      <c r="S178" s="1094"/>
      <c r="T178" s="1094"/>
      <c r="U178" s="1094"/>
      <c r="V178" s="1094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</row>
    <row r="179" spans="4:44"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1094"/>
      <c r="O179" s="1094"/>
      <c r="P179" s="1094"/>
      <c r="Q179" s="1094"/>
      <c r="R179" s="1094"/>
      <c r="S179" s="1094"/>
      <c r="T179" s="1094"/>
      <c r="U179" s="1094"/>
      <c r="V179" s="1094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</row>
    <row r="180" spans="4:44"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1094"/>
      <c r="O180" s="1094"/>
      <c r="P180" s="1094"/>
      <c r="Q180" s="1094"/>
      <c r="R180" s="1094"/>
      <c r="S180" s="1094"/>
      <c r="T180" s="1094"/>
      <c r="U180" s="1094"/>
      <c r="V180" s="1094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</row>
    <row r="181" spans="4:44"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1094"/>
      <c r="O181" s="1094"/>
      <c r="P181" s="1094"/>
      <c r="Q181" s="1094"/>
      <c r="R181" s="1094"/>
      <c r="S181" s="1094"/>
      <c r="T181" s="1094"/>
      <c r="U181" s="1094"/>
      <c r="V181" s="1094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</row>
    <row r="182" spans="4:44"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1094"/>
      <c r="O182" s="1094"/>
      <c r="P182" s="1094"/>
      <c r="Q182" s="1094"/>
      <c r="R182" s="1094"/>
      <c r="S182" s="1094"/>
      <c r="T182" s="1094"/>
      <c r="U182" s="1094"/>
      <c r="V182" s="1094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</row>
    <row r="183" spans="4:44"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1094"/>
      <c r="O183" s="1094"/>
      <c r="P183" s="1094"/>
      <c r="Q183" s="1094"/>
      <c r="R183" s="1094"/>
      <c r="S183" s="1094"/>
      <c r="T183" s="1094"/>
      <c r="U183" s="1094"/>
      <c r="V183" s="1094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</row>
    <row r="184" spans="4:44"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1094"/>
      <c r="O184" s="1094"/>
      <c r="P184" s="1094"/>
      <c r="Q184" s="1094"/>
      <c r="R184" s="1094"/>
      <c r="S184" s="1094"/>
      <c r="T184" s="1094"/>
      <c r="U184" s="1094"/>
      <c r="V184" s="1094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</row>
    <row r="185" spans="4:44"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1094"/>
      <c r="O185" s="1094"/>
      <c r="P185" s="1094"/>
      <c r="Q185" s="1094"/>
      <c r="R185" s="1094"/>
      <c r="S185" s="1094"/>
      <c r="T185" s="1094"/>
      <c r="U185" s="1094"/>
      <c r="V185" s="1094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</row>
    <row r="186" spans="4:44"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1094"/>
      <c r="O186" s="1094"/>
      <c r="P186" s="1094"/>
      <c r="Q186" s="1094"/>
      <c r="R186" s="1094"/>
      <c r="S186" s="1094"/>
      <c r="T186" s="1094"/>
      <c r="U186" s="1094"/>
      <c r="V186" s="1094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</row>
    <row r="187" spans="4:44"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1094"/>
      <c r="O187" s="1094"/>
      <c r="P187" s="1094"/>
      <c r="Q187" s="1094"/>
      <c r="R187" s="1094"/>
      <c r="S187" s="1094"/>
      <c r="T187" s="1094"/>
      <c r="U187" s="1094"/>
      <c r="V187" s="1094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</row>
    <row r="188" spans="4:44"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1094"/>
      <c r="O188" s="1094"/>
      <c r="P188" s="1094"/>
      <c r="Q188" s="1094"/>
      <c r="R188" s="1094"/>
      <c r="S188" s="1094"/>
      <c r="T188" s="1094"/>
      <c r="U188" s="1094"/>
      <c r="V188" s="1094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</row>
    <row r="189" spans="4:44"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1094"/>
      <c r="O189" s="1094"/>
      <c r="P189" s="1094"/>
      <c r="Q189" s="1094"/>
      <c r="R189" s="1094"/>
      <c r="S189" s="1094"/>
      <c r="T189" s="1094"/>
      <c r="U189" s="1094"/>
      <c r="V189" s="1094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</row>
    <row r="190" spans="4:44"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1094"/>
      <c r="O190" s="1094"/>
      <c r="P190" s="1094"/>
      <c r="Q190" s="1094"/>
      <c r="R190" s="1094"/>
      <c r="S190" s="1094"/>
      <c r="T190" s="1094"/>
      <c r="U190" s="1094"/>
      <c r="V190" s="1094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</row>
    <row r="191" spans="4:44"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1094"/>
      <c r="O191" s="1094"/>
      <c r="P191" s="1094"/>
      <c r="Q191" s="1094"/>
      <c r="R191" s="1094"/>
      <c r="S191" s="1094"/>
      <c r="T191" s="1094"/>
      <c r="U191" s="1094"/>
      <c r="V191" s="1094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</row>
    <row r="192" spans="4:44"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1094"/>
      <c r="O192" s="1094"/>
      <c r="P192" s="1094"/>
      <c r="Q192" s="1094"/>
      <c r="R192" s="1094"/>
      <c r="S192" s="1094"/>
      <c r="T192" s="1094"/>
      <c r="U192" s="1094"/>
      <c r="V192" s="1094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</row>
    <row r="193" spans="4:44"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1094"/>
      <c r="O193" s="1094"/>
      <c r="P193" s="1094"/>
      <c r="Q193" s="1094"/>
      <c r="R193" s="1094"/>
      <c r="S193" s="1094"/>
      <c r="T193" s="1094"/>
      <c r="U193" s="1094"/>
      <c r="V193" s="1094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</row>
    <row r="194" spans="4:44"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1094"/>
      <c r="O194" s="1094"/>
      <c r="P194" s="1094"/>
      <c r="Q194" s="1094"/>
      <c r="R194" s="1094"/>
      <c r="S194" s="1094"/>
      <c r="T194" s="1094"/>
      <c r="U194" s="1094"/>
      <c r="V194" s="1094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</row>
    <row r="195" spans="4:44"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1094"/>
      <c r="O195" s="1094"/>
      <c r="P195" s="1094"/>
      <c r="Q195" s="1094"/>
      <c r="R195" s="1094"/>
      <c r="S195" s="1094"/>
      <c r="T195" s="1094"/>
      <c r="U195" s="1094"/>
      <c r="V195" s="1094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</row>
    <row r="196" spans="4:44"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1094"/>
      <c r="O196" s="1094"/>
      <c r="P196" s="1094"/>
      <c r="Q196" s="1094"/>
      <c r="R196" s="1094"/>
      <c r="S196" s="1094"/>
      <c r="T196" s="1094"/>
      <c r="U196" s="1094"/>
      <c r="V196" s="1094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</row>
    <row r="197" spans="4:44"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1094"/>
      <c r="O197" s="1094"/>
      <c r="P197" s="1094"/>
      <c r="Q197" s="1094"/>
      <c r="R197" s="1094"/>
      <c r="S197" s="1094"/>
      <c r="T197" s="1094"/>
      <c r="U197" s="1094"/>
      <c r="V197" s="1094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</row>
    <row r="198" spans="4:44"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1094"/>
      <c r="O198" s="1094"/>
      <c r="P198" s="1094"/>
      <c r="Q198" s="1094"/>
      <c r="R198" s="1094"/>
      <c r="S198" s="1094"/>
      <c r="T198" s="1094"/>
      <c r="U198" s="1094"/>
      <c r="V198" s="1094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</row>
    <row r="199" spans="4:44"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1094"/>
      <c r="O199" s="1094"/>
      <c r="P199" s="1094"/>
      <c r="Q199" s="1094"/>
      <c r="R199" s="1094"/>
      <c r="S199" s="1094"/>
      <c r="T199" s="1094"/>
      <c r="U199" s="1094"/>
      <c r="V199" s="1094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</row>
    <row r="200" spans="4:44"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1094"/>
      <c r="O200" s="1094"/>
      <c r="P200" s="1094"/>
      <c r="Q200" s="1094"/>
      <c r="R200" s="1094"/>
      <c r="S200" s="1094"/>
      <c r="T200" s="1094"/>
      <c r="U200" s="1094"/>
      <c r="V200" s="1094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</row>
    <row r="201" spans="4:44"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1094"/>
      <c r="O201" s="1094"/>
      <c r="P201" s="1094"/>
      <c r="Q201" s="1094"/>
      <c r="R201" s="1094"/>
      <c r="S201" s="1094"/>
      <c r="T201" s="1094"/>
      <c r="U201" s="1094"/>
      <c r="V201" s="1094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</row>
    <row r="202" spans="4:44"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1094"/>
      <c r="O202" s="1094"/>
      <c r="P202" s="1094"/>
      <c r="Q202" s="1094"/>
      <c r="R202" s="1094"/>
      <c r="S202" s="1094"/>
      <c r="T202" s="1094"/>
      <c r="U202" s="1094"/>
      <c r="V202" s="1094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</row>
    <row r="203" spans="4:44"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1094"/>
      <c r="O203" s="1094"/>
      <c r="P203" s="1094"/>
      <c r="Q203" s="1094"/>
      <c r="R203" s="1094"/>
      <c r="S203" s="1094"/>
      <c r="T203" s="1094"/>
      <c r="U203" s="1094"/>
      <c r="V203" s="1094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</row>
    <row r="204" spans="4:44"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1094"/>
      <c r="O204" s="1094"/>
      <c r="P204" s="1094"/>
      <c r="Q204" s="1094"/>
      <c r="R204" s="1094"/>
      <c r="S204" s="1094"/>
      <c r="T204" s="1094"/>
      <c r="U204" s="1094"/>
      <c r="V204" s="1094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</row>
    <row r="205" spans="4:44"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1094"/>
      <c r="O205" s="1094"/>
      <c r="P205" s="1094"/>
      <c r="Q205" s="1094"/>
      <c r="R205" s="1094"/>
      <c r="S205" s="1094"/>
      <c r="T205" s="1094"/>
      <c r="U205" s="1094"/>
      <c r="V205" s="1094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</row>
    <row r="206" spans="4:44"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1094"/>
      <c r="O206" s="1094"/>
      <c r="P206" s="1094"/>
      <c r="Q206" s="1094"/>
      <c r="R206" s="1094"/>
      <c r="S206" s="1094"/>
      <c r="T206" s="1094"/>
      <c r="U206" s="1094"/>
      <c r="V206" s="1094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</row>
    <row r="207" spans="4:44"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1094"/>
      <c r="O207" s="1094"/>
      <c r="P207" s="1094"/>
      <c r="Q207" s="1094"/>
      <c r="R207" s="1094"/>
      <c r="S207" s="1094"/>
      <c r="T207" s="1094"/>
      <c r="U207" s="1094"/>
      <c r="V207" s="1094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</row>
    <row r="208" spans="4:44"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1094"/>
      <c r="O208" s="1094"/>
      <c r="P208" s="1094"/>
      <c r="Q208" s="1094"/>
      <c r="R208" s="1094"/>
      <c r="S208" s="1094"/>
      <c r="T208" s="1094"/>
      <c r="U208" s="1094"/>
      <c r="V208" s="1094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</row>
    <row r="209" spans="4:44"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1094"/>
      <c r="O209" s="1094"/>
      <c r="P209" s="1094"/>
      <c r="Q209" s="1094"/>
      <c r="R209" s="1094"/>
      <c r="S209" s="1094"/>
      <c r="T209" s="1094"/>
      <c r="U209" s="1094"/>
      <c r="V209" s="1094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</row>
    <row r="210" spans="4:44"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1094"/>
      <c r="O210" s="1094"/>
      <c r="P210" s="1094"/>
      <c r="Q210" s="1094"/>
      <c r="R210" s="1094"/>
      <c r="S210" s="1094"/>
      <c r="T210" s="1094"/>
      <c r="U210" s="1094"/>
      <c r="V210" s="1094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</row>
    <row r="211" spans="4:44"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1094"/>
      <c r="O211" s="1094"/>
      <c r="P211" s="1094"/>
      <c r="Q211" s="1094"/>
      <c r="R211" s="1094"/>
      <c r="S211" s="1094"/>
      <c r="T211" s="1094"/>
      <c r="U211" s="1094"/>
      <c r="V211" s="1094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</row>
    <row r="212" spans="4:44"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1094"/>
      <c r="O212" s="1094"/>
      <c r="P212" s="1094"/>
      <c r="Q212" s="1094"/>
      <c r="R212" s="1094"/>
      <c r="S212" s="1094"/>
      <c r="T212" s="1094"/>
      <c r="U212" s="1094"/>
      <c r="V212" s="1094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</row>
    <row r="213" spans="4:44"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1094"/>
      <c r="O213" s="1094"/>
      <c r="P213" s="1094"/>
      <c r="Q213" s="1094"/>
      <c r="R213" s="1094"/>
      <c r="S213" s="1094"/>
      <c r="T213" s="1094"/>
      <c r="U213" s="1094"/>
      <c r="V213" s="1094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6"/>
      <c r="AR213" s="56"/>
    </row>
    <row r="214" spans="4:44"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1094"/>
      <c r="O214" s="1094"/>
      <c r="P214" s="1094"/>
      <c r="Q214" s="1094"/>
      <c r="R214" s="1094"/>
      <c r="S214" s="1094"/>
      <c r="T214" s="1094"/>
      <c r="U214" s="1094"/>
      <c r="V214" s="1094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/>
      <c r="AO214" s="56"/>
      <c r="AP214" s="56"/>
      <c r="AQ214" s="56"/>
      <c r="AR214" s="56"/>
    </row>
    <row r="215" spans="4:44"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1094"/>
      <c r="O215" s="1094"/>
      <c r="P215" s="1094"/>
      <c r="Q215" s="1094"/>
      <c r="R215" s="1094"/>
      <c r="S215" s="1094"/>
      <c r="T215" s="1094"/>
      <c r="U215" s="1094"/>
      <c r="V215" s="1094"/>
      <c r="W215" s="56"/>
      <c r="X215" s="56"/>
      <c r="Y215" s="56"/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/>
      <c r="AM215" s="56"/>
      <c r="AN215" s="56"/>
      <c r="AO215" s="56"/>
      <c r="AP215" s="56"/>
      <c r="AQ215" s="56"/>
      <c r="AR215" s="56"/>
    </row>
    <row r="216" spans="4:44"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1094"/>
      <c r="O216" s="1094"/>
      <c r="P216" s="1094"/>
      <c r="Q216" s="1094"/>
      <c r="R216" s="1094"/>
      <c r="S216" s="1094"/>
      <c r="T216" s="1094"/>
      <c r="U216" s="1094"/>
      <c r="V216" s="1094"/>
      <c r="W216" s="56"/>
      <c r="X216" s="56"/>
      <c r="Y216" s="56"/>
      <c r="Z216" s="56"/>
      <c r="AA216" s="56"/>
      <c r="AB216" s="56"/>
      <c r="AC216" s="56"/>
      <c r="AD216" s="56"/>
      <c r="AE216" s="56"/>
      <c r="AF216" s="56"/>
      <c r="AG216" s="56"/>
      <c r="AH216" s="56"/>
      <c r="AI216" s="56"/>
      <c r="AJ216" s="56"/>
      <c r="AK216" s="56"/>
      <c r="AL216" s="56"/>
      <c r="AM216" s="56"/>
      <c r="AN216" s="56"/>
      <c r="AO216" s="56"/>
      <c r="AP216" s="56"/>
      <c r="AQ216" s="56"/>
      <c r="AR216" s="56"/>
    </row>
    <row r="217" spans="4:44"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1094"/>
      <c r="O217" s="1094"/>
      <c r="P217" s="1094"/>
      <c r="Q217" s="1094"/>
      <c r="R217" s="1094"/>
      <c r="S217" s="1094"/>
      <c r="T217" s="1094"/>
      <c r="U217" s="1094"/>
      <c r="V217" s="1094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  <c r="AH217" s="56"/>
      <c r="AI217" s="56"/>
      <c r="AJ217" s="56"/>
      <c r="AK217" s="56"/>
      <c r="AL217" s="56"/>
      <c r="AM217" s="56"/>
      <c r="AN217" s="56"/>
      <c r="AO217" s="56"/>
      <c r="AP217" s="56"/>
      <c r="AQ217" s="56"/>
      <c r="AR217" s="56"/>
    </row>
    <row r="218" spans="4:44"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1094"/>
      <c r="O218" s="1094"/>
      <c r="P218" s="1094"/>
      <c r="Q218" s="1094"/>
      <c r="R218" s="1094"/>
      <c r="S218" s="1094"/>
      <c r="T218" s="1094"/>
      <c r="U218" s="1094"/>
      <c r="V218" s="1094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</row>
    <row r="219" spans="4:44"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1094"/>
      <c r="O219" s="1094"/>
      <c r="P219" s="1094"/>
      <c r="Q219" s="1094"/>
      <c r="R219" s="1094"/>
      <c r="S219" s="1094"/>
      <c r="T219" s="1094"/>
      <c r="U219" s="1094"/>
      <c r="V219" s="1094"/>
      <c r="W219" s="56"/>
      <c r="X219" s="56"/>
      <c r="Y219" s="56"/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/>
      <c r="AL219" s="56"/>
      <c r="AM219" s="56"/>
      <c r="AN219" s="56"/>
      <c r="AO219" s="56"/>
      <c r="AP219" s="56"/>
      <c r="AQ219" s="56"/>
      <c r="AR219" s="56"/>
    </row>
    <row r="220" spans="4:44"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1094"/>
      <c r="O220" s="1094"/>
      <c r="P220" s="1094"/>
      <c r="Q220" s="1094"/>
      <c r="R220" s="1094"/>
      <c r="S220" s="1094"/>
      <c r="T220" s="1094"/>
      <c r="U220" s="1094"/>
      <c r="V220" s="1094"/>
      <c r="W220" s="56"/>
      <c r="X220" s="56"/>
      <c r="Y220" s="56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6"/>
      <c r="AR220" s="56"/>
    </row>
    <row r="221" spans="4:44"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1094"/>
      <c r="O221" s="1094"/>
      <c r="P221" s="1094"/>
      <c r="Q221" s="1094"/>
      <c r="R221" s="1094"/>
      <c r="S221" s="1094"/>
      <c r="T221" s="1094"/>
      <c r="U221" s="1094"/>
      <c r="V221" s="1094"/>
      <c r="W221" s="56"/>
      <c r="X221" s="56"/>
      <c r="Y221" s="56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6"/>
      <c r="AR221" s="56"/>
    </row>
    <row r="222" spans="4:44"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1094"/>
      <c r="O222" s="1094"/>
      <c r="P222" s="1094"/>
      <c r="Q222" s="1094"/>
      <c r="R222" s="1094"/>
      <c r="S222" s="1094"/>
      <c r="T222" s="1094"/>
      <c r="U222" s="1094"/>
      <c r="V222" s="1094"/>
      <c r="W222" s="56"/>
      <c r="X222" s="56"/>
      <c r="Y222" s="56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6"/>
      <c r="AR222" s="56"/>
    </row>
    <row r="223" spans="4:44"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1094"/>
      <c r="O223" s="1094"/>
      <c r="P223" s="1094"/>
      <c r="Q223" s="1094"/>
      <c r="R223" s="1094"/>
      <c r="S223" s="1094"/>
      <c r="T223" s="1094"/>
      <c r="U223" s="1094"/>
      <c r="V223" s="1094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</row>
    <row r="224" spans="4:44"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1094"/>
      <c r="O224" s="1094"/>
      <c r="P224" s="1094"/>
      <c r="Q224" s="1094"/>
      <c r="R224" s="1094"/>
      <c r="S224" s="1094"/>
      <c r="T224" s="1094"/>
      <c r="U224" s="1094"/>
      <c r="V224" s="1094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</row>
    <row r="225" spans="4:44"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1094"/>
      <c r="O225" s="1094"/>
      <c r="P225" s="1094"/>
      <c r="Q225" s="1094"/>
      <c r="R225" s="1094"/>
      <c r="S225" s="1094"/>
      <c r="T225" s="1094"/>
      <c r="U225" s="1094"/>
      <c r="V225" s="1094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/>
      <c r="AL225" s="56"/>
      <c r="AM225" s="56"/>
      <c r="AN225" s="56"/>
      <c r="AO225" s="56"/>
      <c r="AP225" s="56"/>
      <c r="AQ225" s="56"/>
      <c r="AR225" s="56"/>
    </row>
    <row r="226" spans="4:44"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1094"/>
      <c r="O226" s="1094"/>
      <c r="P226" s="1094"/>
      <c r="Q226" s="1094"/>
      <c r="R226" s="1094"/>
      <c r="S226" s="1094"/>
      <c r="T226" s="1094"/>
      <c r="U226" s="1094"/>
      <c r="V226" s="1094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6"/>
      <c r="AR226" s="56"/>
    </row>
    <row r="227" spans="4:44"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1094"/>
      <c r="O227" s="1094"/>
      <c r="P227" s="1094"/>
      <c r="Q227" s="1094"/>
      <c r="R227" s="1094"/>
      <c r="S227" s="1094"/>
      <c r="T227" s="1094"/>
      <c r="U227" s="1094"/>
      <c r="V227" s="1094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6"/>
      <c r="AR227" s="56"/>
    </row>
    <row r="228" spans="4:44"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1094"/>
      <c r="O228" s="1094"/>
      <c r="P228" s="1094"/>
      <c r="Q228" s="1094"/>
      <c r="R228" s="1094"/>
      <c r="S228" s="1094"/>
      <c r="T228" s="1094"/>
      <c r="U228" s="1094"/>
      <c r="V228" s="1094"/>
      <c r="W228" s="56"/>
      <c r="X228" s="56"/>
      <c r="Y228" s="56"/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/>
      <c r="AL228" s="56"/>
      <c r="AM228" s="56"/>
      <c r="AN228" s="56"/>
      <c r="AO228" s="56"/>
      <c r="AP228" s="56"/>
      <c r="AQ228" s="56"/>
      <c r="AR228" s="56"/>
    </row>
    <row r="229" spans="4:44"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1094"/>
      <c r="O229" s="1094"/>
      <c r="P229" s="1094"/>
      <c r="Q229" s="1094"/>
      <c r="R229" s="1094"/>
      <c r="S229" s="1094"/>
      <c r="T229" s="1094"/>
      <c r="U229" s="1094"/>
      <c r="V229" s="1094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56"/>
    </row>
    <row r="230" spans="4:44"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1094"/>
      <c r="O230" s="1094"/>
      <c r="P230" s="1094"/>
      <c r="Q230" s="1094"/>
      <c r="R230" s="1094"/>
      <c r="S230" s="1094"/>
      <c r="T230" s="1094"/>
      <c r="U230" s="1094"/>
      <c r="V230" s="1094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6"/>
      <c r="AR230" s="56"/>
    </row>
    <row r="231" spans="4:44"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1094"/>
      <c r="O231" s="1094"/>
      <c r="P231" s="1094"/>
      <c r="Q231" s="1094"/>
      <c r="R231" s="1094"/>
      <c r="S231" s="1094"/>
      <c r="T231" s="1094"/>
      <c r="U231" s="1094"/>
      <c r="V231" s="1094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6"/>
      <c r="AR231" s="56"/>
    </row>
    <row r="232" spans="4:44"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1094"/>
      <c r="O232" s="1094"/>
      <c r="P232" s="1094"/>
      <c r="Q232" s="1094"/>
      <c r="R232" s="1094"/>
      <c r="S232" s="1094"/>
      <c r="T232" s="1094"/>
      <c r="U232" s="1094"/>
      <c r="V232" s="1094"/>
      <c r="W232" s="56"/>
      <c r="X232" s="56"/>
      <c r="Y232" s="56"/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/>
      <c r="AK232" s="56"/>
      <c r="AL232" s="56"/>
      <c r="AM232" s="56"/>
      <c r="AN232" s="56"/>
      <c r="AO232" s="56"/>
      <c r="AP232" s="56"/>
      <c r="AQ232" s="56"/>
      <c r="AR232" s="56"/>
    </row>
    <row r="233" spans="4:44"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1094"/>
      <c r="O233" s="1094"/>
      <c r="P233" s="1094"/>
      <c r="Q233" s="1094"/>
      <c r="R233" s="1094"/>
      <c r="S233" s="1094"/>
      <c r="T233" s="1094"/>
      <c r="U233" s="1094"/>
      <c r="V233" s="1094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</row>
    <row r="234" spans="4:44"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1094"/>
      <c r="O234" s="1094"/>
      <c r="P234" s="1094"/>
      <c r="Q234" s="1094"/>
      <c r="R234" s="1094"/>
      <c r="S234" s="1094"/>
      <c r="T234" s="1094"/>
      <c r="U234" s="1094"/>
      <c r="V234" s="1094"/>
      <c r="W234" s="56"/>
      <c r="X234" s="56"/>
      <c r="Y234" s="56"/>
      <c r="Z234" s="56"/>
      <c r="AA234" s="56"/>
      <c r="AB234" s="56"/>
      <c r="AC234" s="56"/>
      <c r="AD234" s="56"/>
      <c r="AE234" s="56"/>
      <c r="AF234" s="56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</row>
    <row r="235" spans="4:44"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1094"/>
      <c r="O235" s="1094"/>
      <c r="P235" s="1094"/>
      <c r="Q235" s="1094"/>
      <c r="R235" s="1094"/>
      <c r="S235" s="1094"/>
      <c r="T235" s="1094"/>
      <c r="U235" s="1094"/>
      <c r="V235" s="1094"/>
      <c r="W235" s="56"/>
      <c r="X235" s="56"/>
      <c r="Y235" s="56"/>
      <c r="Z235" s="56"/>
      <c r="AA235" s="56"/>
      <c r="AB235" s="56"/>
      <c r="AC235" s="56"/>
      <c r="AD235" s="56"/>
      <c r="AE235" s="56"/>
      <c r="AF235" s="56"/>
      <c r="AG235" s="56"/>
      <c r="AH235" s="56"/>
      <c r="AI235" s="56"/>
      <c r="AJ235" s="56"/>
      <c r="AK235" s="56"/>
      <c r="AL235" s="56"/>
      <c r="AM235" s="56"/>
      <c r="AN235" s="56"/>
      <c r="AO235" s="56"/>
      <c r="AP235" s="56"/>
      <c r="AQ235" s="56"/>
      <c r="AR235" s="56"/>
    </row>
    <row r="236" spans="4:44"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1094"/>
      <c r="O236" s="1094"/>
      <c r="P236" s="1094"/>
      <c r="Q236" s="1094"/>
      <c r="R236" s="1094"/>
      <c r="S236" s="1094"/>
      <c r="T236" s="1094"/>
      <c r="U236" s="1094"/>
      <c r="V236" s="1094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6"/>
      <c r="AR236" s="56"/>
    </row>
    <row r="237" spans="4:44"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1094"/>
      <c r="O237" s="1094"/>
      <c r="P237" s="1094"/>
      <c r="Q237" s="1094"/>
      <c r="R237" s="1094"/>
      <c r="S237" s="1094"/>
      <c r="T237" s="1094"/>
      <c r="U237" s="1094"/>
      <c r="V237" s="1094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6"/>
      <c r="AR237" s="56"/>
    </row>
    <row r="238" spans="4:44"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1094"/>
      <c r="O238" s="1094"/>
      <c r="P238" s="1094"/>
      <c r="Q238" s="1094"/>
      <c r="R238" s="1094"/>
      <c r="S238" s="1094"/>
      <c r="T238" s="1094"/>
      <c r="U238" s="1094"/>
      <c r="V238" s="1094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/>
      <c r="AM238" s="56"/>
      <c r="AN238" s="56"/>
      <c r="AO238" s="56"/>
      <c r="AP238" s="56"/>
      <c r="AQ238" s="56"/>
      <c r="AR238" s="56"/>
    </row>
    <row r="239" spans="4:44"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1094"/>
      <c r="O239" s="1094"/>
      <c r="P239" s="1094"/>
      <c r="Q239" s="1094"/>
      <c r="R239" s="1094"/>
      <c r="S239" s="1094"/>
      <c r="T239" s="1094"/>
      <c r="U239" s="1094"/>
      <c r="V239" s="1094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  <c r="AH239" s="56"/>
      <c r="AI239" s="56"/>
      <c r="AJ239" s="56"/>
      <c r="AK239" s="56"/>
      <c r="AL239" s="56"/>
      <c r="AM239" s="56"/>
      <c r="AN239" s="56"/>
      <c r="AO239" s="56"/>
      <c r="AP239" s="56"/>
      <c r="AQ239" s="56"/>
      <c r="AR239" s="56"/>
    </row>
    <row r="240" spans="4:44"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1094"/>
      <c r="O240" s="1094"/>
      <c r="P240" s="1094"/>
      <c r="Q240" s="1094"/>
      <c r="R240" s="1094"/>
      <c r="S240" s="1094"/>
      <c r="T240" s="1094"/>
      <c r="U240" s="1094"/>
      <c r="V240" s="1094"/>
      <c r="W240" s="56"/>
      <c r="X240" s="56"/>
      <c r="Y240" s="56"/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/>
      <c r="AO240" s="56"/>
      <c r="AP240" s="56"/>
      <c r="AQ240" s="56"/>
      <c r="AR240" s="56"/>
    </row>
    <row r="241" spans="4:44"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1094"/>
      <c r="O241" s="1094"/>
      <c r="P241" s="1094"/>
      <c r="Q241" s="1094"/>
      <c r="R241" s="1094"/>
      <c r="S241" s="1094"/>
      <c r="T241" s="1094"/>
      <c r="U241" s="1094"/>
      <c r="V241" s="1094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/>
      <c r="AO241" s="56"/>
      <c r="AP241" s="56"/>
      <c r="AQ241" s="56"/>
      <c r="AR241" s="56"/>
    </row>
    <row r="242" spans="4:44"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1094"/>
      <c r="O242" s="1094"/>
      <c r="P242" s="1094"/>
      <c r="Q242" s="1094"/>
      <c r="R242" s="1094"/>
      <c r="S242" s="1094"/>
      <c r="T242" s="1094"/>
      <c r="U242" s="1094"/>
      <c r="V242" s="1094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/>
      <c r="AO242" s="56"/>
      <c r="AP242" s="56"/>
      <c r="AQ242" s="56"/>
      <c r="AR242" s="56"/>
    </row>
    <row r="243" spans="4:44"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1094"/>
      <c r="O243" s="1094"/>
      <c r="P243" s="1094"/>
      <c r="Q243" s="1094"/>
      <c r="R243" s="1094"/>
      <c r="S243" s="1094"/>
      <c r="T243" s="1094"/>
      <c r="U243" s="1094"/>
      <c r="V243" s="1094"/>
      <c r="W243" s="56"/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6"/>
      <c r="AL243" s="56"/>
      <c r="AM243" s="56"/>
      <c r="AN243" s="56"/>
      <c r="AO243" s="56"/>
      <c r="AP243" s="56"/>
      <c r="AQ243" s="56"/>
      <c r="AR243" s="56"/>
    </row>
    <row r="244" spans="4:44"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1094"/>
      <c r="O244" s="1094"/>
      <c r="P244" s="1094"/>
      <c r="Q244" s="1094"/>
      <c r="R244" s="1094"/>
      <c r="S244" s="1094"/>
      <c r="T244" s="1094"/>
      <c r="U244" s="1094"/>
      <c r="V244" s="1094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56"/>
      <c r="AN244" s="56"/>
      <c r="AO244" s="56"/>
      <c r="AP244" s="56"/>
      <c r="AQ244" s="56"/>
      <c r="AR244" s="56"/>
    </row>
    <row r="245" spans="4:44"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1094"/>
      <c r="O245" s="1094"/>
      <c r="P245" s="1094"/>
      <c r="Q245" s="1094"/>
      <c r="R245" s="1094"/>
      <c r="S245" s="1094"/>
      <c r="T245" s="1094"/>
      <c r="U245" s="1094"/>
      <c r="V245" s="1094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56"/>
    </row>
    <row r="246" spans="4:44"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1094"/>
      <c r="O246" s="1094"/>
      <c r="P246" s="1094"/>
      <c r="Q246" s="1094"/>
      <c r="R246" s="1094"/>
      <c r="S246" s="1094"/>
      <c r="T246" s="1094"/>
      <c r="U246" s="1094"/>
      <c r="V246" s="1094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6"/>
      <c r="AR246" s="56"/>
    </row>
    <row r="247" spans="4:44"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1094"/>
      <c r="O247" s="1094"/>
      <c r="P247" s="1094"/>
      <c r="Q247" s="1094"/>
      <c r="R247" s="1094"/>
      <c r="S247" s="1094"/>
      <c r="T247" s="1094"/>
      <c r="U247" s="1094"/>
      <c r="V247" s="1094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56"/>
    </row>
    <row r="248" spans="4:44"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1094"/>
      <c r="O248" s="1094"/>
      <c r="P248" s="1094"/>
      <c r="Q248" s="1094"/>
      <c r="R248" s="1094"/>
      <c r="S248" s="1094"/>
      <c r="T248" s="1094"/>
      <c r="U248" s="1094"/>
      <c r="V248" s="1094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</row>
    <row r="249" spans="4:44"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1094"/>
      <c r="O249" s="1094"/>
      <c r="P249" s="1094"/>
      <c r="Q249" s="1094"/>
      <c r="R249" s="1094"/>
      <c r="S249" s="1094"/>
      <c r="T249" s="1094"/>
      <c r="U249" s="1094"/>
      <c r="V249" s="1094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56"/>
      <c r="AI249" s="56"/>
      <c r="AJ249" s="56"/>
      <c r="AK249" s="56"/>
      <c r="AL249" s="56"/>
      <c r="AM249" s="56"/>
      <c r="AN249" s="56"/>
      <c r="AO249" s="56"/>
      <c r="AP249" s="56"/>
      <c r="AQ249" s="56"/>
      <c r="AR249" s="56"/>
    </row>
    <row r="250" spans="4:44"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1094"/>
      <c r="O250" s="1094"/>
      <c r="P250" s="1094"/>
      <c r="Q250" s="1094"/>
      <c r="R250" s="1094"/>
      <c r="S250" s="1094"/>
      <c r="T250" s="1094"/>
      <c r="U250" s="1094"/>
      <c r="V250" s="1094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6"/>
      <c r="AR250" s="56"/>
    </row>
    <row r="251" spans="4:44"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1094"/>
      <c r="O251" s="1094"/>
      <c r="P251" s="1094"/>
      <c r="Q251" s="1094"/>
      <c r="R251" s="1094"/>
      <c r="S251" s="1094"/>
      <c r="T251" s="1094"/>
      <c r="U251" s="1094"/>
      <c r="V251" s="1094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56"/>
      <c r="AL251" s="56"/>
      <c r="AM251" s="56"/>
      <c r="AN251" s="56"/>
      <c r="AO251" s="56"/>
      <c r="AP251" s="56"/>
      <c r="AQ251" s="56"/>
      <c r="AR251" s="56"/>
    </row>
    <row r="252" spans="4:44"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1094"/>
      <c r="O252" s="1094"/>
      <c r="P252" s="1094"/>
      <c r="Q252" s="1094"/>
      <c r="R252" s="1094"/>
      <c r="S252" s="1094"/>
      <c r="T252" s="1094"/>
      <c r="U252" s="1094"/>
      <c r="V252" s="1094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56"/>
      <c r="AI252" s="56"/>
      <c r="AJ252" s="56"/>
      <c r="AK252" s="56"/>
      <c r="AL252" s="56"/>
      <c r="AM252" s="56"/>
      <c r="AN252" s="56"/>
      <c r="AO252" s="56"/>
      <c r="AP252" s="56"/>
      <c r="AQ252" s="56"/>
      <c r="AR252" s="56"/>
    </row>
    <row r="253" spans="4:44"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1094"/>
      <c r="O253" s="1094"/>
      <c r="P253" s="1094"/>
      <c r="Q253" s="1094"/>
      <c r="R253" s="1094"/>
      <c r="S253" s="1094"/>
      <c r="T253" s="1094"/>
      <c r="U253" s="1094"/>
      <c r="V253" s="1094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</row>
    <row r="254" spans="4:44"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1094"/>
      <c r="O254" s="1094"/>
      <c r="P254" s="1094"/>
      <c r="Q254" s="1094"/>
      <c r="R254" s="1094"/>
      <c r="S254" s="1094"/>
      <c r="T254" s="1094"/>
      <c r="U254" s="1094"/>
      <c r="V254" s="1094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</row>
    <row r="255" spans="4:44"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1094"/>
      <c r="O255" s="1094"/>
      <c r="P255" s="1094"/>
      <c r="Q255" s="1094"/>
      <c r="R255" s="1094"/>
      <c r="S255" s="1094"/>
      <c r="T255" s="1094"/>
      <c r="U255" s="1094"/>
      <c r="V255" s="1094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6"/>
      <c r="AN255" s="56"/>
      <c r="AO255" s="56"/>
      <c r="AP255" s="56"/>
      <c r="AQ255" s="56"/>
      <c r="AR255" s="56"/>
    </row>
    <row r="256" spans="4:44"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1094"/>
      <c r="O256" s="1094"/>
      <c r="P256" s="1094"/>
      <c r="Q256" s="1094"/>
      <c r="R256" s="1094"/>
      <c r="S256" s="1094"/>
      <c r="T256" s="1094"/>
      <c r="U256" s="1094"/>
      <c r="V256" s="1094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56"/>
      <c r="AP256" s="56"/>
      <c r="AQ256" s="56"/>
      <c r="AR256" s="56"/>
    </row>
    <row r="257" spans="4:44"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1094"/>
      <c r="O257" s="1094"/>
      <c r="P257" s="1094"/>
      <c r="Q257" s="1094"/>
      <c r="R257" s="1094"/>
      <c r="S257" s="1094"/>
      <c r="T257" s="1094"/>
      <c r="U257" s="1094"/>
      <c r="V257" s="1094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/>
      <c r="AN257" s="56"/>
      <c r="AO257" s="56"/>
      <c r="AP257" s="56"/>
      <c r="AQ257" s="56"/>
      <c r="AR257" s="56"/>
    </row>
    <row r="258" spans="4:44"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1094"/>
      <c r="O258" s="1094"/>
      <c r="P258" s="1094"/>
      <c r="Q258" s="1094"/>
      <c r="R258" s="1094"/>
      <c r="S258" s="1094"/>
      <c r="T258" s="1094"/>
      <c r="U258" s="1094"/>
      <c r="V258" s="1094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</row>
    <row r="259" spans="4:44"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1094"/>
      <c r="O259" s="1094"/>
      <c r="P259" s="1094"/>
      <c r="Q259" s="1094"/>
      <c r="R259" s="1094"/>
      <c r="S259" s="1094"/>
      <c r="T259" s="1094"/>
      <c r="U259" s="1094"/>
      <c r="V259" s="1094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</row>
    <row r="260" spans="4:44"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1094"/>
      <c r="O260" s="1094"/>
      <c r="P260" s="1094"/>
      <c r="Q260" s="1094"/>
      <c r="R260" s="1094"/>
      <c r="S260" s="1094"/>
      <c r="T260" s="1094"/>
      <c r="U260" s="1094"/>
      <c r="V260" s="1094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/>
      <c r="AP260" s="56"/>
      <c r="AQ260" s="56"/>
      <c r="AR260" s="56"/>
    </row>
    <row r="261" spans="4:44"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1094"/>
      <c r="O261" s="1094"/>
      <c r="P261" s="1094"/>
      <c r="Q261" s="1094"/>
      <c r="R261" s="1094"/>
      <c r="S261" s="1094"/>
      <c r="T261" s="1094"/>
      <c r="U261" s="1094"/>
      <c r="V261" s="1094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</row>
    <row r="262" spans="4:44"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1094"/>
      <c r="O262" s="1094"/>
      <c r="P262" s="1094"/>
      <c r="Q262" s="1094"/>
      <c r="R262" s="1094"/>
      <c r="S262" s="1094"/>
      <c r="T262" s="1094"/>
      <c r="U262" s="1094"/>
      <c r="V262" s="1094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</row>
    <row r="263" spans="4:44"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1094"/>
      <c r="O263" s="1094"/>
      <c r="P263" s="1094"/>
      <c r="Q263" s="1094"/>
      <c r="R263" s="1094"/>
      <c r="S263" s="1094"/>
      <c r="T263" s="1094"/>
      <c r="U263" s="1094"/>
      <c r="V263" s="1094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</row>
    <row r="264" spans="4:44"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1094"/>
      <c r="O264" s="1094"/>
      <c r="P264" s="1094"/>
      <c r="Q264" s="1094"/>
      <c r="R264" s="1094"/>
      <c r="S264" s="1094"/>
      <c r="T264" s="1094"/>
      <c r="U264" s="1094"/>
      <c r="V264" s="1094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</row>
    <row r="265" spans="4:44"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1094"/>
      <c r="O265" s="1094"/>
      <c r="P265" s="1094"/>
      <c r="Q265" s="1094"/>
      <c r="R265" s="1094"/>
      <c r="S265" s="1094"/>
      <c r="T265" s="1094"/>
      <c r="U265" s="1094"/>
      <c r="V265" s="1094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56"/>
    </row>
    <row r="266" spans="4:44"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1094"/>
      <c r="O266" s="1094"/>
      <c r="P266" s="1094"/>
      <c r="Q266" s="1094"/>
      <c r="R266" s="1094"/>
      <c r="S266" s="1094"/>
      <c r="T266" s="1094"/>
      <c r="U266" s="1094"/>
      <c r="V266" s="1094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</row>
    <row r="267" spans="4:44"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1094"/>
      <c r="O267" s="1094"/>
      <c r="P267" s="1094"/>
      <c r="Q267" s="1094"/>
      <c r="R267" s="1094"/>
      <c r="S267" s="1094"/>
      <c r="T267" s="1094"/>
      <c r="U267" s="1094"/>
      <c r="V267" s="1094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6"/>
      <c r="AR267" s="56"/>
    </row>
    <row r="268" spans="4:44"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1094"/>
      <c r="O268" s="1094"/>
      <c r="P268" s="1094"/>
      <c r="Q268" s="1094"/>
      <c r="R268" s="1094"/>
      <c r="S268" s="1094"/>
      <c r="T268" s="1094"/>
      <c r="U268" s="1094"/>
      <c r="V268" s="1094"/>
      <c r="W268" s="56"/>
      <c r="X268" s="56"/>
      <c r="Y268" s="56"/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  <c r="AQ268" s="56"/>
      <c r="AR268" s="56"/>
    </row>
    <row r="269" spans="4:44"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1094"/>
      <c r="O269" s="1094"/>
      <c r="P269" s="1094"/>
      <c r="Q269" s="1094"/>
      <c r="R269" s="1094"/>
      <c r="S269" s="1094"/>
      <c r="T269" s="1094"/>
      <c r="U269" s="1094"/>
      <c r="V269" s="1094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/>
      <c r="AQ269" s="56"/>
      <c r="AR269" s="56"/>
    </row>
    <row r="270" spans="4:44"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1094"/>
      <c r="O270" s="1094"/>
      <c r="P270" s="1094"/>
      <c r="Q270" s="1094"/>
      <c r="R270" s="1094"/>
      <c r="S270" s="1094"/>
      <c r="T270" s="1094"/>
      <c r="U270" s="1094"/>
      <c r="V270" s="1094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  <c r="AQ270" s="56"/>
      <c r="AR270" s="56"/>
    </row>
    <row r="271" spans="4:44"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1094"/>
      <c r="O271" s="1094"/>
      <c r="P271" s="1094"/>
      <c r="Q271" s="1094"/>
      <c r="R271" s="1094"/>
      <c r="S271" s="1094"/>
      <c r="T271" s="1094"/>
      <c r="U271" s="1094"/>
      <c r="V271" s="1094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6"/>
      <c r="AR271" s="56"/>
    </row>
    <row r="272" spans="4:44"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1094"/>
      <c r="O272" s="1094"/>
      <c r="P272" s="1094"/>
      <c r="Q272" s="1094"/>
      <c r="R272" s="1094"/>
      <c r="S272" s="1094"/>
      <c r="T272" s="1094"/>
      <c r="U272" s="1094"/>
      <c r="V272" s="1094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6"/>
      <c r="AR272" s="56"/>
    </row>
    <row r="273" spans="4:44"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1094"/>
      <c r="O273" s="1094"/>
      <c r="P273" s="1094"/>
      <c r="Q273" s="1094"/>
      <c r="R273" s="1094"/>
      <c r="S273" s="1094"/>
      <c r="T273" s="1094"/>
      <c r="U273" s="1094"/>
      <c r="V273" s="1094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6"/>
      <c r="AR273" s="56"/>
    </row>
    <row r="274" spans="4:44"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1094"/>
      <c r="O274" s="1094"/>
      <c r="P274" s="1094"/>
      <c r="Q274" s="1094"/>
      <c r="R274" s="1094"/>
      <c r="S274" s="1094"/>
      <c r="T274" s="1094"/>
      <c r="U274" s="1094"/>
      <c r="V274" s="1094"/>
      <c r="W274" s="56"/>
      <c r="X274" s="56"/>
      <c r="Y274" s="56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6"/>
      <c r="AR274" s="56"/>
    </row>
    <row r="275" spans="4:44"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1094"/>
      <c r="O275" s="1094"/>
      <c r="P275" s="1094"/>
      <c r="Q275" s="1094"/>
      <c r="R275" s="1094"/>
      <c r="S275" s="1094"/>
      <c r="T275" s="1094"/>
      <c r="U275" s="1094"/>
      <c r="V275" s="1094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</row>
    <row r="276" spans="4:44"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1094"/>
      <c r="O276" s="1094"/>
      <c r="P276" s="1094"/>
      <c r="Q276" s="1094"/>
      <c r="R276" s="1094"/>
      <c r="S276" s="1094"/>
      <c r="T276" s="1094"/>
      <c r="U276" s="1094"/>
      <c r="V276" s="1094"/>
      <c r="W276" s="56"/>
      <c r="X276" s="56"/>
      <c r="Y276" s="56"/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/>
      <c r="AN276" s="56"/>
      <c r="AO276" s="56"/>
      <c r="AP276" s="56"/>
      <c r="AQ276" s="56"/>
      <c r="AR276" s="56"/>
    </row>
    <row r="277" spans="4:44"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1094"/>
      <c r="O277" s="1094"/>
      <c r="P277" s="1094"/>
      <c r="Q277" s="1094"/>
      <c r="R277" s="1094"/>
      <c r="S277" s="1094"/>
      <c r="T277" s="1094"/>
      <c r="U277" s="1094"/>
      <c r="V277" s="1094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6"/>
      <c r="AR277" s="56"/>
    </row>
    <row r="278" spans="4:44"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1094"/>
      <c r="O278" s="1094"/>
      <c r="P278" s="1094"/>
      <c r="Q278" s="1094"/>
      <c r="R278" s="1094"/>
      <c r="S278" s="1094"/>
      <c r="T278" s="1094"/>
      <c r="U278" s="1094"/>
      <c r="V278" s="1094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/>
      <c r="AQ278" s="56"/>
      <c r="AR278" s="56"/>
    </row>
    <row r="279" spans="4:44"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1094"/>
      <c r="O279" s="1094"/>
      <c r="P279" s="1094"/>
      <c r="Q279" s="1094"/>
      <c r="R279" s="1094"/>
      <c r="S279" s="1094"/>
      <c r="T279" s="1094"/>
      <c r="U279" s="1094"/>
      <c r="V279" s="1094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6"/>
      <c r="AR279" s="56"/>
    </row>
    <row r="280" spans="4:44"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1094"/>
      <c r="O280" s="1094"/>
      <c r="P280" s="1094"/>
      <c r="Q280" s="1094"/>
      <c r="R280" s="1094"/>
      <c r="S280" s="1094"/>
      <c r="T280" s="1094"/>
      <c r="U280" s="1094"/>
      <c r="V280" s="1094"/>
      <c r="W280" s="56"/>
      <c r="X280" s="56"/>
      <c r="Y280" s="56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/>
      <c r="AP280" s="56"/>
      <c r="AQ280" s="56"/>
      <c r="AR280" s="56"/>
    </row>
    <row r="281" spans="4:44"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1094"/>
      <c r="O281" s="1094"/>
      <c r="P281" s="1094"/>
      <c r="Q281" s="1094"/>
      <c r="R281" s="1094"/>
      <c r="S281" s="1094"/>
      <c r="T281" s="1094"/>
      <c r="U281" s="1094"/>
      <c r="V281" s="1094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6"/>
      <c r="AR281" s="56"/>
    </row>
    <row r="282" spans="4:44"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1094"/>
      <c r="O282" s="1094"/>
      <c r="P282" s="1094"/>
      <c r="Q282" s="1094"/>
      <c r="R282" s="1094"/>
      <c r="S282" s="1094"/>
      <c r="T282" s="1094"/>
      <c r="U282" s="1094"/>
      <c r="V282" s="1094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</row>
    <row r="283" spans="4:44"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1094"/>
      <c r="O283" s="1094"/>
      <c r="P283" s="1094"/>
      <c r="Q283" s="1094"/>
      <c r="R283" s="1094"/>
      <c r="S283" s="1094"/>
      <c r="T283" s="1094"/>
      <c r="U283" s="1094"/>
      <c r="V283" s="1094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/>
      <c r="AO283" s="56"/>
      <c r="AP283" s="56"/>
      <c r="AQ283" s="56"/>
      <c r="AR283" s="56"/>
    </row>
    <row r="284" spans="4:44"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1094"/>
      <c r="O284" s="1094"/>
      <c r="P284" s="1094"/>
      <c r="Q284" s="1094"/>
      <c r="R284" s="1094"/>
      <c r="S284" s="1094"/>
      <c r="T284" s="1094"/>
      <c r="U284" s="1094"/>
      <c r="V284" s="1094"/>
      <c r="W284" s="56"/>
      <c r="X284" s="56"/>
      <c r="Y284" s="56"/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6"/>
      <c r="AN284" s="56"/>
      <c r="AO284" s="56"/>
      <c r="AP284" s="56"/>
      <c r="AQ284" s="56"/>
      <c r="AR284" s="56"/>
    </row>
    <row r="285" spans="4:44"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1094"/>
      <c r="O285" s="1094"/>
      <c r="P285" s="1094"/>
      <c r="Q285" s="1094"/>
      <c r="R285" s="1094"/>
      <c r="S285" s="1094"/>
      <c r="T285" s="1094"/>
      <c r="U285" s="1094"/>
      <c r="V285" s="1094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6"/>
      <c r="AR285" s="56"/>
    </row>
    <row r="286" spans="4:44"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1094"/>
      <c r="O286" s="1094"/>
      <c r="P286" s="1094"/>
      <c r="Q286" s="1094"/>
      <c r="R286" s="1094"/>
      <c r="S286" s="1094"/>
      <c r="T286" s="1094"/>
      <c r="U286" s="1094"/>
      <c r="V286" s="1094"/>
      <c r="W286" s="56"/>
      <c r="X286" s="56"/>
      <c r="Y286" s="56"/>
      <c r="Z286" s="56"/>
      <c r="AA286" s="56"/>
      <c r="AB286" s="56"/>
      <c r="AC286" s="56"/>
      <c r="AD286" s="56"/>
      <c r="AE286" s="56"/>
      <c r="AF286" s="56"/>
      <c r="AG286" s="56"/>
      <c r="AH286" s="56"/>
      <c r="AI286" s="56"/>
      <c r="AJ286" s="56"/>
      <c r="AK286" s="56"/>
      <c r="AL286" s="56"/>
      <c r="AM286" s="56"/>
      <c r="AN286" s="56"/>
      <c r="AO286" s="56"/>
      <c r="AP286" s="56"/>
      <c r="AQ286" s="56"/>
      <c r="AR286" s="56"/>
    </row>
    <row r="287" spans="4:44"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1094"/>
      <c r="O287" s="1094"/>
      <c r="P287" s="1094"/>
      <c r="Q287" s="1094"/>
      <c r="R287" s="1094"/>
      <c r="S287" s="1094"/>
      <c r="T287" s="1094"/>
      <c r="U287" s="1094"/>
      <c r="V287" s="1094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6"/>
      <c r="AR287" s="56"/>
    </row>
    <row r="288" spans="4:44"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1094"/>
      <c r="O288" s="1094"/>
      <c r="P288" s="1094"/>
      <c r="Q288" s="1094"/>
      <c r="R288" s="1094"/>
      <c r="S288" s="1094"/>
      <c r="T288" s="1094"/>
      <c r="U288" s="1094"/>
      <c r="V288" s="1094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/>
      <c r="AK288" s="56"/>
      <c r="AL288" s="56"/>
      <c r="AM288" s="56"/>
      <c r="AN288" s="56"/>
      <c r="AO288" s="56"/>
      <c r="AP288" s="56"/>
      <c r="AQ288" s="56"/>
      <c r="AR288" s="56"/>
    </row>
    <row r="289" spans="4:44"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1094"/>
      <c r="O289" s="1094"/>
      <c r="P289" s="1094"/>
      <c r="Q289" s="1094"/>
      <c r="R289" s="1094"/>
      <c r="S289" s="1094"/>
      <c r="T289" s="1094"/>
      <c r="U289" s="1094"/>
      <c r="V289" s="1094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6"/>
      <c r="AR289" s="56"/>
    </row>
    <row r="290" spans="4:44"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1094"/>
      <c r="O290" s="1094"/>
      <c r="P290" s="1094"/>
      <c r="Q290" s="1094"/>
      <c r="R290" s="1094"/>
      <c r="S290" s="1094"/>
      <c r="T290" s="1094"/>
      <c r="U290" s="1094"/>
      <c r="V290" s="1094"/>
      <c r="W290" s="56"/>
      <c r="X290" s="56"/>
      <c r="Y290" s="56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6"/>
      <c r="AR290" s="56"/>
    </row>
    <row r="291" spans="4:44"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1094"/>
      <c r="O291" s="1094"/>
      <c r="P291" s="1094"/>
      <c r="Q291" s="1094"/>
      <c r="R291" s="1094"/>
      <c r="S291" s="1094"/>
      <c r="T291" s="1094"/>
      <c r="U291" s="1094"/>
      <c r="V291" s="1094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6"/>
      <c r="AR291" s="56"/>
    </row>
    <row r="292" spans="4:44"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1094"/>
      <c r="O292" s="1094"/>
      <c r="P292" s="1094"/>
      <c r="Q292" s="1094"/>
      <c r="R292" s="1094"/>
      <c r="S292" s="1094"/>
      <c r="T292" s="1094"/>
      <c r="U292" s="1094"/>
      <c r="V292" s="1094"/>
      <c r="W292" s="56"/>
      <c r="X292" s="56"/>
      <c r="Y292" s="56"/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  <c r="AQ292" s="56"/>
      <c r="AR292" s="56"/>
    </row>
    <row r="293" spans="4:44"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1094"/>
      <c r="O293" s="1094"/>
      <c r="P293" s="1094"/>
      <c r="Q293" s="1094"/>
      <c r="R293" s="1094"/>
      <c r="S293" s="1094"/>
      <c r="T293" s="1094"/>
      <c r="U293" s="1094"/>
      <c r="V293" s="1094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  <c r="AQ293" s="56"/>
      <c r="AR293" s="56"/>
    </row>
    <row r="294" spans="4:44"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1094"/>
      <c r="O294" s="1094"/>
      <c r="P294" s="1094"/>
      <c r="Q294" s="1094"/>
      <c r="R294" s="1094"/>
      <c r="S294" s="1094"/>
      <c r="T294" s="1094"/>
      <c r="U294" s="1094"/>
      <c r="V294" s="1094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</row>
    <row r="295" spans="4:44"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1094"/>
      <c r="O295" s="1094"/>
      <c r="P295" s="1094"/>
      <c r="Q295" s="1094"/>
      <c r="R295" s="1094"/>
      <c r="S295" s="1094"/>
      <c r="T295" s="1094"/>
      <c r="U295" s="1094"/>
      <c r="V295" s="1094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/>
      <c r="AK295" s="56"/>
      <c r="AL295" s="56"/>
      <c r="AM295" s="56"/>
      <c r="AN295" s="56"/>
      <c r="AO295" s="56"/>
      <c r="AP295" s="56"/>
      <c r="AQ295" s="56"/>
      <c r="AR295" s="56"/>
    </row>
    <row r="296" spans="4:44"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1094"/>
      <c r="O296" s="1094"/>
      <c r="P296" s="1094"/>
      <c r="Q296" s="1094"/>
      <c r="R296" s="1094"/>
      <c r="S296" s="1094"/>
      <c r="T296" s="1094"/>
      <c r="U296" s="1094"/>
      <c r="V296" s="1094"/>
      <c r="W296" s="56"/>
      <c r="X296" s="56"/>
      <c r="Y296" s="56"/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/>
      <c r="AK296" s="56"/>
      <c r="AL296" s="56"/>
      <c r="AM296" s="56"/>
      <c r="AN296" s="56"/>
      <c r="AO296" s="56"/>
      <c r="AP296" s="56"/>
      <c r="AQ296" s="56"/>
      <c r="AR296" s="56"/>
    </row>
    <row r="297" spans="4:44"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1094"/>
      <c r="O297" s="1094"/>
      <c r="P297" s="1094"/>
      <c r="Q297" s="1094"/>
      <c r="R297" s="1094"/>
      <c r="S297" s="1094"/>
      <c r="T297" s="1094"/>
      <c r="U297" s="1094"/>
      <c r="V297" s="1094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56"/>
      <c r="AI297" s="56"/>
      <c r="AJ297" s="56"/>
      <c r="AK297" s="56"/>
      <c r="AL297" s="56"/>
      <c r="AM297" s="56"/>
      <c r="AN297" s="56"/>
      <c r="AO297" s="56"/>
      <c r="AP297" s="56"/>
      <c r="AQ297" s="56"/>
      <c r="AR297" s="56"/>
    </row>
    <row r="298" spans="4:44"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1094"/>
      <c r="O298" s="1094"/>
      <c r="P298" s="1094"/>
      <c r="Q298" s="1094"/>
      <c r="R298" s="1094"/>
      <c r="S298" s="1094"/>
      <c r="T298" s="1094"/>
      <c r="U298" s="1094"/>
      <c r="V298" s="1094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  <c r="AK298" s="56"/>
      <c r="AL298" s="56"/>
      <c r="AM298" s="56"/>
      <c r="AN298" s="56"/>
      <c r="AO298" s="56"/>
      <c r="AP298" s="56"/>
      <c r="AQ298" s="56"/>
      <c r="AR298" s="56"/>
    </row>
    <row r="299" spans="4:44"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1094"/>
      <c r="O299" s="1094"/>
      <c r="P299" s="1094"/>
      <c r="Q299" s="1094"/>
      <c r="R299" s="1094"/>
      <c r="S299" s="1094"/>
      <c r="T299" s="1094"/>
      <c r="U299" s="1094"/>
      <c r="V299" s="1094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6"/>
      <c r="AR299" s="56"/>
    </row>
    <row r="300" spans="4:44"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1094"/>
      <c r="O300" s="1094"/>
      <c r="P300" s="1094"/>
      <c r="Q300" s="1094"/>
      <c r="R300" s="1094"/>
      <c r="S300" s="1094"/>
      <c r="T300" s="1094"/>
      <c r="U300" s="1094"/>
      <c r="V300" s="1094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  <c r="AK300" s="56"/>
      <c r="AL300" s="56"/>
      <c r="AM300" s="56"/>
      <c r="AN300" s="56"/>
      <c r="AO300" s="56"/>
      <c r="AP300" s="56"/>
      <c r="AQ300" s="56"/>
      <c r="AR300" s="56"/>
    </row>
    <row r="301" spans="4:44"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1094"/>
      <c r="O301" s="1094"/>
      <c r="P301" s="1094"/>
      <c r="Q301" s="1094"/>
      <c r="R301" s="1094"/>
      <c r="S301" s="1094"/>
      <c r="T301" s="1094"/>
      <c r="U301" s="1094"/>
      <c r="V301" s="1094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56"/>
      <c r="AI301" s="56"/>
      <c r="AJ301" s="56"/>
      <c r="AK301" s="56"/>
      <c r="AL301" s="56"/>
      <c r="AM301" s="56"/>
      <c r="AN301" s="56"/>
      <c r="AO301" s="56"/>
      <c r="AP301" s="56"/>
      <c r="AQ301" s="56"/>
      <c r="AR301" s="56"/>
    </row>
    <row r="302" spans="4:44"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1094"/>
      <c r="O302" s="1094"/>
      <c r="P302" s="1094"/>
      <c r="Q302" s="1094"/>
      <c r="R302" s="1094"/>
      <c r="S302" s="1094"/>
      <c r="T302" s="1094"/>
      <c r="U302" s="1094"/>
      <c r="V302" s="1094"/>
      <c r="W302" s="56"/>
      <c r="X302" s="56"/>
      <c r="Y302" s="56"/>
      <c r="Z302" s="56"/>
      <c r="AA302" s="56"/>
      <c r="AB302" s="56"/>
      <c r="AC302" s="56"/>
      <c r="AD302" s="56"/>
      <c r="AE302" s="56"/>
      <c r="AF302" s="56"/>
      <c r="AG302" s="56"/>
      <c r="AH302" s="56"/>
      <c r="AI302" s="56"/>
      <c r="AJ302" s="56"/>
      <c r="AK302" s="56"/>
      <c r="AL302" s="56"/>
      <c r="AM302" s="56"/>
      <c r="AN302" s="56"/>
      <c r="AO302" s="56"/>
      <c r="AP302" s="56"/>
      <c r="AQ302" s="56"/>
      <c r="AR302" s="56"/>
    </row>
    <row r="303" spans="4:44"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1094"/>
      <c r="O303" s="1094"/>
      <c r="P303" s="1094"/>
      <c r="Q303" s="1094"/>
      <c r="R303" s="1094"/>
      <c r="S303" s="1094"/>
      <c r="T303" s="1094"/>
      <c r="U303" s="1094"/>
      <c r="V303" s="1094"/>
      <c r="W303" s="56"/>
      <c r="X303" s="56"/>
      <c r="Y303" s="56"/>
      <c r="Z303" s="56"/>
      <c r="AA303" s="56"/>
      <c r="AB303" s="56"/>
      <c r="AC303" s="56"/>
      <c r="AD303" s="56"/>
      <c r="AE303" s="56"/>
      <c r="AF303" s="56"/>
      <c r="AG303" s="56"/>
      <c r="AH303" s="56"/>
      <c r="AI303" s="56"/>
      <c r="AJ303" s="56"/>
      <c r="AK303" s="56"/>
      <c r="AL303" s="56"/>
      <c r="AM303" s="56"/>
      <c r="AN303" s="56"/>
      <c r="AO303" s="56"/>
      <c r="AP303" s="56"/>
      <c r="AQ303" s="56"/>
      <c r="AR303" s="56"/>
    </row>
    <row r="304" spans="4:44"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1094"/>
      <c r="O304" s="1094"/>
      <c r="P304" s="1094"/>
      <c r="Q304" s="1094"/>
      <c r="R304" s="1094"/>
      <c r="S304" s="1094"/>
      <c r="T304" s="1094"/>
      <c r="U304" s="1094"/>
      <c r="V304" s="1094"/>
      <c r="W304" s="56"/>
      <c r="X304" s="56"/>
      <c r="Y304" s="56"/>
      <c r="Z304" s="56"/>
      <c r="AA304" s="56"/>
      <c r="AB304" s="56"/>
      <c r="AC304" s="56"/>
      <c r="AD304" s="56"/>
      <c r="AE304" s="56"/>
      <c r="AF304" s="56"/>
      <c r="AG304" s="56"/>
      <c r="AH304" s="56"/>
      <c r="AI304" s="56"/>
      <c r="AJ304" s="56"/>
      <c r="AK304" s="56"/>
      <c r="AL304" s="56"/>
      <c r="AM304" s="56"/>
      <c r="AN304" s="56"/>
      <c r="AO304" s="56"/>
      <c r="AP304" s="56"/>
      <c r="AQ304" s="56"/>
      <c r="AR304" s="56"/>
    </row>
    <row r="305" spans="4:44"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1094"/>
      <c r="O305" s="1094"/>
      <c r="P305" s="1094"/>
      <c r="Q305" s="1094"/>
      <c r="R305" s="1094"/>
      <c r="S305" s="1094"/>
      <c r="T305" s="1094"/>
      <c r="U305" s="1094"/>
      <c r="V305" s="1094"/>
      <c r="W305" s="56"/>
      <c r="X305" s="56"/>
      <c r="Y305" s="56"/>
      <c r="Z305" s="56"/>
      <c r="AA305" s="56"/>
      <c r="AB305" s="56"/>
      <c r="AC305" s="56"/>
      <c r="AD305" s="56"/>
      <c r="AE305" s="56"/>
      <c r="AF305" s="56"/>
      <c r="AG305" s="56"/>
      <c r="AH305" s="56"/>
      <c r="AI305" s="56"/>
      <c r="AJ305" s="56"/>
      <c r="AK305" s="56"/>
      <c r="AL305" s="56"/>
      <c r="AM305" s="56"/>
      <c r="AN305" s="56"/>
      <c r="AO305" s="56"/>
      <c r="AP305" s="56"/>
      <c r="AQ305" s="56"/>
      <c r="AR305" s="56"/>
    </row>
    <row r="306" spans="4:44"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1094"/>
      <c r="O306" s="1094"/>
      <c r="P306" s="1094"/>
      <c r="Q306" s="1094"/>
      <c r="R306" s="1094"/>
      <c r="S306" s="1094"/>
      <c r="T306" s="1094"/>
      <c r="U306" s="1094"/>
      <c r="V306" s="1094"/>
      <c r="W306" s="56"/>
      <c r="X306" s="56"/>
      <c r="Y306" s="56"/>
      <c r="Z306" s="56"/>
      <c r="AA306" s="56"/>
      <c r="AB306" s="56"/>
      <c r="AC306" s="56"/>
      <c r="AD306" s="56"/>
      <c r="AE306" s="56"/>
      <c r="AF306" s="56"/>
      <c r="AG306" s="56"/>
      <c r="AH306" s="56"/>
      <c r="AI306" s="56"/>
      <c r="AJ306" s="56"/>
      <c r="AK306" s="56"/>
      <c r="AL306" s="56"/>
      <c r="AM306" s="56"/>
      <c r="AN306" s="56"/>
      <c r="AO306" s="56"/>
      <c r="AP306" s="56"/>
      <c r="AQ306" s="56"/>
      <c r="AR306" s="56"/>
    </row>
    <row r="307" spans="4:44"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1094"/>
      <c r="O307" s="1094"/>
      <c r="P307" s="1094"/>
      <c r="Q307" s="1094"/>
      <c r="R307" s="1094"/>
      <c r="S307" s="1094"/>
      <c r="T307" s="1094"/>
      <c r="U307" s="1094"/>
      <c r="V307" s="1094"/>
      <c r="W307" s="56"/>
      <c r="X307" s="56"/>
      <c r="Y307" s="56"/>
      <c r="Z307" s="56"/>
      <c r="AA307" s="56"/>
      <c r="AB307" s="56"/>
      <c r="AC307" s="56"/>
      <c r="AD307" s="56"/>
      <c r="AE307" s="56"/>
      <c r="AF307" s="56"/>
      <c r="AG307" s="56"/>
      <c r="AH307" s="56"/>
      <c r="AI307" s="56"/>
      <c r="AJ307" s="56"/>
      <c r="AK307" s="56"/>
      <c r="AL307" s="56"/>
      <c r="AM307" s="56"/>
      <c r="AN307" s="56"/>
      <c r="AO307" s="56"/>
      <c r="AP307" s="56"/>
      <c r="AQ307" s="56"/>
      <c r="AR307" s="56"/>
    </row>
    <row r="308" spans="4:44"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1094"/>
      <c r="O308" s="1094"/>
      <c r="P308" s="1094"/>
      <c r="Q308" s="1094"/>
      <c r="R308" s="1094"/>
      <c r="S308" s="1094"/>
      <c r="T308" s="1094"/>
      <c r="U308" s="1094"/>
      <c r="V308" s="1094"/>
      <c r="W308" s="56"/>
      <c r="X308" s="56"/>
      <c r="Y308" s="56"/>
      <c r="Z308" s="56"/>
      <c r="AA308" s="56"/>
      <c r="AB308" s="56"/>
      <c r="AC308" s="56"/>
      <c r="AD308" s="56"/>
      <c r="AE308" s="56"/>
      <c r="AF308" s="56"/>
      <c r="AG308" s="56"/>
      <c r="AH308" s="56"/>
      <c r="AI308" s="56"/>
      <c r="AJ308" s="56"/>
      <c r="AK308" s="56"/>
      <c r="AL308" s="56"/>
      <c r="AM308" s="56"/>
      <c r="AN308" s="56"/>
      <c r="AO308" s="56"/>
      <c r="AP308" s="56"/>
      <c r="AQ308" s="56"/>
      <c r="AR308" s="56"/>
    </row>
    <row r="309" spans="4:44"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1094"/>
      <c r="O309" s="1094"/>
      <c r="P309" s="1094"/>
      <c r="Q309" s="1094"/>
      <c r="R309" s="1094"/>
      <c r="S309" s="1094"/>
      <c r="T309" s="1094"/>
      <c r="U309" s="1094"/>
      <c r="V309" s="1094"/>
      <c r="W309" s="56"/>
      <c r="X309" s="56"/>
      <c r="Y309" s="56"/>
      <c r="Z309" s="56"/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</row>
    <row r="310" spans="4:44"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1094"/>
      <c r="O310" s="1094"/>
      <c r="P310" s="1094"/>
      <c r="Q310" s="1094"/>
      <c r="R310" s="1094"/>
      <c r="S310" s="1094"/>
      <c r="T310" s="1094"/>
      <c r="U310" s="1094"/>
      <c r="V310" s="1094"/>
      <c r="W310" s="56"/>
      <c r="X310" s="56"/>
      <c r="Y310" s="56"/>
      <c r="Z310" s="56"/>
      <c r="AA310" s="56"/>
      <c r="AB310" s="56"/>
      <c r="AC310" s="56"/>
      <c r="AD310" s="56"/>
      <c r="AE310" s="56"/>
      <c r="AF310" s="56"/>
      <c r="AG310" s="56"/>
      <c r="AH310" s="56"/>
      <c r="AI310" s="56"/>
      <c r="AJ310" s="56"/>
      <c r="AK310" s="56"/>
      <c r="AL310" s="56"/>
      <c r="AM310" s="56"/>
      <c r="AN310" s="56"/>
      <c r="AO310" s="56"/>
      <c r="AP310" s="56"/>
      <c r="AQ310" s="56"/>
      <c r="AR310" s="56"/>
    </row>
    <row r="311" spans="4:44"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1094"/>
      <c r="O311" s="1094"/>
      <c r="P311" s="1094"/>
      <c r="Q311" s="1094"/>
      <c r="R311" s="1094"/>
      <c r="S311" s="1094"/>
      <c r="T311" s="1094"/>
      <c r="U311" s="1094"/>
      <c r="V311" s="1094"/>
      <c r="W311" s="56"/>
      <c r="X311" s="56"/>
      <c r="Y311" s="56"/>
      <c r="Z311" s="56"/>
      <c r="AA311" s="56"/>
      <c r="AB311" s="56"/>
      <c r="AC311" s="56"/>
      <c r="AD311" s="56"/>
      <c r="AE311" s="56"/>
      <c r="AF311" s="56"/>
      <c r="AG311" s="56"/>
      <c r="AH311" s="56"/>
      <c r="AI311" s="56"/>
      <c r="AJ311" s="56"/>
      <c r="AK311" s="56"/>
      <c r="AL311" s="56"/>
      <c r="AM311" s="56"/>
      <c r="AN311" s="56"/>
      <c r="AO311" s="56"/>
      <c r="AP311" s="56"/>
      <c r="AQ311" s="56"/>
      <c r="AR311" s="56"/>
    </row>
    <row r="312" spans="4:44"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1094"/>
      <c r="O312" s="1094"/>
      <c r="P312" s="1094"/>
      <c r="Q312" s="1094"/>
      <c r="R312" s="1094"/>
      <c r="S312" s="1094"/>
      <c r="T312" s="1094"/>
      <c r="U312" s="1094"/>
      <c r="V312" s="1094"/>
      <c r="W312" s="56"/>
      <c r="X312" s="56"/>
      <c r="Y312" s="56"/>
      <c r="Z312" s="56"/>
      <c r="AA312" s="56"/>
      <c r="AB312" s="56"/>
      <c r="AC312" s="56"/>
      <c r="AD312" s="56"/>
      <c r="AE312" s="56"/>
      <c r="AF312" s="56"/>
      <c r="AG312" s="56"/>
      <c r="AH312" s="56"/>
      <c r="AI312" s="56"/>
      <c r="AJ312" s="56"/>
      <c r="AK312" s="56"/>
      <c r="AL312" s="56"/>
      <c r="AM312" s="56"/>
      <c r="AN312" s="56"/>
      <c r="AO312" s="56"/>
      <c r="AP312" s="56"/>
      <c r="AQ312" s="56"/>
      <c r="AR312" s="56"/>
    </row>
    <row r="313" spans="4:44"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1094"/>
      <c r="O313" s="1094"/>
      <c r="P313" s="1094"/>
      <c r="Q313" s="1094"/>
      <c r="R313" s="1094"/>
      <c r="S313" s="1094"/>
      <c r="T313" s="1094"/>
      <c r="U313" s="1094"/>
      <c r="V313" s="1094"/>
      <c r="W313" s="56"/>
      <c r="X313" s="56"/>
      <c r="Y313" s="56"/>
      <c r="Z313" s="56"/>
      <c r="AA313" s="56"/>
      <c r="AB313" s="56"/>
      <c r="AC313" s="56"/>
      <c r="AD313" s="56"/>
      <c r="AE313" s="56"/>
      <c r="AF313" s="56"/>
      <c r="AG313" s="56"/>
      <c r="AH313" s="56"/>
      <c r="AI313" s="56"/>
      <c r="AJ313" s="56"/>
      <c r="AK313" s="56"/>
      <c r="AL313" s="56"/>
      <c r="AM313" s="56"/>
      <c r="AN313" s="56"/>
      <c r="AO313" s="56"/>
      <c r="AP313" s="56"/>
      <c r="AQ313" s="56"/>
      <c r="AR313" s="56"/>
    </row>
    <row r="314" spans="4:44"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1094"/>
      <c r="O314" s="1094"/>
      <c r="P314" s="1094"/>
      <c r="Q314" s="1094"/>
      <c r="R314" s="1094"/>
      <c r="S314" s="1094"/>
      <c r="T314" s="1094"/>
      <c r="U314" s="1094"/>
      <c r="V314" s="1094"/>
      <c r="W314" s="56"/>
      <c r="X314" s="56"/>
      <c r="Y314" s="56"/>
      <c r="Z314" s="56"/>
      <c r="AA314" s="56"/>
      <c r="AB314" s="56"/>
      <c r="AC314" s="56"/>
      <c r="AD314" s="56"/>
      <c r="AE314" s="56"/>
      <c r="AF314" s="56"/>
      <c r="AG314" s="56"/>
      <c r="AH314" s="56"/>
      <c r="AI314" s="56"/>
      <c r="AJ314" s="56"/>
      <c r="AK314" s="56"/>
      <c r="AL314" s="56"/>
      <c r="AM314" s="56"/>
      <c r="AN314" s="56"/>
      <c r="AO314" s="56"/>
      <c r="AP314" s="56"/>
      <c r="AQ314" s="56"/>
      <c r="AR314" s="56"/>
    </row>
    <row r="315" spans="4:44"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1094"/>
      <c r="O315" s="1094"/>
      <c r="P315" s="1094"/>
      <c r="Q315" s="1094"/>
      <c r="R315" s="1094"/>
      <c r="S315" s="1094"/>
      <c r="T315" s="1094"/>
      <c r="U315" s="1094"/>
      <c r="V315" s="1094"/>
      <c r="W315" s="56"/>
      <c r="X315" s="56"/>
      <c r="Y315" s="56"/>
      <c r="Z315" s="56"/>
      <c r="AA315" s="56"/>
      <c r="AB315" s="56"/>
      <c r="AC315" s="56"/>
      <c r="AD315" s="56"/>
      <c r="AE315" s="56"/>
      <c r="AF315" s="56"/>
      <c r="AG315" s="56"/>
      <c r="AH315" s="56"/>
      <c r="AI315" s="56"/>
      <c r="AJ315" s="56"/>
      <c r="AK315" s="56"/>
      <c r="AL315" s="56"/>
      <c r="AM315" s="56"/>
      <c r="AN315" s="56"/>
      <c r="AO315" s="56"/>
      <c r="AP315" s="56"/>
      <c r="AQ315" s="56"/>
      <c r="AR315" s="56"/>
    </row>
    <row r="316" spans="4:44"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1094"/>
      <c r="O316" s="1094"/>
      <c r="P316" s="1094"/>
      <c r="Q316" s="1094"/>
      <c r="R316" s="1094"/>
      <c r="S316" s="1094"/>
      <c r="T316" s="1094"/>
      <c r="U316" s="1094"/>
      <c r="V316" s="1094"/>
      <c r="W316" s="56"/>
      <c r="X316" s="56"/>
      <c r="Y316" s="56"/>
      <c r="Z316" s="56"/>
      <c r="AA316" s="56"/>
      <c r="AB316" s="56"/>
      <c r="AC316" s="56"/>
      <c r="AD316" s="56"/>
      <c r="AE316" s="56"/>
      <c r="AF316" s="56"/>
      <c r="AG316" s="56"/>
      <c r="AH316" s="56"/>
      <c r="AI316" s="56"/>
      <c r="AJ316" s="56"/>
      <c r="AK316" s="56"/>
      <c r="AL316" s="56"/>
      <c r="AM316" s="56"/>
      <c r="AN316" s="56"/>
      <c r="AO316" s="56"/>
      <c r="AP316" s="56"/>
      <c r="AQ316" s="56"/>
      <c r="AR316" s="56"/>
    </row>
    <row r="317" spans="4:44"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1094"/>
      <c r="O317" s="1094"/>
      <c r="P317" s="1094"/>
      <c r="Q317" s="1094"/>
      <c r="R317" s="1094"/>
      <c r="S317" s="1094"/>
      <c r="T317" s="1094"/>
      <c r="U317" s="1094"/>
      <c r="V317" s="1094"/>
      <c r="W317" s="56"/>
      <c r="X317" s="56"/>
      <c r="Y317" s="56"/>
      <c r="Z317" s="56"/>
      <c r="AA317" s="56"/>
      <c r="AB317" s="56"/>
      <c r="AC317" s="56"/>
      <c r="AD317" s="56"/>
      <c r="AE317" s="56"/>
      <c r="AF317" s="56"/>
      <c r="AG317" s="56"/>
      <c r="AH317" s="56"/>
      <c r="AI317" s="56"/>
      <c r="AJ317" s="56"/>
      <c r="AK317" s="56"/>
      <c r="AL317" s="56"/>
      <c r="AM317" s="56"/>
      <c r="AN317" s="56"/>
      <c r="AO317" s="56"/>
      <c r="AP317" s="56"/>
      <c r="AQ317" s="56"/>
      <c r="AR317" s="56"/>
    </row>
    <row r="318" spans="4:44"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1094"/>
      <c r="O318" s="1094"/>
      <c r="P318" s="1094"/>
      <c r="Q318" s="1094"/>
      <c r="R318" s="1094"/>
      <c r="S318" s="1094"/>
      <c r="T318" s="1094"/>
      <c r="U318" s="1094"/>
      <c r="V318" s="1094"/>
      <c r="W318" s="56"/>
      <c r="X318" s="56"/>
      <c r="Y318" s="56"/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/>
      <c r="AK318" s="56"/>
      <c r="AL318" s="56"/>
      <c r="AM318" s="56"/>
      <c r="AN318" s="56"/>
      <c r="AO318" s="56"/>
      <c r="AP318" s="56"/>
      <c r="AQ318" s="56"/>
      <c r="AR318" s="56"/>
    </row>
    <row r="319" spans="4:44"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1094"/>
      <c r="O319" s="1094"/>
      <c r="P319" s="1094"/>
      <c r="Q319" s="1094"/>
      <c r="R319" s="1094"/>
      <c r="S319" s="1094"/>
      <c r="T319" s="1094"/>
      <c r="U319" s="1094"/>
      <c r="V319" s="1094"/>
      <c r="W319" s="56"/>
      <c r="X319" s="56"/>
      <c r="Y319" s="56"/>
      <c r="Z319" s="56"/>
      <c r="AA319" s="56"/>
      <c r="AB319" s="56"/>
      <c r="AC319" s="56"/>
      <c r="AD319" s="56"/>
      <c r="AE319" s="56"/>
      <c r="AF319" s="56"/>
      <c r="AG319" s="56"/>
      <c r="AH319" s="56"/>
      <c r="AI319" s="56"/>
      <c r="AJ319" s="56"/>
      <c r="AK319" s="56"/>
      <c r="AL319" s="56"/>
      <c r="AM319" s="56"/>
      <c r="AN319" s="56"/>
      <c r="AO319" s="56"/>
      <c r="AP319" s="56"/>
      <c r="AQ319" s="56"/>
      <c r="AR319" s="56"/>
    </row>
    <row r="320" spans="4:44"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1094"/>
      <c r="O320" s="1094"/>
      <c r="P320" s="1094"/>
      <c r="Q320" s="1094"/>
      <c r="R320" s="1094"/>
      <c r="S320" s="1094"/>
      <c r="T320" s="1094"/>
      <c r="U320" s="1094"/>
      <c r="V320" s="1094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</row>
    <row r="321" spans="4:44"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1094"/>
      <c r="O321" s="1094"/>
      <c r="P321" s="1094"/>
      <c r="Q321" s="1094"/>
      <c r="R321" s="1094"/>
      <c r="S321" s="1094"/>
      <c r="T321" s="1094"/>
      <c r="U321" s="1094"/>
      <c r="V321" s="1094"/>
      <c r="W321" s="56"/>
      <c r="X321" s="56"/>
      <c r="Y321" s="56"/>
      <c r="Z321" s="56"/>
      <c r="AA321" s="56"/>
      <c r="AB321" s="56"/>
      <c r="AC321" s="56"/>
      <c r="AD321" s="56"/>
      <c r="AE321" s="56"/>
      <c r="AF321" s="56"/>
      <c r="AG321" s="56"/>
      <c r="AH321" s="56"/>
      <c r="AI321" s="56"/>
      <c r="AJ321" s="56"/>
      <c r="AK321" s="56"/>
      <c r="AL321" s="56"/>
      <c r="AM321" s="56"/>
      <c r="AN321" s="56"/>
      <c r="AO321" s="56"/>
      <c r="AP321" s="56"/>
      <c r="AQ321" s="56"/>
      <c r="AR321" s="56"/>
    </row>
    <row r="322" spans="4:44"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1094"/>
      <c r="O322" s="1094"/>
      <c r="P322" s="1094"/>
      <c r="Q322" s="1094"/>
      <c r="R322" s="1094"/>
      <c r="S322" s="1094"/>
      <c r="T322" s="1094"/>
      <c r="U322" s="1094"/>
      <c r="V322" s="1094"/>
      <c r="W322" s="56"/>
      <c r="X322" s="56"/>
      <c r="Y322" s="56"/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/>
      <c r="AK322" s="56"/>
      <c r="AL322" s="56"/>
      <c r="AM322" s="56"/>
      <c r="AN322" s="56"/>
      <c r="AO322" s="56"/>
      <c r="AP322" s="56"/>
      <c r="AQ322" s="56"/>
      <c r="AR322" s="56"/>
    </row>
    <row r="323" spans="4:44"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1094"/>
      <c r="O323" s="1094"/>
      <c r="P323" s="1094"/>
      <c r="Q323" s="1094"/>
      <c r="R323" s="1094"/>
      <c r="S323" s="1094"/>
      <c r="T323" s="1094"/>
      <c r="U323" s="1094"/>
      <c r="V323" s="1094"/>
      <c r="W323" s="56"/>
      <c r="X323" s="56"/>
      <c r="Y323" s="56"/>
      <c r="Z323" s="56"/>
      <c r="AA323" s="56"/>
      <c r="AB323" s="56"/>
      <c r="AC323" s="56"/>
      <c r="AD323" s="56"/>
      <c r="AE323" s="56"/>
      <c r="AF323" s="56"/>
      <c r="AG323" s="56"/>
      <c r="AH323" s="56"/>
      <c r="AI323" s="56"/>
      <c r="AJ323" s="56"/>
      <c r="AK323" s="56"/>
      <c r="AL323" s="56"/>
      <c r="AM323" s="56"/>
      <c r="AN323" s="56"/>
      <c r="AO323" s="56"/>
      <c r="AP323" s="56"/>
      <c r="AQ323" s="56"/>
      <c r="AR323" s="56"/>
    </row>
    <row r="324" spans="4:44"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1094"/>
      <c r="O324" s="1094"/>
      <c r="P324" s="1094"/>
      <c r="Q324" s="1094"/>
      <c r="R324" s="1094"/>
      <c r="S324" s="1094"/>
      <c r="T324" s="1094"/>
      <c r="U324" s="1094"/>
      <c r="V324" s="1094"/>
      <c r="W324" s="56"/>
      <c r="X324" s="56"/>
      <c r="Y324" s="56"/>
      <c r="Z324" s="56"/>
      <c r="AA324" s="56"/>
      <c r="AB324" s="56"/>
      <c r="AC324" s="56"/>
      <c r="AD324" s="56"/>
      <c r="AE324" s="56"/>
      <c r="AF324" s="56"/>
      <c r="AG324" s="56"/>
      <c r="AH324" s="56"/>
      <c r="AI324" s="56"/>
      <c r="AJ324" s="56"/>
      <c r="AK324" s="56"/>
      <c r="AL324" s="56"/>
      <c r="AM324" s="56"/>
      <c r="AN324" s="56"/>
      <c r="AO324" s="56"/>
      <c r="AP324" s="56"/>
      <c r="AQ324" s="56"/>
      <c r="AR324" s="56"/>
    </row>
    <row r="325" spans="4:44"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1094"/>
      <c r="O325" s="1094"/>
      <c r="P325" s="1094"/>
      <c r="Q325" s="1094"/>
      <c r="R325" s="1094"/>
      <c r="S325" s="1094"/>
      <c r="T325" s="1094"/>
      <c r="U325" s="1094"/>
      <c r="V325" s="1094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</row>
    <row r="326" spans="4:44"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1094"/>
      <c r="O326" s="1094"/>
      <c r="P326" s="1094"/>
      <c r="Q326" s="1094"/>
      <c r="R326" s="1094"/>
      <c r="S326" s="1094"/>
      <c r="T326" s="1094"/>
      <c r="U326" s="1094"/>
      <c r="V326" s="1094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</row>
    <row r="327" spans="4:44"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1094"/>
      <c r="O327" s="1094"/>
      <c r="P327" s="1094"/>
      <c r="Q327" s="1094"/>
      <c r="R327" s="1094"/>
      <c r="S327" s="1094"/>
      <c r="T327" s="1094"/>
      <c r="U327" s="1094"/>
      <c r="V327" s="1094"/>
      <c r="W327" s="56"/>
      <c r="X327" s="56"/>
      <c r="Y327" s="56"/>
      <c r="Z327" s="56"/>
      <c r="AA327" s="56"/>
      <c r="AB327" s="56"/>
      <c r="AC327" s="56"/>
      <c r="AD327" s="56"/>
      <c r="AE327" s="56"/>
      <c r="AF327" s="56"/>
      <c r="AG327" s="56"/>
      <c r="AH327" s="56"/>
      <c r="AI327" s="56"/>
      <c r="AJ327" s="56"/>
      <c r="AK327" s="56"/>
      <c r="AL327" s="56"/>
      <c r="AM327" s="56"/>
      <c r="AN327" s="56"/>
      <c r="AO327" s="56"/>
      <c r="AP327" s="56"/>
      <c r="AQ327" s="56"/>
      <c r="AR327" s="56"/>
    </row>
    <row r="328" spans="4:44"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1094"/>
      <c r="O328" s="1094"/>
      <c r="P328" s="1094"/>
      <c r="Q328" s="1094"/>
      <c r="R328" s="1094"/>
      <c r="S328" s="1094"/>
      <c r="T328" s="1094"/>
      <c r="U328" s="1094"/>
      <c r="V328" s="1094"/>
      <c r="W328" s="56"/>
      <c r="X328" s="56"/>
      <c r="Y328" s="56"/>
      <c r="Z328" s="56"/>
      <c r="AA328" s="56"/>
      <c r="AB328" s="56"/>
      <c r="AC328" s="56"/>
      <c r="AD328" s="56"/>
      <c r="AE328" s="56"/>
      <c r="AF328" s="56"/>
      <c r="AG328" s="56"/>
      <c r="AH328" s="56"/>
      <c r="AI328" s="56"/>
      <c r="AJ328" s="56"/>
      <c r="AK328" s="56"/>
      <c r="AL328" s="56"/>
      <c r="AM328" s="56"/>
      <c r="AN328" s="56"/>
      <c r="AO328" s="56"/>
      <c r="AP328" s="56"/>
      <c r="AQ328" s="56"/>
      <c r="AR328" s="56"/>
    </row>
    <row r="329" spans="4:44"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1094"/>
      <c r="O329" s="1094"/>
      <c r="P329" s="1094"/>
      <c r="Q329" s="1094"/>
      <c r="R329" s="1094"/>
      <c r="S329" s="1094"/>
      <c r="T329" s="1094"/>
      <c r="U329" s="1094"/>
      <c r="V329" s="1094"/>
      <c r="W329" s="56"/>
      <c r="X329" s="56"/>
      <c r="Y329" s="56"/>
      <c r="Z329" s="56"/>
      <c r="AA329" s="56"/>
      <c r="AB329" s="56"/>
      <c r="AC329" s="56"/>
      <c r="AD329" s="56"/>
      <c r="AE329" s="56"/>
      <c r="AF329" s="56"/>
      <c r="AG329" s="56"/>
      <c r="AH329" s="56"/>
      <c r="AI329" s="56"/>
      <c r="AJ329" s="56"/>
      <c r="AK329" s="56"/>
      <c r="AL329" s="56"/>
      <c r="AM329" s="56"/>
      <c r="AN329" s="56"/>
      <c r="AO329" s="56"/>
      <c r="AP329" s="56"/>
      <c r="AQ329" s="56"/>
      <c r="AR329" s="56"/>
    </row>
    <row r="330" spans="4:44"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1094"/>
      <c r="O330" s="1094"/>
      <c r="P330" s="1094"/>
      <c r="Q330" s="1094"/>
      <c r="R330" s="1094"/>
      <c r="S330" s="1094"/>
      <c r="T330" s="1094"/>
      <c r="U330" s="1094"/>
      <c r="V330" s="1094"/>
      <c r="W330" s="56"/>
      <c r="X330" s="56"/>
      <c r="Y330" s="56"/>
      <c r="Z330" s="56"/>
      <c r="AA330" s="56"/>
      <c r="AB330" s="56"/>
      <c r="AC330" s="56"/>
      <c r="AD330" s="56"/>
      <c r="AE330" s="56"/>
      <c r="AF330" s="56"/>
      <c r="AG330" s="56"/>
      <c r="AH330" s="56"/>
      <c r="AI330" s="56"/>
      <c r="AJ330" s="56"/>
      <c r="AK330" s="56"/>
      <c r="AL330" s="56"/>
      <c r="AM330" s="56"/>
      <c r="AN330" s="56"/>
      <c r="AO330" s="56"/>
      <c r="AP330" s="56"/>
      <c r="AQ330" s="56"/>
      <c r="AR330" s="56"/>
    </row>
    <row r="331" spans="4:44"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1094"/>
      <c r="O331" s="1094"/>
      <c r="P331" s="1094"/>
      <c r="Q331" s="1094"/>
      <c r="R331" s="1094"/>
      <c r="S331" s="1094"/>
      <c r="T331" s="1094"/>
      <c r="U331" s="1094"/>
      <c r="V331" s="1094"/>
      <c r="W331" s="56"/>
      <c r="X331" s="56"/>
      <c r="Y331" s="56"/>
      <c r="Z331" s="56"/>
      <c r="AA331" s="56"/>
      <c r="AB331" s="56"/>
      <c r="AC331" s="56"/>
      <c r="AD331" s="56"/>
      <c r="AE331" s="56"/>
      <c r="AF331" s="56"/>
      <c r="AG331" s="56"/>
      <c r="AH331" s="56"/>
      <c r="AI331" s="56"/>
      <c r="AJ331" s="56"/>
      <c r="AK331" s="56"/>
      <c r="AL331" s="56"/>
      <c r="AM331" s="56"/>
      <c r="AN331" s="56"/>
      <c r="AO331" s="56"/>
      <c r="AP331" s="56"/>
      <c r="AQ331" s="56"/>
      <c r="AR331" s="56"/>
    </row>
    <row r="332" spans="4:44"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1094"/>
      <c r="O332" s="1094"/>
      <c r="P332" s="1094"/>
      <c r="Q332" s="1094"/>
      <c r="R332" s="1094"/>
      <c r="S332" s="1094"/>
      <c r="T332" s="1094"/>
      <c r="U332" s="1094"/>
      <c r="V332" s="1094"/>
      <c r="W332" s="56"/>
      <c r="X332" s="56"/>
      <c r="Y332" s="56"/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56"/>
      <c r="AN332" s="56"/>
      <c r="AO332" s="56"/>
      <c r="AP332" s="56"/>
      <c r="AQ332" s="56"/>
      <c r="AR332" s="56"/>
    </row>
    <row r="333" spans="4:44"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1094"/>
      <c r="O333" s="1094"/>
      <c r="P333" s="1094"/>
      <c r="Q333" s="1094"/>
      <c r="R333" s="1094"/>
      <c r="S333" s="1094"/>
      <c r="T333" s="1094"/>
      <c r="U333" s="1094"/>
      <c r="V333" s="1094"/>
      <c r="W333" s="56"/>
      <c r="X333" s="56"/>
      <c r="Y333" s="56"/>
      <c r="Z333" s="56"/>
      <c r="AA333" s="56"/>
      <c r="AB333" s="56"/>
      <c r="AC333" s="56"/>
      <c r="AD333" s="56"/>
      <c r="AE333" s="56"/>
      <c r="AF333" s="56"/>
      <c r="AG333" s="56"/>
      <c r="AH333" s="56"/>
      <c r="AI333" s="56"/>
      <c r="AJ333" s="56"/>
      <c r="AK333" s="56"/>
      <c r="AL333" s="56"/>
      <c r="AM333" s="56"/>
      <c r="AN333" s="56"/>
      <c r="AO333" s="56"/>
      <c r="AP333" s="56"/>
      <c r="AQ333" s="56"/>
      <c r="AR333" s="56"/>
    </row>
    <row r="334" spans="4:44"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1094"/>
      <c r="O334" s="1094"/>
      <c r="P334" s="1094"/>
      <c r="Q334" s="1094"/>
      <c r="R334" s="1094"/>
      <c r="S334" s="1094"/>
      <c r="T334" s="1094"/>
      <c r="U334" s="1094"/>
      <c r="V334" s="1094"/>
      <c r="W334" s="56"/>
      <c r="X334" s="56"/>
      <c r="Y334" s="56"/>
      <c r="Z334" s="56"/>
      <c r="AA334" s="56"/>
      <c r="AB334" s="56"/>
      <c r="AC334" s="56"/>
      <c r="AD334" s="56"/>
      <c r="AE334" s="56"/>
      <c r="AF334" s="56"/>
      <c r="AG334" s="56"/>
      <c r="AH334" s="56"/>
      <c r="AI334" s="56"/>
      <c r="AJ334" s="56"/>
      <c r="AK334" s="56"/>
      <c r="AL334" s="56"/>
      <c r="AM334" s="56"/>
      <c r="AN334" s="56"/>
      <c r="AO334" s="56"/>
      <c r="AP334" s="56"/>
      <c r="AQ334" s="56"/>
      <c r="AR334" s="56"/>
    </row>
    <row r="335" spans="4:44"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1094"/>
      <c r="O335" s="1094"/>
      <c r="P335" s="1094"/>
      <c r="Q335" s="1094"/>
      <c r="R335" s="1094"/>
      <c r="S335" s="1094"/>
      <c r="T335" s="1094"/>
      <c r="U335" s="1094"/>
      <c r="V335" s="1094"/>
      <c r="W335" s="56"/>
      <c r="X335" s="56"/>
      <c r="Y335" s="56"/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6"/>
      <c r="AN335" s="56"/>
      <c r="AO335" s="56"/>
      <c r="AP335" s="56"/>
      <c r="AQ335" s="56"/>
      <c r="AR335" s="56"/>
    </row>
    <row r="336" spans="4:44"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1094"/>
      <c r="O336" s="1094"/>
      <c r="P336" s="1094"/>
      <c r="Q336" s="1094"/>
      <c r="R336" s="1094"/>
      <c r="S336" s="1094"/>
      <c r="T336" s="1094"/>
      <c r="U336" s="1094"/>
      <c r="V336" s="1094"/>
      <c r="W336" s="56"/>
      <c r="X336" s="56"/>
      <c r="Y336" s="56"/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6"/>
      <c r="AR336" s="56"/>
    </row>
    <row r="337" spans="4:44"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1094"/>
      <c r="O337" s="1094"/>
      <c r="P337" s="1094"/>
      <c r="Q337" s="1094"/>
      <c r="R337" s="1094"/>
      <c r="S337" s="1094"/>
      <c r="T337" s="1094"/>
      <c r="U337" s="1094"/>
      <c r="V337" s="1094"/>
      <c r="W337" s="56"/>
      <c r="X337" s="56"/>
      <c r="Y337" s="56"/>
      <c r="Z337" s="56"/>
      <c r="AA337" s="56"/>
      <c r="AB337" s="56"/>
      <c r="AC337" s="56"/>
      <c r="AD337" s="56"/>
      <c r="AE337" s="56"/>
      <c r="AF337" s="56"/>
      <c r="AG337" s="56"/>
      <c r="AH337" s="56"/>
      <c r="AI337" s="56"/>
      <c r="AJ337" s="56"/>
      <c r="AK337" s="56"/>
      <c r="AL337" s="56"/>
      <c r="AM337" s="56"/>
      <c r="AN337" s="56"/>
      <c r="AO337" s="56"/>
      <c r="AP337" s="56"/>
      <c r="AQ337" s="56"/>
      <c r="AR337" s="56"/>
    </row>
    <row r="338" spans="4:44"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1094"/>
      <c r="O338" s="1094"/>
      <c r="P338" s="1094"/>
      <c r="Q338" s="1094"/>
      <c r="R338" s="1094"/>
      <c r="S338" s="1094"/>
      <c r="T338" s="1094"/>
      <c r="U338" s="1094"/>
      <c r="V338" s="1094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</row>
    <row r="339" spans="4:44"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1094"/>
      <c r="O339" s="1094"/>
      <c r="P339" s="1094"/>
      <c r="Q339" s="1094"/>
      <c r="R339" s="1094"/>
      <c r="S339" s="1094"/>
      <c r="T339" s="1094"/>
      <c r="U339" s="1094"/>
      <c r="V339" s="1094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</row>
    <row r="340" spans="4:44"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1094"/>
      <c r="O340" s="1094"/>
      <c r="P340" s="1094"/>
      <c r="Q340" s="1094"/>
      <c r="R340" s="1094"/>
      <c r="S340" s="1094"/>
      <c r="T340" s="1094"/>
      <c r="U340" s="1094"/>
      <c r="V340" s="1094"/>
      <c r="W340" s="56"/>
      <c r="X340" s="56"/>
      <c r="Y340" s="56"/>
      <c r="Z340" s="56"/>
      <c r="AA340" s="56"/>
      <c r="AB340" s="56"/>
      <c r="AC340" s="56"/>
      <c r="AD340" s="56"/>
      <c r="AE340" s="56"/>
      <c r="AF340" s="56"/>
      <c r="AG340" s="56"/>
      <c r="AH340" s="56"/>
      <c r="AI340" s="56"/>
      <c r="AJ340" s="56"/>
      <c r="AK340" s="56"/>
      <c r="AL340" s="56"/>
      <c r="AM340" s="56"/>
      <c r="AN340" s="56"/>
      <c r="AO340" s="56"/>
      <c r="AP340" s="56"/>
      <c r="AQ340" s="56"/>
      <c r="AR340" s="56"/>
    </row>
    <row r="341" spans="4:44"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1094"/>
      <c r="O341" s="1094"/>
      <c r="P341" s="1094"/>
      <c r="Q341" s="1094"/>
      <c r="R341" s="1094"/>
      <c r="S341" s="1094"/>
      <c r="T341" s="1094"/>
      <c r="U341" s="1094"/>
      <c r="V341" s="1094"/>
      <c r="W341" s="56"/>
      <c r="X341" s="56"/>
      <c r="Y341" s="56"/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  <c r="AK341" s="56"/>
      <c r="AL341" s="56"/>
      <c r="AM341" s="56"/>
      <c r="AN341" s="56"/>
      <c r="AO341" s="56"/>
      <c r="AP341" s="56"/>
      <c r="AQ341" s="56"/>
      <c r="AR341" s="56"/>
    </row>
    <row r="342" spans="4:44"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1094"/>
      <c r="O342" s="1094"/>
      <c r="P342" s="1094"/>
      <c r="Q342" s="1094"/>
      <c r="R342" s="1094"/>
      <c r="S342" s="1094"/>
      <c r="T342" s="1094"/>
      <c r="U342" s="1094"/>
      <c r="V342" s="1094"/>
      <c r="W342" s="56"/>
      <c r="X342" s="56"/>
      <c r="Y342" s="56"/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/>
      <c r="AL342" s="56"/>
      <c r="AM342" s="56"/>
      <c r="AN342" s="56"/>
      <c r="AO342" s="56"/>
      <c r="AP342" s="56"/>
      <c r="AQ342" s="56"/>
      <c r="AR342" s="56"/>
    </row>
    <row r="343" spans="4:44"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1094"/>
      <c r="O343" s="1094"/>
      <c r="P343" s="1094"/>
      <c r="Q343" s="1094"/>
      <c r="R343" s="1094"/>
      <c r="S343" s="1094"/>
      <c r="T343" s="1094"/>
      <c r="U343" s="1094"/>
      <c r="V343" s="1094"/>
      <c r="W343" s="56"/>
      <c r="X343" s="56"/>
      <c r="Y343" s="56"/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56"/>
      <c r="AR343" s="56"/>
    </row>
    <row r="344" spans="4:44"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1094"/>
      <c r="O344" s="1094"/>
      <c r="P344" s="1094"/>
      <c r="Q344" s="1094"/>
      <c r="R344" s="1094"/>
      <c r="S344" s="1094"/>
      <c r="T344" s="1094"/>
      <c r="U344" s="1094"/>
      <c r="V344" s="1094"/>
      <c r="W344" s="56"/>
      <c r="X344" s="56"/>
      <c r="Y344" s="56"/>
      <c r="Z344" s="56"/>
      <c r="AA344" s="56"/>
      <c r="AB344" s="56"/>
      <c r="AC344" s="56"/>
      <c r="AD344" s="56"/>
      <c r="AE344" s="56"/>
      <c r="AF344" s="56"/>
      <c r="AG344" s="56"/>
      <c r="AH344" s="56"/>
      <c r="AI344" s="56"/>
      <c r="AJ344" s="56"/>
      <c r="AK344" s="56"/>
      <c r="AL344" s="56"/>
      <c r="AM344" s="56"/>
      <c r="AN344" s="56"/>
      <c r="AO344" s="56"/>
      <c r="AP344" s="56"/>
      <c r="AQ344" s="56"/>
      <c r="AR344" s="56"/>
    </row>
    <row r="345" spans="4:44"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1094"/>
      <c r="O345" s="1094"/>
      <c r="P345" s="1094"/>
      <c r="Q345" s="1094"/>
      <c r="R345" s="1094"/>
      <c r="S345" s="1094"/>
      <c r="T345" s="1094"/>
      <c r="U345" s="1094"/>
      <c r="V345" s="1094"/>
      <c r="W345" s="56"/>
      <c r="X345" s="56"/>
      <c r="Y345" s="56"/>
      <c r="Z345" s="56"/>
      <c r="AA345" s="56"/>
      <c r="AB345" s="56"/>
      <c r="AC345" s="56"/>
      <c r="AD345" s="56"/>
      <c r="AE345" s="56"/>
      <c r="AF345" s="56"/>
      <c r="AG345" s="56"/>
      <c r="AH345" s="56"/>
      <c r="AI345" s="56"/>
      <c r="AJ345" s="56"/>
      <c r="AK345" s="56"/>
      <c r="AL345" s="56"/>
      <c r="AM345" s="56"/>
      <c r="AN345" s="56"/>
      <c r="AO345" s="56"/>
      <c r="AP345" s="56"/>
      <c r="AQ345" s="56"/>
      <c r="AR345" s="56"/>
    </row>
    <row r="346" spans="4:44"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1094"/>
      <c r="O346" s="1094"/>
      <c r="P346" s="1094"/>
      <c r="Q346" s="1094"/>
      <c r="R346" s="1094"/>
      <c r="S346" s="1094"/>
      <c r="T346" s="1094"/>
      <c r="U346" s="1094"/>
      <c r="V346" s="1094"/>
      <c r="W346" s="56"/>
      <c r="X346" s="56"/>
      <c r="Y346" s="56"/>
      <c r="Z346" s="56"/>
      <c r="AA346" s="56"/>
      <c r="AB346" s="56"/>
      <c r="AC346" s="56"/>
      <c r="AD346" s="56"/>
      <c r="AE346" s="56"/>
      <c r="AF346" s="56"/>
      <c r="AG346" s="56"/>
      <c r="AH346" s="56"/>
      <c r="AI346" s="56"/>
      <c r="AJ346" s="56"/>
      <c r="AK346" s="56"/>
      <c r="AL346" s="56"/>
      <c r="AM346" s="56"/>
      <c r="AN346" s="56"/>
      <c r="AO346" s="56"/>
      <c r="AP346" s="56"/>
      <c r="AQ346" s="56"/>
      <c r="AR346" s="56"/>
    </row>
    <row r="347" spans="4:44"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1094"/>
      <c r="O347" s="1094"/>
      <c r="P347" s="1094"/>
      <c r="Q347" s="1094"/>
      <c r="R347" s="1094"/>
      <c r="S347" s="1094"/>
      <c r="T347" s="1094"/>
      <c r="U347" s="1094"/>
      <c r="V347" s="1094"/>
      <c r="W347" s="56"/>
      <c r="X347" s="56"/>
      <c r="Y347" s="56"/>
      <c r="Z347" s="56"/>
      <c r="AA347" s="56"/>
      <c r="AB347" s="56"/>
      <c r="AC347" s="56"/>
      <c r="AD347" s="56"/>
      <c r="AE347" s="56"/>
      <c r="AF347" s="56"/>
      <c r="AG347" s="56"/>
      <c r="AH347" s="56"/>
      <c r="AI347" s="56"/>
      <c r="AJ347" s="56"/>
      <c r="AK347" s="56"/>
      <c r="AL347" s="56"/>
      <c r="AM347" s="56"/>
      <c r="AN347" s="56"/>
      <c r="AO347" s="56"/>
      <c r="AP347" s="56"/>
      <c r="AQ347" s="56"/>
      <c r="AR347" s="56"/>
    </row>
    <row r="348" spans="4:44"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1094"/>
      <c r="O348" s="1094"/>
      <c r="P348" s="1094"/>
      <c r="Q348" s="1094"/>
      <c r="R348" s="1094"/>
      <c r="S348" s="1094"/>
      <c r="T348" s="1094"/>
      <c r="U348" s="1094"/>
      <c r="V348" s="1094"/>
      <c r="W348" s="56"/>
      <c r="X348" s="56"/>
      <c r="Y348" s="56"/>
      <c r="Z348" s="56"/>
      <c r="AA348" s="56"/>
      <c r="AB348" s="56"/>
      <c r="AC348" s="56"/>
      <c r="AD348" s="56"/>
      <c r="AE348" s="56"/>
      <c r="AF348" s="56"/>
      <c r="AG348" s="56"/>
      <c r="AH348" s="56"/>
      <c r="AI348" s="56"/>
      <c r="AJ348" s="56"/>
      <c r="AK348" s="56"/>
      <c r="AL348" s="56"/>
      <c r="AM348" s="56"/>
      <c r="AN348" s="56"/>
      <c r="AO348" s="56"/>
      <c r="AP348" s="56"/>
      <c r="AQ348" s="56"/>
      <c r="AR348" s="56"/>
    </row>
    <row r="349" spans="4:44"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1094"/>
      <c r="O349" s="1094"/>
      <c r="P349" s="1094"/>
      <c r="Q349" s="1094"/>
      <c r="R349" s="1094"/>
      <c r="S349" s="1094"/>
      <c r="T349" s="1094"/>
      <c r="U349" s="1094"/>
      <c r="V349" s="1094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</row>
    <row r="350" spans="4:44"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1094"/>
      <c r="O350" s="1094"/>
      <c r="P350" s="1094"/>
      <c r="Q350" s="1094"/>
      <c r="R350" s="1094"/>
      <c r="S350" s="1094"/>
      <c r="T350" s="1094"/>
      <c r="U350" s="1094"/>
      <c r="V350" s="1094"/>
      <c r="W350" s="56"/>
      <c r="X350" s="56"/>
      <c r="Y350" s="56"/>
      <c r="Z350" s="56"/>
      <c r="AA350" s="56"/>
      <c r="AB350" s="56"/>
      <c r="AC350" s="56"/>
      <c r="AD350" s="56"/>
      <c r="AE350" s="56"/>
      <c r="AF350" s="56"/>
      <c r="AG350" s="56"/>
      <c r="AH350" s="56"/>
      <c r="AI350" s="56"/>
      <c r="AJ350" s="56"/>
      <c r="AK350" s="56"/>
      <c r="AL350" s="56"/>
      <c r="AM350" s="56"/>
      <c r="AN350" s="56"/>
      <c r="AO350" s="56"/>
      <c r="AP350" s="56"/>
      <c r="AQ350" s="56"/>
      <c r="AR350" s="56"/>
    </row>
    <row r="351" spans="4:44"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1094"/>
      <c r="O351" s="1094"/>
      <c r="P351" s="1094"/>
      <c r="Q351" s="1094"/>
      <c r="R351" s="1094"/>
      <c r="S351" s="1094"/>
      <c r="T351" s="1094"/>
      <c r="U351" s="1094"/>
      <c r="V351" s="1094"/>
      <c r="W351" s="56"/>
      <c r="X351" s="56"/>
      <c r="Y351" s="56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6"/>
      <c r="AR351" s="56"/>
    </row>
    <row r="352" spans="4:44"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1094"/>
      <c r="O352" s="1094"/>
      <c r="P352" s="1094"/>
      <c r="Q352" s="1094"/>
      <c r="R352" s="1094"/>
      <c r="S352" s="1094"/>
      <c r="T352" s="1094"/>
      <c r="U352" s="1094"/>
      <c r="V352" s="1094"/>
      <c r="W352" s="56"/>
      <c r="X352" s="56"/>
      <c r="Y352" s="56"/>
      <c r="Z352" s="56"/>
      <c r="AA352" s="56"/>
      <c r="AB352" s="56"/>
      <c r="AC352" s="56"/>
      <c r="AD352" s="56"/>
      <c r="AE352" s="56"/>
      <c r="AF352" s="56"/>
      <c r="AG352" s="56"/>
      <c r="AH352" s="56"/>
      <c r="AI352" s="56"/>
      <c r="AJ352" s="56"/>
      <c r="AK352" s="56"/>
      <c r="AL352" s="56"/>
      <c r="AM352" s="56"/>
      <c r="AN352" s="56"/>
      <c r="AO352" s="56"/>
      <c r="AP352" s="56"/>
      <c r="AQ352" s="56"/>
      <c r="AR352" s="56"/>
    </row>
  </sheetData>
  <mergeCells count="5">
    <mergeCell ref="V101:V106"/>
    <mergeCell ref="V99:AC99"/>
    <mergeCell ref="X100:AB100"/>
    <mergeCell ref="X34:X40"/>
    <mergeCell ref="Y34:AD34"/>
  </mergeCells>
  <phoneticPr fontId="5" type="noConversion"/>
  <printOptions gridLines="1" gridLinesSet="0"/>
  <pageMargins left="0.75" right="0.75" top="1" bottom="1" header="0.5" footer="0.5"/>
  <pageSetup scale="34" orientation="landscape" r:id="rId1"/>
  <headerFooter alignWithMargins="0">
    <oddHeader>&amp;A</oddHeader>
    <oddFooter>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28"/>
  <sheetViews>
    <sheetView showGridLines="0" workbookViewId="0">
      <selection activeCell="E5" sqref="E5"/>
    </sheetView>
  </sheetViews>
  <sheetFormatPr defaultRowHeight="12"/>
  <cols>
    <col min="1" max="1" width="9.140625" style="929"/>
    <col min="2" max="2" width="16.7109375" style="929" customWidth="1"/>
    <col min="3" max="5" width="5.7109375" style="929" customWidth="1"/>
    <col min="6" max="6" width="16.85546875" style="930" customWidth="1"/>
    <col min="7" max="9" width="5.7109375" style="930" customWidth="1"/>
    <col min="10" max="10" width="11.140625" style="929" bestFit="1" customWidth="1"/>
    <col min="11" max="11" width="16.7109375" style="930" customWidth="1"/>
    <col min="12" max="14" width="5.7109375" style="930" customWidth="1"/>
    <col min="15" max="15" width="9.140625" style="929"/>
    <col min="16" max="16" width="16.7109375" style="930" customWidth="1"/>
    <col min="17" max="19" width="5.7109375" style="930" customWidth="1"/>
    <col min="20" max="20" width="9.140625" style="929"/>
    <col min="21" max="21" width="17.85546875" style="929" customWidth="1"/>
    <col min="22" max="23" width="6.5703125" style="929" bestFit="1" customWidth="1"/>
    <col min="24" max="24" width="4.7109375" style="929" bestFit="1" customWidth="1"/>
    <col min="25" max="25" width="8.140625" style="929" bestFit="1" customWidth="1"/>
    <col min="26" max="26" width="6" style="929" bestFit="1" customWidth="1"/>
    <col min="27" max="27" width="5" style="929" bestFit="1" customWidth="1"/>
    <col min="28" max="30" width="5.7109375" style="929" customWidth="1"/>
    <col min="31" max="33" width="9.140625" style="929"/>
    <col min="34" max="34" width="14.28515625" style="929" bestFit="1" customWidth="1"/>
    <col min="35" max="16384" width="9.140625" style="929"/>
  </cols>
  <sheetData>
    <row r="1" spans="2:30" ht="4.5" customHeight="1">
      <c r="F1" s="1407"/>
      <c r="K1" s="1407"/>
      <c r="P1" s="1407"/>
      <c r="Q1" s="1407"/>
      <c r="R1" s="1407"/>
      <c r="S1" s="1407"/>
    </row>
    <row r="2" spans="2:30" ht="18.75" customHeight="1" thickBot="1">
      <c r="B2" s="931"/>
      <c r="C2" s="1409"/>
      <c r="D2" s="1409"/>
      <c r="F2" s="1408"/>
      <c r="G2" s="932"/>
      <c r="H2" s="932"/>
      <c r="I2" s="932"/>
      <c r="K2" s="1408"/>
      <c r="L2" s="932"/>
      <c r="M2" s="932"/>
      <c r="N2" s="932"/>
      <c r="P2" s="1408"/>
      <c r="Q2" s="1408"/>
      <c r="R2" s="1408"/>
      <c r="S2" s="1408"/>
    </row>
    <row r="3" spans="2:30" ht="3" customHeight="1">
      <c r="B3" s="931"/>
      <c r="C3" s="931"/>
      <c r="D3" s="933"/>
      <c r="F3" s="934"/>
      <c r="G3" s="934"/>
      <c r="H3" s="934"/>
      <c r="I3" s="935"/>
      <c r="K3" s="934"/>
      <c r="L3" s="934"/>
      <c r="M3" s="934"/>
      <c r="N3" s="935"/>
      <c r="P3" s="934"/>
      <c r="Q3" s="934"/>
      <c r="R3" s="934"/>
      <c r="S3" s="935"/>
    </row>
    <row r="4" spans="2:30" ht="12.95" customHeight="1">
      <c r="B4" s="936" t="s">
        <v>718</v>
      </c>
      <c r="C4" s="1401">
        <v>250</v>
      </c>
      <c r="D4" s="1401"/>
      <c r="F4" s="937" t="s">
        <v>718</v>
      </c>
      <c r="G4" s="937"/>
      <c r="H4" s="938"/>
      <c r="I4" s="938">
        <f>DCF!E30</f>
        <v>140.12265388031514</v>
      </c>
      <c r="K4" s="937" t="s">
        <v>718</v>
      </c>
      <c r="L4" s="937"/>
      <c r="M4" s="938"/>
      <c r="N4" s="1013">
        <f>DCF!E30</f>
        <v>140.12265388031514</v>
      </c>
      <c r="P4" s="937"/>
      <c r="Q4" s="937"/>
      <c r="R4" s="938"/>
      <c r="S4" s="938"/>
      <c r="U4" s="939"/>
      <c r="V4" s="939"/>
      <c r="W4" s="939"/>
      <c r="X4" s="939"/>
      <c r="Y4" s="939"/>
      <c r="Z4" s="939"/>
      <c r="AA4" s="937"/>
      <c r="AB4" s="937"/>
      <c r="AC4" s="938"/>
      <c r="AD4" s="938"/>
    </row>
    <row r="5" spans="2:30" ht="12.95" customHeight="1">
      <c r="B5" s="936" t="s">
        <v>718</v>
      </c>
      <c r="C5" s="1401">
        <v>250</v>
      </c>
      <c r="D5" s="1401"/>
      <c r="F5" s="937" t="s">
        <v>825</v>
      </c>
      <c r="G5" s="937"/>
      <c r="H5" s="1405">
        <v>96.1</v>
      </c>
      <c r="I5" s="1405"/>
      <c r="J5" s="929">
        <v>4.5</v>
      </c>
      <c r="K5" s="937" t="s">
        <v>825</v>
      </c>
      <c r="L5" s="937"/>
      <c r="M5" s="1405">
        <v>56.03</v>
      </c>
      <c r="N5" s="1405"/>
      <c r="P5" s="1406" t="s">
        <v>826</v>
      </c>
      <c r="Q5" s="1406"/>
      <c r="R5" s="1406"/>
      <c r="S5" s="1406"/>
      <c r="U5" s="939"/>
      <c r="V5" s="940"/>
      <c r="W5" s="940"/>
      <c r="X5" s="1403"/>
      <c r="Y5" s="1403"/>
      <c r="Z5" s="939"/>
      <c r="AA5" s="937"/>
      <c r="AB5" s="937"/>
      <c r="AC5" s="1393"/>
      <c r="AD5" s="1393"/>
    </row>
    <row r="6" spans="2:30" ht="12.95" customHeight="1">
      <c r="B6" s="936" t="s">
        <v>718</v>
      </c>
      <c r="C6" s="1401">
        <v>250</v>
      </c>
      <c r="D6" s="1401"/>
      <c r="F6" s="937" t="s">
        <v>827</v>
      </c>
      <c r="G6" s="937"/>
      <c r="H6" s="1404">
        <f>I4/H5-1</f>
        <v>0.45809213194916909</v>
      </c>
      <c r="I6" s="1404"/>
      <c r="J6" s="941">
        <f>H5/J5-1</f>
        <v>20.355555555555554</v>
      </c>
      <c r="K6" s="937" t="s">
        <v>827</v>
      </c>
      <c r="L6" s="937"/>
      <c r="M6" s="1404">
        <f>N4/M5-1</f>
        <v>1.500850506519992</v>
      </c>
      <c r="N6" s="1404"/>
      <c r="P6" s="937"/>
      <c r="Q6" s="937"/>
      <c r="R6" s="1404"/>
      <c r="S6" s="1404"/>
      <c r="U6" s="939"/>
      <c r="V6" s="940"/>
      <c r="W6" s="940"/>
      <c r="X6" s="1403"/>
      <c r="Y6" s="1403"/>
      <c r="Z6" s="939"/>
      <c r="AA6" s="937"/>
      <c r="AB6" s="937"/>
      <c r="AC6" s="1404"/>
      <c r="AD6" s="1404"/>
    </row>
    <row r="7" spans="2:30" ht="12.95" customHeight="1">
      <c r="B7" s="936" t="s">
        <v>825</v>
      </c>
      <c r="C7" s="1401">
        <v>200</v>
      </c>
      <c r="D7" s="1401"/>
      <c r="F7" s="937" t="s">
        <v>828</v>
      </c>
      <c r="G7" s="937"/>
      <c r="H7" s="1398" t="s">
        <v>882</v>
      </c>
      <c r="I7" s="1398"/>
      <c r="K7" s="937" t="s">
        <v>828</v>
      </c>
      <c r="L7" s="937"/>
      <c r="M7" s="1398" t="s">
        <v>882</v>
      </c>
      <c r="N7" s="1398"/>
      <c r="P7" s="937"/>
      <c r="Q7" s="937"/>
      <c r="R7" s="1398"/>
      <c r="S7" s="1398"/>
      <c r="U7" s="939"/>
      <c r="V7" s="939"/>
      <c r="W7" s="939"/>
      <c r="X7" s="939"/>
      <c r="Y7" s="939"/>
      <c r="Z7" s="939"/>
      <c r="AA7" s="937"/>
      <c r="AB7" s="937"/>
      <c r="AC7" s="1398"/>
      <c r="AD7" s="1398"/>
    </row>
    <row r="8" spans="2:30" ht="12.95" customHeight="1">
      <c r="B8" s="936" t="s">
        <v>827</v>
      </c>
      <c r="C8" s="1402">
        <f>C6/C7-1</f>
        <v>0.25</v>
      </c>
      <c r="D8" s="1402"/>
      <c r="F8" s="937" t="s">
        <v>829</v>
      </c>
      <c r="G8" s="937"/>
      <c r="H8" s="1398" t="s">
        <v>883</v>
      </c>
      <c r="I8" s="1398"/>
      <c r="K8" s="937" t="s">
        <v>829</v>
      </c>
      <c r="L8" s="937"/>
      <c r="M8" s="1398" t="s">
        <v>883</v>
      </c>
      <c r="N8" s="1398"/>
      <c r="P8" s="937"/>
      <c r="Q8" s="937"/>
      <c r="R8" s="1398"/>
      <c r="S8" s="1398"/>
      <c r="T8" s="942"/>
      <c r="U8" s="939"/>
      <c r="V8" s="939"/>
      <c r="W8" s="939"/>
      <c r="X8" s="939"/>
      <c r="Y8" s="939"/>
      <c r="Z8" s="939"/>
      <c r="AA8" s="937"/>
      <c r="AB8" s="937"/>
      <c r="AC8" s="1398"/>
      <c r="AD8" s="1398"/>
    </row>
    <row r="9" spans="2:30" ht="9" customHeight="1">
      <c r="B9" s="943"/>
      <c r="C9" s="943"/>
      <c r="D9" s="943"/>
      <c r="F9" s="944"/>
      <c r="G9" s="944"/>
      <c r="H9" s="944"/>
      <c r="I9" s="944"/>
      <c r="K9" s="944"/>
      <c r="L9" s="944"/>
      <c r="M9" s="944"/>
      <c r="N9" s="944"/>
      <c r="P9" s="937"/>
      <c r="Q9" s="937"/>
      <c r="R9" s="1398"/>
      <c r="S9" s="1398"/>
      <c r="U9" s="939"/>
      <c r="V9" s="939"/>
      <c r="W9" s="939"/>
      <c r="X9" s="939"/>
      <c r="Y9" s="939"/>
      <c r="Z9" s="939"/>
      <c r="AA9" s="944"/>
      <c r="AB9" s="944"/>
      <c r="AC9" s="944"/>
      <c r="AD9" s="944"/>
    </row>
    <row r="10" spans="2:30" ht="12.95" customHeight="1">
      <c r="B10" s="1387" t="s">
        <v>830</v>
      </c>
      <c r="C10" s="1387"/>
      <c r="D10" s="1387"/>
      <c r="F10" s="1388" t="s">
        <v>290</v>
      </c>
      <c r="G10" s="1388"/>
      <c r="H10" s="1388"/>
      <c r="I10" s="1388"/>
      <c r="K10" s="1388" t="s">
        <v>290</v>
      </c>
      <c r="L10" s="1388"/>
      <c r="M10" s="1388"/>
      <c r="N10" s="1388"/>
      <c r="P10" s="944"/>
      <c r="Q10" s="944"/>
      <c r="R10" s="944"/>
      <c r="S10" s="944"/>
      <c r="U10" s="939"/>
      <c r="V10" s="939"/>
      <c r="W10" s="939"/>
      <c r="X10" s="939"/>
      <c r="Y10" s="939"/>
      <c r="Z10" s="939"/>
      <c r="AA10" s="944"/>
      <c r="AB10" s="944"/>
      <c r="AC10" s="944"/>
      <c r="AD10" s="944"/>
    </row>
    <row r="11" spans="2:30" ht="12.95" customHeight="1">
      <c r="B11" s="936" t="s">
        <v>831</v>
      </c>
      <c r="C11" s="1396">
        <v>532.54</v>
      </c>
      <c r="D11" s="1396"/>
      <c r="F11" s="937" t="s">
        <v>831</v>
      </c>
      <c r="G11" s="937"/>
      <c r="H11" s="1393">
        <f>H5*H12/106</f>
        <v>397.26561415094335</v>
      </c>
      <c r="I11" s="1393"/>
      <c r="K11" s="937" t="s">
        <v>831</v>
      </c>
      <c r="L11" s="937"/>
      <c r="M11" s="1393">
        <f>H11</f>
        <v>397.26561415094335</v>
      </c>
      <c r="N11" s="1393"/>
      <c r="P11" s="937"/>
      <c r="Q11" s="937"/>
      <c r="R11" s="1392"/>
      <c r="S11" s="1392"/>
      <c r="U11" s="939"/>
      <c r="V11" s="939"/>
      <c r="W11" s="939"/>
      <c r="X11" s="939"/>
      <c r="Y11" s="939"/>
      <c r="Z11" s="939"/>
      <c r="AA11" s="937"/>
      <c r="AB11" s="937"/>
      <c r="AC11" s="1392"/>
      <c r="AD11" s="1392"/>
    </row>
    <row r="12" spans="2:30" ht="12.95" customHeight="1">
      <c r="B12" s="936" t="s">
        <v>832</v>
      </c>
      <c r="C12" s="1396">
        <v>171.52</v>
      </c>
      <c r="D12" s="1396"/>
      <c r="F12" s="937" t="s">
        <v>833</v>
      </c>
      <c r="G12" s="937"/>
      <c r="H12" s="1393">
        <v>438.19099999999997</v>
      </c>
      <c r="I12" s="1393"/>
      <c r="J12" s="929">
        <f>(H12/1000)</f>
        <v>0.438191</v>
      </c>
      <c r="K12" s="937" t="s">
        <v>833</v>
      </c>
      <c r="L12" s="937"/>
      <c r="M12" s="1393">
        <f>H12</f>
        <v>438.19099999999997</v>
      </c>
      <c r="N12" s="1393"/>
      <c r="P12" s="937"/>
      <c r="Q12" s="937"/>
      <c r="R12" s="1392"/>
      <c r="S12" s="1392"/>
      <c r="U12" s="939"/>
      <c r="V12" s="939"/>
      <c r="W12" s="939"/>
      <c r="X12" s="939"/>
      <c r="Y12" s="939"/>
      <c r="Z12" s="939"/>
      <c r="AA12" s="937"/>
      <c r="AB12" s="937"/>
      <c r="AC12" s="1392"/>
      <c r="AD12" s="1392"/>
    </row>
    <row r="13" spans="2:30" ht="12.95" customHeight="1">
      <c r="B13" s="936" t="s">
        <v>834</v>
      </c>
      <c r="C13" s="1396">
        <v>43.08</v>
      </c>
      <c r="D13" s="1396"/>
      <c r="F13" s="937" t="s">
        <v>835</v>
      </c>
      <c r="G13" s="937"/>
      <c r="H13" s="1400">
        <v>0.5</v>
      </c>
      <c r="I13" s="1400"/>
      <c r="K13" s="937" t="s">
        <v>835</v>
      </c>
      <c r="L13" s="937"/>
      <c r="M13" s="1393">
        <f>H13</f>
        <v>0.5</v>
      </c>
      <c r="N13" s="1393"/>
      <c r="P13" s="937"/>
      <c r="Q13" s="937"/>
      <c r="R13" s="1392"/>
      <c r="S13" s="1392"/>
      <c r="U13" s="939"/>
      <c r="V13" s="939"/>
      <c r="W13" s="939"/>
      <c r="X13" s="939"/>
      <c r="Y13" s="939"/>
      <c r="Z13" s="939"/>
      <c r="AA13" s="937"/>
      <c r="AB13" s="937"/>
      <c r="AC13" s="1392"/>
      <c r="AD13" s="1392"/>
    </row>
    <row r="14" spans="2:30" ht="12.95" customHeight="1">
      <c r="B14" s="936" t="s">
        <v>836</v>
      </c>
      <c r="C14" s="1397">
        <v>798510.4</v>
      </c>
      <c r="D14" s="1397"/>
      <c r="F14" s="937" t="s">
        <v>837</v>
      </c>
      <c r="G14" s="937"/>
      <c r="H14" s="1398">
        <v>5.48</v>
      </c>
      <c r="I14" s="1398"/>
      <c r="J14" s="945"/>
      <c r="K14" s="937" t="s">
        <v>837</v>
      </c>
      <c r="L14" s="937"/>
      <c r="M14" s="1393">
        <f>H14</f>
        <v>5.48</v>
      </c>
      <c r="N14" s="1393"/>
      <c r="P14" s="937"/>
      <c r="Q14" s="937"/>
      <c r="R14" s="1399"/>
      <c r="S14" s="1399"/>
      <c r="U14" s="939"/>
      <c r="V14" s="939"/>
      <c r="W14" s="939"/>
      <c r="X14" s="939"/>
      <c r="Y14" s="939"/>
      <c r="Z14" s="939"/>
      <c r="AA14" s="937"/>
      <c r="AB14" s="937"/>
      <c r="AC14" s="1399"/>
      <c r="AD14" s="1399"/>
    </row>
    <row r="15" spans="2:30" ht="12.95" customHeight="1">
      <c r="B15" s="936" t="s">
        <v>838</v>
      </c>
      <c r="C15" s="1395" t="s">
        <v>839</v>
      </c>
      <c r="D15" s="1395"/>
      <c r="F15" s="937" t="s">
        <v>838</v>
      </c>
      <c r="G15" s="937"/>
      <c r="H15" s="1389" t="s">
        <v>1019</v>
      </c>
      <c r="I15" s="1389"/>
      <c r="J15" s="941">
        <f>73.869/H12</f>
        <v>0.16857717296795235</v>
      </c>
      <c r="K15" s="937" t="s">
        <v>838</v>
      </c>
      <c r="L15" s="937"/>
      <c r="M15" s="1393" t="str">
        <f>H15</f>
        <v>96.43/55.49</v>
      </c>
      <c r="N15" s="1393"/>
      <c r="P15" s="946"/>
      <c r="Q15" s="946"/>
      <c r="R15" s="1394"/>
      <c r="S15" s="1394"/>
      <c r="U15" s="940"/>
      <c r="V15" s="940"/>
      <c r="W15" s="940"/>
      <c r="X15" s="940"/>
      <c r="Y15" s="939"/>
      <c r="Z15" s="939"/>
      <c r="AA15" s="937"/>
      <c r="AB15" s="937"/>
      <c r="AC15" s="1389"/>
      <c r="AD15" s="1389"/>
    </row>
    <row r="16" spans="2:30" ht="12.95" customHeight="1">
      <c r="B16" s="936"/>
      <c r="C16" s="947"/>
      <c r="D16" s="947"/>
      <c r="F16" s="937" t="s">
        <v>840</v>
      </c>
      <c r="G16" s="1389" t="s">
        <v>884</v>
      </c>
      <c r="H16" s="1389"/>
      <c r="I16" s="1389"/>
      <c r="K16" s="937" t="s">
        <v>840</v>
      </c>
      <c r="L16" s="1389" t="str">
        <f>G16</f>
        <v>Nishat Group</v>
      </c>
      <c r="M16" s="1389"/>
      <c r="N16" s="1389"/>
      <c r="P16" s="948" t="s">
        <v>841</v>
      </c>
      <c r="Q16" s="937"/>
      <c r="R16" s="1389"/>
      <c r="S16" s="1389"/>
      <c r="U16" s="939"/>
      <c r="V16" s="939"/>
      <c r="W16" s="939"/>
      <c r="X16" s="939"/>
      <c r="Y16" s="939"/>
      <c r="Z16" s="939"/>
      <c r="AA16" s="937"/>
      <c r="AB16" s="937"/>
      <c r="AC16" s="1389"/>
      <c r="AD16" s="1389"/>
    </row>
    <row r="17" spans="2:30" ht="12.95" customHeight="1">
      <c r="B17" s="936"/>
      <c r="C17" s="947"/>
      <c r="D17" s="947"/>
      <c r="F17" s="937"/>
      <c r="G17" s="1389"/>
      <c r="H17" s="1389"/>
      <c r="I17" s="1389"/>
      <c r="J17" s="941"/>
      <c r="K17" s="937"/>
      <c r="L17" s="1389"/>
      <c r="M17" s="1389"/>
      <c r="N17" s="1389"/>
      <c r="P17" s="949" t="s">
        <v>842</v>
      </c>
      <c r="Q17" s="950"/>
      <c r="R17" s="950"/>
      <c r="S17" s="950"/>
      <c r="AA17" s="937"/>
      <c r="AB17" s="937"/>
      <c r="AC17" s="1389"/>
      <c r="AD17" s="1389"/>
    </row>
    <row r="18" spans="2:30">
      <c r="B18" s="936"/>
      <c r="C18" s="947"/>
      <c r="D18" s="947"/>
      <c r="F18" s="937"/>
      <c r="G18" s="1389"/>
      <c r="H18" s="1389"/>
      <c r="I18" s="1389"/>
      <c r="K18" s="1388" t="s">
        <v>843</v>
      </c>
      <c r="L18" s="1388"/>
      <c r="M18" s="1388"/>
      <c r="N18" s="1388"/>
      <c r="P18" s="937"/>
      <c r="Q18" s="937"/>
      <c r="R18" s="951"/>
      <c r="S18" s="951"/>
      <c r="AA18" s="937"/>
      <c r="AB18" s="937"/>
      <c r="AC18" s="1389"/>
      <c r="AD18" s="1389"/>
    </row>
    <row r="19" spans="2:30" ht="9" customHeight="1">
      <c r="B19" s="943"/>
      <c r="C19" s="943"/>
      <c r="D19" s="943"/>
      <c r="F19" s="944"/>
      <c r="G19" s="944"/>
      <c r="H19" s="944"/>
      <c r="I19" s="944"/>
      <c r="K19" s="944"/>
      <c r="L19" s="944"/>
      <c r="M19" s="944"/>
      <c r="N19" s="944"/>
      <c r="P19" s="944"/>
      <c r="Q19" s="944"/>
      <c r="R19" s="944"/>
      <c r="S19" s="944"/>
      <c r="AA19" s="944"/>
      <c r="AB19" s="944"/>
      <c r="AC19" s="944"/>
      <c r="AD19" s="944"/>
    </row>
    <row r="20" spans="2:30" ht="12.95" customHeight="1">
      <c r="B20" s="1387" t="s">
        <v>844</v>
      </c>
      <c r="C20" s="1387"/>
      <c r="D20" s="1387"/>
      <c r="F20" s="1388" t="s">
        <v>845</v>
      </c>
      <c r="G20" s="1388"/>
      <c r="H20" s="1388"/>
      <c r="I20" s="1388"/>
      <c r="K20" s="944"/>
      <c r="L20" s="944"/>
      <c r="M20" s="944"/>
      <c r="N20" s="944"/>
      <c r="P20" s="944"/>
      <c r="Q20" s="944"/>
      <c r="R20" s="944"/>
      <c r="S20" s="944"/>
      <c r="AA20" s="944"/>
      <c r="AB20" s="944"/>
      <c r="AC20" s="944"/>
      <c r="AD20" s="944"/>
    </row>
    <row r="21" spans="2:30" ht="12.95" customHeight="1">
      <c r="B21" s="952" t="s">
        <v>846</v>
      </c>
      <c r="C21" s="953" t="s">
        <v>847</v>
      </c>
      <c r="D21" s="953" t="s">
        <v>357</v>
      </c>
      <c r="F21" s="954"/>
      <c r="G21" s="955" t="s">
        <v>1017</v>
      </c>
      <c r="H21" s="955" t="s">
        <v>1018</v>
      </c>
      <c r="I21" s="955" t="s">
        <v>585</v>
      </c>
      <c r="K21" s="937"/>
      <c r="L21" s="937"/>
      <c r="M21" s="1389"/>
      <c r="N21" s="1389"/>
      <c r="P21" s="956"/>
      <c r="Q21" s="956"/>
      <c r="R21" s="957"/>
      <c r="S21" s="957"/>
      <c r="AA21" s="956"/>
      <c r="AB21" s="956"/>
      <c r="AC21" s="957"/>
      <c r="AD21" s="957"/>
    </row>
    <row r="22" spans="2:30" ht="12.95" customHeight="1">
      <c r="B22" s="952"/>
      <c r="C22" s="953"/>
      <c r="D22" s="953"/>
      <c r="F22" s="937" t="s">
        <v>850</v>
      </c>
      <c r="G22" s="958">
        <f>BS!R17/1000</f>
        <v>47.956797999999992</v>
      </c>
      <c r="H22" s="958">
        <f>BS!S17/1000</f>
        <v>61.516534999999998</v>
      </c>
      <c r="I22" s="958">
        <f>BS!T17/1000</f>
        <v>67.047941150690107</v>
      </c>
      <c r="K22" s="944"/>
      <c r="L22" s="944"/>
      <c r="M22" s="944"/>
      <c r="N22" s="944"/>
      <c r="P22" s="956"/>
      <c r="Q22" s="956"/>
      <c r="R22" s="957"/>
      <c r="S22" s="957"/>
      <c r="AA22" s="937"/>
      <c r="AB22" s="937"/>
      <c r="AC22" s="937"/>
      <c r="AD22" s="937"/>
    </row>
    <row r="23" spans="2:30" ht="12.95" customHeight="1">
      <c r="B23" s="952"/>
      <c r="C23" s="953"/>
      <c r="D23" s="953"/>
      <c r="F23" s="937" t="s">
        <v>851</v>
      </c>
      <c r="G23" s="958">
        <f>BS!R39/1000</f>
        <v>63.526719</v>
      </c>
      <c r="H23" s="958">
        <f>BS!S39/1000</f>
        <v>73.282068999999993</v>
      </c>
      <c r="I23" s="958">
        <f>BS!T39/1000</f>
        <v>78.896484736302199</v>
      </c>
      <c r="K23" s="944"/>
      <c r="L23" s="944"/>
      <c r="M23" s="944"/>
      <c r="N23" s="944"/>
      <c r="P23" s="937"/>
      <c r="Q23" s="937"/>
      <c r="R23" s="937"/>
      <c r="S23" s="937"/>
      <c r="AA23" s="937"/>
      <c r="AB23" s="937"/>
      <c r="AC23" s="937"/>
      <c r="AD23" s="937"/>
    </row>
    <row r="24" spans="2:30" ht="12.95" customHeight="1">
      <c r="B24" s="936" t="s">
        <v>852</v>
      </c>
      <c r="C24" s="959"/>
      <c r="D24" s="959"/>
      <c r="F24" s="937" t="s">
        <v>853</v>
      </c>
      <c r="G24" s="937">
        <f>IS!BJ30/1000</f>
        <v>5.5021689999999968</v>
      </c>
      <c r="H24" s="937">
        <f>IS!BP30/1000</f>
        <v>5.9654979999999975</v>
      </c>
      <c r="I24" s="937">
        <f>IS!BU30/1000</f>
        <v>6.8457637506901161</v>
      </c>
      <c r="J24" s="929">
        <f>I24/AVERAGE(H22:I22)</f>
        <v>0.10649541701809159</v>
      </c>
      <c r="K24" s="956"/>
      <c r="L24" s="956"/>
      <c r="M24" s="957"/>
      <c r="N24" s="957"/>
      <c r="P24" s="937"/>
      <c r="Q24" s="937"/>
      <c r="R24" s="937"/>
      <c r="S24" s="937"/>
      <c r="V24" s="960"/>
      <c r="W24" s="960"/>
      <c r="AA24" s="937"/>
      <c r="AB24" s="937"/>
      <c r="AC24" s="937"/>
      <c r="AD24" s="937"/>
    </row>
    <row r="25" spans="2:30" ht="12.95" customHeight="1">
      <c r="B25" s="936" t="s">
        <v>566</v>
      </c>
      <c r="C25" s="936">
        <v>52.5</v>
      </c>
      <c r="D25" s="936">
        <v>63.7</v>
      </c>
      <c r="F25" s="937" t="s">
        <v>854</v>
      </c>
      <c r="G25" s="961">
        <f>G24/(AVERAGE(BS!Q17,BS!R17)/1000)</f>
        <v>0.13604509378033144</v>
      </c>
      <c r="H25" s="961">
        <f>H24/(AVERAGE(BS!R17,BS!S17)/1000)</f>
        <v>0.10898540925944035</v>
      </c>
      <c r="I25" s="961">
        <f>I24/(AVERAGE(BS!S17,BS!T17)/1000)</f>
        <v>0.10649541701809156</v>
      </c>
      <c r="K25" s="937"/>
      <c r="L25" s="937"/>
      <c r="M25" s="937"/>
      <c r="N25" s="937"/>
      <c r="P25" s="937"/>
      <c r="Q25" s="937"/>
      <c r="R25" s="937"/>
      <c r="S25" s="937"/>
      <c r="AA25" s="937"/>
      <c r="AB25" s="937"/>
      <c r="AC25" s="937"/>
      <c r="AD25" s="937"/>
    </row>
    <row r="26" spans="2:30" ht="12.95" customHeight="1">
      <c r="B26" s="936" t="s">
        <v>855</v>
      </c>
      <c r="C26" s="959"/>
      <c r="D26" s="959"/>
      <c r="F26" s="937" t="s">
        <v>566</v>
      </c>
      <c r="G26" s="937">
        <f>G24/$J$12</f>
        <v>12.556554105401519</v>
      </c>
      <c r="H26" s="937">
        <f>H24/$J$12</f>
        <v>13.613921782966782</v>
      </c>
      <c r="I26" s="937">
        <f>I24/$J$12</f>
        <v>15.622784928695742</v>
      </c>
      <c r="J26" s="937"/>
      <c r="K26" s="937"/>
      <c r="L26" s="937"/>
      <c r="M26" s="937"/>
      <c r="N26" s="937"/>
      <c r="P26" s="937"/>
      <c r="Q26" s="937"/>
      <c r="R26" s="937"/>
      <c r="S26" s="937"/>
      <c r="AA26" s="937"/>
      <c r="AB26" s="937"/>
      <c r="AC26" s="937"/>
      <c r="AD26" s="937"/>
    </row>
    <row r="27" spans="2:30" ht="12.95" customHeight="1">
      <c r="B27" s="936" t="s">
        <v>856</v>
      </c>
      <c r="C27" s="936">
        <v>5</v>
      </c>
      <c r="D27" s="936">
        <v>4.0999999999999996</v>
      </c>
      <c r="F27" s="937" t="s">
        <v>857</v>
      </c>
      <c r="G27" s="962">
        <f>$H$5/G26</f>
        <v>7.6533736241107864</v>
      </c>
      <c r="H27" s="937">
        <f>$H$5/H26</f>
        <v>7.058950501701621</v>
      </c>
      <c r="I27" s="937">
        <f>+H5/I26</f>
        <v>6.1512720323944725</v>
      </c>
      <c r="J27" s="929">
        <f>+H5/J28</f>
        <v>0.62806037556556005</v>
      </c>
      <c r="K27" s="937"/>
      <c r="L27" s="937"/>
      <c r="M27" s="937"/>
      <c r="N27" s="937"/>
      <c r="P27" s="937"/>
      <c r="Q27" s="937"/>
      <c r="R27" s="937"/>
      <c r="S27" s="937"/>
      <c r="AA27" s="937"/>
      <c r="AB27" s="937"/>
      <c r="AC27" s="937"/>
      <c r="AD27" s="937"/>
    </row>
    <row r="28" spans="2:30" ht="12.95" customHeight="1">
      <c r="B28" s="936" t="s">
        <v>858</v>
      </c>
      <c r="C28" s="963"/>
      <c r="D28" s="963"/>
      <c r="F28" s="937" t="s">
        <v>859</v>
      </c>
      <c r="G28" s="937">
        <f>+$H$5/(G22/$J$12)</f>
        <v>0.87808521119362481</v>
      </c>
      <c r="H28" s="937">
        <f>+$H$5/(H22/$J$12)</f>
        <v>0.68453392409049052</v>
      </c>
      <c r="I28" s="937">
        <f>+$H$5/(I22/$J$12)</f>
        <v>0.62806037556556005</v>
      </c>
      <c r="J28" s="929">
        <f>+I22/J12</f>
        <v>153.01076733819295</v>
      </c>
      <c r="K28" s="937"/>
      <c r="L28" s="937"/>
      <c r="M28" s="937"/>
      <c r="N28" s="937"/>
      <c r="P28" s="946"/>
      <c r="Q28" s="946"/>
      <c r="R28" s="946"/>
      <c r="S28" s="946"/>
      <c r="AA28" s="937"/>
      <c r="AB28" s="937"/>
      <c r="AC28" s="937"/>
      <c r="AD28" s="937"/>
    </row>
    <row r="29" spans="2:30" ht="12.95" customHeight="1">
      <c r="B29" s="936" t="s">
        <v>860</v>
      </c>
      <c r="C29" s="963"/>
      <c r="D29" s="963"/>
      <c r="F29" s="937" t="s">
        <v>858</v>
      </c>
      <c r="G29" s="937">
        <v>3</v>
      </c>
      <c r="H29" s="937">
        <f>IS!BP36</f>
        <v>3</v>
      </c>
      <c r="I29" s="937">
        <f>IS!BU36</f>
        <v>4</v>
      </c>
      <c r="J29" s="929">
        <f>+H22/J12</f>
        <v>140.38749084303419</v>
      </c>
      <c r="K29" s="964"/>
      <c r="L29" s="964"/>
      <c r="M29" s="964"/>
      <c r="N29" s="964"/>
      <c r="P29" s="948" t="s">
        <v>841</v>
      </c>
      <c r="Q29" s="937"/>
      <c r="R29" s="965"/>
      <c r="S29" s="966"/>
      <c r="AA29" s="937"/>
      <c r="AB29" s="937"/>
      <c r="AC29" s="937"/>
      <c r="AD29" s="937"/>
    </row>
    <row r="30" spans="2:30" ht="12.95" customHeight="1">
      <c r="B30" s="936" t="s">
        <v>854</v>
      </c>
      <c r="C30" s="963"/>
      <c r="D30" s="963"/>
      <c r="F30" s="937" t="s">
        <v>860</v>
      </c>
      <c r="G30" s="966">
        <f>G29/$H$5</f>
        <v>3.1217481789802291E-2</v>
      </c>
      <c r="H30" s="966">
        <f>H29/$H$5</f>
        <v>3.1217481789802291E-2</v>
      </c>
      <c r="I30" s="966">
        <f>I29/$H$5</f>
        <v>4.1623309053069719E-2</v>
      </c>
      <c r="J30" s="941">
        <f>+G22/0.2365459</f>
        <v>202.73781113940251</v>
      </c>
      <c r="K30" s="948" t="s">
        <v>861</v>
      </c>
      <c r="L30" s="948"/>
      <c r="M30" s="948"/>
      <c r="N30" s="948"/>
      <c r="P30" s="949" t="s">
        <v>862</v>
      </c>
      <c r="Q30" s="950"/>
      <c r="R30" s="950"/>
      <c r="S30" s="950"/>
      <c r="AA30" s="937"/>
      <c r="AB30" s="937"/>
      <c r="AC30" s="937"/>
      <c r="AD30" s="937"/>
    </row>
    <row r="31" spans="2:30">
      <c r="B31" s="936"/>
      <c r="C31" s="963"/>
      <c r="D31" s="963"/>
      <c r="F31" s="937"/>
      <c r="G31" s="937"/>
      <c r="H31" s="937"/>
      <c r="I31" s="937"/>
      <c r="K31" s="1388" t="s">
        <v>863</v>
      </c>
      <c r="L31" s="1388"/>
      <c r="M31" s="1388"/>
      <c r="N31" s="1388"/>
      <c r="P31" s="937" t="s">
        <v>864</v>
      </c>
      <c r="Q31" s="937"/>
      <c r="R31" s="965"/>
      <c r="S31" s="966">
        <v>0.13</v>
      </c>
      <c r="AA31" s="937"/>
      <c r="AB31" s="937"/>
      <c r="AC31" s="965"/>
      <c r="AD31" s="965"/>
    </row>
    <row r="32" spans="2:30" ht="12.95" customHeight="1">
      <c r="B32" s="1387" t="s">
        <v>865</v>
      </c>
      <c r="C32" s="1387"/>
      <c r="D32" s="1387"/>
      <c r="F32" s="1388" t="s">
        <v>863</v>
      </c>
      <c r="G32" s="1388"/>
      <c r="H32" s="1388"/>
      <c r="I32" s="1388"/>
      <c r="K32" s="948"/>
      <c r="L32" s="937"/>
      <c r="M32" s="965"/>
      <c r="N32" s="966"/>
      <c r="P32" s="937" t="s">
        <v>866</v>
      </c>
      <c r="Q32" s="937"/>
      <c r="R32" s="965"/>
      <c r="S32" s="966">
        <v>0.125</v>
      </c>
      <c r="AA32" s="937"/>
      <c r="AB32" s="937"/>
      <c r="AC32" s="965"/>
      <c r="AD32" s="965"/>
    </row>
    <row r="33" spans="2:30" ht="12.95" customHeight="1">
      <c r="B33" s="936"/>
      <c r="C33" s="963"/>
      <c r="D33" s="963"/>
      <c r="F33" s="937"/>
      <c r="G33" s="937"/>
      <c r="H33" s="965"/>
      <c r="I33" s="965"/>
      <c r="K33" s="948"/>
      <c r="L33" s="937"/>
      <c r="M33" s="965"/>
      <c r="N33" s="966"/>
      <c r="P33" s="937" t="s">
        <v>867</v>
      </c>
      <c r="Q33" s="937"/>
      <c r="R33" s="965"/>
      <c r="S33" s="966">
        <v>0.13</v>
      </c>
      <c r="AA33" s="937"/>
      <c r="AB33" s="937"/>
      <c r="AC33" s="965"/>
      <c r="AD33" s="965"/>
    </row>
    <row r="34" spans="2:30" ht="12.95" customHeight="1">
      <c r="B34" s="936"/>
      <c r="C34" s="963"/>
      <c r="D34" s="963"/>
      <c r="F34" s="937"/>
      <c r="G34" s="937"/>
      <c r="H34" s="965"/>
      <c r="I34" s="965"/>
      <c r="J34" s="929">
        <f>1.75+4</f>
        <v>5.75</v>
      </c>
      <c r="K34" s="937"/>
      <c r="L34" s="937"/>
      <c r="M34" s="965"/>
      <c r="N34" s="965"/>
      <c r="P34" s="937" t="s">
        <v>868</v>
      </c>
      <c r="Q34" s="937"/>
      <c r="R34" s="965"/>
      <c r="S34" s="966">
        <v>0.14000000000000001</v>
      </c>
      <c r="U34" s="1434"/>
      <c r="V34" s="1434"/>
      <c r="W34" s="1434"/>
      <c r="X34" s="967"/>
      <c r="AA34" s="937"/>
      <c r="AB34" s="937"/>
      <c r="AC34" s="965"/>
      <c r="AD34" s="965"/>
    </row>
    <row r="35" spans="2:30" ht="12.95" customHeight="1">
      <c r="B35" s="936"/>
      <c r="C35" s="963"/>
      <c r="D35" s="963"/>
      <c r="F35" s="937"/>
      <c r="G35" s="937"/>
      <c r="H35" s="965"/>
      <c r="I35" s="965"/>
      <c r="K35" s="937"/>
      <c r="L35" s="937"/>
      <c r="M35" s="965"/>
      <c r="N35" s="965"/>
      <c r="P35" s="937" t="s">
        <v>869</v>
      </c>
      <c r="Q35" s="937"/>
      <c r="R35" s="965"/>
      <c r="S35" s="966">
        <v>0.15</v>
      </c>
      <c r="U35" s="968"/>
      <c r="V35" s="967"/>
      <c r="W35" s="967"/>
      <c r="X35" s="969"/>
      <c r="AA35" s="937"/>
      <c r="AB35" s="937"/>
      <c r="AC35" s="965"/>
      <c r="AD35" s="965"/>
    </row>
    <row r="36" spans="2:30" ht="12.95" customHeight="1">
      <c r="B36" s="936"/>
      <c r="C36" s="963"/>
      <c r="D36" s="963"/>
      <c r="F36" s="937"/>
      <c r="G36" s="937"/>
      <c r="H36" s="965"/>
      <c r="I36" s="965"/>
      <c r="K36" s="937"/>
      <c r="L36" s="937"/>
      <c r="M36" s="965"/>
      <c r="N36" s="965"/>
      <c r="P36" s="937" t="s">
        <v>870</v>
      </c>
      <c r="Q36" s="937"/>
      <c r="R36" s="965"/>
      <c r="S36" s="966">
        <v>0.13</v>
      </c>
      <c r="U36" s="968"/>
      <c r="V36" s="967"/>
      <c r="W36" s="967"/>
      <c r="X36" s="969"/>
      <c r="AA36" s="937"/>
      <c r="AB36" s="937"/>
      <c r="AC36" s="965"/>
      <c r="AD36" s="965"/>
    </row>
    <row r="37" spans="2:30" ht="12.95" customHeight="1">
      <c r="B37" s="936"/>
      <c r="C37" s="963"/>
      <c r="D37" s="963"/>
      <c r="F37" s="937"/>
      <c r="G37" s="937"/>
      <c r="H37" s="965"/>
      <c r="I37" s="965"/>
      <c r="K37" s="937"/>
      <c r="L37" s="937"/>
      <c r="M37" s="965"/>
      <c r="N37" s="965"/>
      <c r="P37" s="937" t="s">
        <v>871</v>
      </c>
      <c r="Q37" s="937"/>
      <c r="R37" s="965"/>
      <c r="S37" s="966">
        <v>0.12</v>
      </c>
      <c r="U37" s="968"/>
      <c r="V37" s="967"/>
      <c r="W37" s="967"/>
      <c r="X37" s="969"/>
      <c r="AA37" s="937"/>
      <c r="AB37" s="937"/>
      <c r="AC37" s="965"/>
      <c r="AD37" s="965"/>
    </row>
    <row r="38" spans="2:30" ht="12.95" customHeight="1">
      <c r="B38" s="936"/>
      <c r="C38" s="963"/>
      <c r="D38" s="963"/>
      <c r="F38" s="937"/>
      <c r="G38" s="937"/>
      <c r="H38" s="965"/>
      <c r="I38" s="965"/>
      <c r="K38" s="937"/>
      <c r="L38" s="937"/>
      <c r="M38" s="965"/>
      <c r="N38" s="965"/>
      <c r="P38" s="937" t="s">
        <v>872</v>
      </c>
      <c r="Q38" s="937"/>
      <c r="R38" s="965"/>
      <c r="S38" s="966">
        <v>0.1</v>
      </c>
      <c r="U38" s="968"/>
      <c r="V38" s="967"/>
      <c r="W38" s="967"/>
      <c r="X38" s="969"/>
      <c r="AA38" s="937"/>
      <c r="AB38" s="937"/>
      <c r="AC38" s="965"/>
      <c r="AD38" s="965"/>
    </row>
    <row r="39" spans="2:30" ht="12.95" customHeight="1">
      <c r="B39" s="936"/>
      <c r="C39" s="963"/>
      <c r="D39" s="963"/>
      <c r="F39" s="937"/>
      <c r="G39" s="937"/>
      <c r="H39" s="965"/>
      <c r="I39" s="965"/>
      <c r="K39" s="937"/>
      <c r="L39" s="937"/>
      <c r="M39" s="965"/>
      <c r="N39" s="965"/>
      <c r="P39" s="946" t="s">
        <v>873</v>
      </c>
      <c r="Q39" s="946"/>
      <c r="R39" s="970"/>
      <c r="S39" s="971">
        <v>9.5000000000000001E-2</v>
      </c>
      <c r="U39" s="968"/>
      <c r="V39" s="967"/>
      <c r="W39" s="967"/>
      <c r="X39" s="969"/>
      <c r="AA39" s="937"/>
      <c r="AB39" s="937"/>
      <c r="AC39" s="965"/>
      <c r="AD39" s="965"/>
    </row>
    <row r="40" spans="2:30" ht="12.95" customHeight="1">
      <c r="B40" s="936"/>
      <c r="C40" s="963"/>
      <c r="D40" s="963"/>
      <c r="F40" s="937"/>
      <c r="G40" s="937"/>
      <c r="H40" s="965"/>
      <c r="I40" s="965"/>
      <c r="K40" s="937"/>
      <c r="L40" s="937"/>
      <c r="M40" s="965"/>
      <c r="N40" s="965"/>
      <c r="P40" s="948" t="s">
        <v>874</v>
      </c>
      <c r="Q40" s="937"/>
      <c r="R40" s="965"/>
      <c r="S40" s="966"/>
      <c r="U40" s="968"/>
      <c r="V40" s="967"/>
      <c r="W40" s="967"/>
      <c r="X40" s="969"/>
      <c r="AA40" s="937"/>
      <c r="AB40" s="937"/>
      <c r="AC40" s="965"/>
      <c r="AD40" s="965"/>
    </row>
    <row r="41" spans="2:30" ht="6" customHeight="1">
      <c r="B41" s="936"/>
      <c r="C41" s="963"/>
      <c r="D41" s="963"/>
      <c r="F41" s="937"/>
      <c r="G41" s="937"/>
      <c r="H41" s="965"/>
      <c r="I41" s="965"/>
      <c r="K41" s="937"/>
      <c r="L41" s="937"/>
      <c r="M41" s="965"/>
      <c r="N41" s="965"/>
      <c r="P41" s="937"/>
      <c r="Q41" s="937"/>
      <c r="R41" s="965"/>
      <c r="S41" s="966"/>
      <c r="U41" s="968"/>
      <c r="V41" s="967"/>
      <c r="W41" s="967"/>
      <c r="X41" s="969"/>
      <c r="AA41" s="937"/>
      <c r="AB41" s="937"/>
      <c r="AC41" s="965"/>
      <c r="AD41" s="965"/>
    </row>
    <row r="42" spans="2:30" ht="12.95" customHeight="1">
      <c r="B42" s="936"/>
      <c r="C42" s="963"/>
      <c r="D42" s="963"/>
      <c r="F42" s="937"/>
      <c r="G42" s="972"/>
      <c r="H42" s="973"/>
      <c r="I42" s="973"/>
      <c r="J42" s="929">
        <f>95/85-1</f>
        <v>0.11764705882352944</v>
      </c>
      <c r="K42" s="937"/>
      <c r="L42" s="937"/>
      <c r="M42" s="965"/>
      <c r="N42" s="965"/>
      <c r="P42" s="937"/>
      <c r="Q42" s="937"/>
      <c r="R42" s="965"/>
      <c r="S42" s="966"/>
      <c r="U42" s="968"/>
      <c r="V42" s="967"/>
      <c r="W42" s="967"/>
      <c r="X42" s="969"/>
      <c r="AA42" s="937"/>
      <c r="AB42" s="972"/>
      <c r="AC42" s="973"/>
      <c r="AD42" s="973"/>
    </row>
    <row r="43" spans="2:30" ht="10.5" customHeight="1">
      <c r="B43" s="936"/>
      <c r="C43" s="963"/>
      <c r="D43" s="963"/>
      <c r="F43" s="946"/>
      <c r="G43" s="974"/>
      <c r="H43" s="974"/>
      <c r="I43" s="974"/>
      <c r="K43" s="975" t="s">
        <v>875</v>
      </c>
      <c r="L43" s="975"/>
      <c r="M43" s="975"/>
      <c r="N43" s="975"/>
      <c r="P43" s="937"/>
      <c r="Q43" s="937"/>
      <c r="R43" s="965"/>
      <c r="S43" s="966"/>
      <c r="U43" s="968"/>
      <c r="V43" s="967"/>
      <c r="W43" s="967"/>
      <c r="X43" s="1432"/>
      <c r="AA43" s="937"/>
      <c r="AB43" s="976"/>
      <c r="AC43" s="976"/>
      <c r="AD43" s="976"/>
    </row>
    <row r="44" spans="2:30" ht="12.95" customHeight="1">
      <c r="B44" s="936"/>
      <c r="C44" s="963"/>
      <c r="D44" s="963"/>
      <c r="F44" s="948" t="s">
        <v>875</v>
      </c>
      <c r="G44" s="976"/>
      <c r="H44" s="976"/>
      <c r="I44" s="976"/>
      <c r="K44" s="937"/>
      <c r="L44" s="976"/>
      <c r="M44" s="976"/>
      <c r="N44" s="976"/>
      <c r="P44" s="937"/>
      <c r="Q44" s="976"/>
      <c r="R44" s="976"/>
      <c r="S44" s="976"/>
      <c r="X44" s="1433"/>
      <c r="AA44" s="937"/>
      <c r="AB44" s="976"/>
      <c r="AC44" s="976"/>
      <c r="AD44" s="976"/>
    </row>
    <row r="45" spans="2:30" ht="3" customHeight="1">
      <c r="B45" s="936"/>
      <c r="C45" s="963"/>
      <c r="D45" s="963"/>
      <c r="F45" s="937"/>
      <c r="G45" s="937"/>
      <c r="H45" s="965"/>
      <c r="I45" s="965"/>
      <c r="K45" s="937"/>
      <c r="L45" s="937"/>
      <c r="M45" s="965"/>
      <c r="N45" s="965"/>
      <c r="P45" s="937"/>
      <c r="Q45" s="937"/>
      <c r="R45" s="965"/>
      <c r="S45" s="965"/>
      <c r="AA45" s="937"/>
      <c r="AB45" s="937"/>
      <c r="AC45" s="965"/>
      <c r="AD45" s="965"/>
    </row>
    <row r="46" spans="2:30" ht="3" customHeight="1">
      <c r="B46" s="936"/>
      <c r="C46" s="963"/>
      <c r="D46" s="963"/>
      <c r="F46" s="977"/>
      <c r="G46" s="977"/>
      <c r="H46" s="977"/>
      <c r="I46" s="977"/>
      <c r="K46" s="977"/>
      <c r="L46" s="977"/>
      <c r="M46" s="977"/>
      <c r="N46" s="977"/>
      <c r="P46" s="977"/>
      <c r="Q46" s="977"/>
      <c r="R46" s="977"/>
      <c r="S46" s="977"/>
      <c r="AA46" s="977"/>
      <c r="AB46" s="977"/>
      <c r="AC46" s="977"/>
      <c r="AD46" s="977"/>
    </row>
    <row r="47" spans="2:30" ht="13.5" customHeight="1">
      <c r="B47" s="936"/>
      <c r="C47" s="963"/>
      <c r="D47" s="963"/>
      <c r="F47" s="978" t="s">
        <v>876</v>
      </c>
      <c r="G47" s="979"/>
      <c r="H47" s="980"/>
      <c r="I47" s="980"/>
      <c r="K47" s="978" t="s">
        <v>876</v>
      </c>
      <c r="L47" s="979"/>
      <c r="M47" s="980"/>
      <c r="N47" s="980"/>
      <c r="P47" s="978" t="s">
        <v>876</v>
      </c>
      <c r="Q47" s="979"/>
      <c r="R47" s="980"/>
      <c r="S47" s="980"/>
      <c r="AA47" s="978"/>
      <c r="AB47" s="979"/>
      <c r="AC47" s="980"/>
      <c r="AD47" s="980"/>
    </row>
    <row r="48" spans="2:30" ht="13.5" customHeight="1">
      <c r="B48" s="936"/>
      <c r="C48" s="963"/>
      <c r="D48" s="963"/>
      <c r="F48" s="979" t="s">
        <v>1050</v>
      </c>
      <c r="G48" s="979"/>
      <c r="H48" s="980"/>
      <c r="I48" s="980"/>
      <c r="K48" s="979" t="s">
        <v>1050</v>
      </c>
      <c r="L48" s="979"/>
      <c r="M48" s="980"/>
      <c r="N48" s="980"/>
      <c r="P48" s="979" t="s">
        <v>1050</v>
      </c>
      <c r="Q48" s="979"/>
      <c r="R48" s="980"/>
      <c r="S48" s="980"/>
      <c r="AA48" s="979"/>
      <c r="AB48" s="979"/>
      <c r="AC48" s="980"/>
      <c r="AD48" s="980"/>
    </row>
    <row r="49" spans="2:34" ht="13.5" customHeight="1">
      <c r="B49" s="936"/>
      <c r="C49" s="963"/>
      <c r="D49" s="963"/>
      <c r="F49" s="1380" t="s">
        <v>1052</v>
      </c>
      <c r="G49" s="981"/>
      <c r="H49" s="981"/>
      <c r="I49" s="981"/>
      <c r="K49" s="1380" t="s">
        <v>1052</v>
      </c>
      <c r="L49" s="979"/>
      <c r="M49" s="980"/>
      <c r="N49" s="980"/>
      <c r="P49" s="1380" t="s">
        <v>1052</v>
      </c>
      <c r="Q49" s="979"/>
      <c r="R49" s="980"/>
      <c r="S49" s="980"/>
      <c r="AA49" s="979"/>
      <c r="AB49" s="979"/>
      <c r="AC49" s="980"/>
      <c r="AD49" s="980"/>
    </row>
    <row r="50" spans="2:34" ht="13.5" customHeight="1">
      <c r="B50" s="936"/>
      <c r="C50" s="963"/>
      <c r="D50" s="963"/>
      <c r="F50" s="979" t="s">
        <v>1051</v>
      </c>
      <c r="G50" s="979"/>
      <c r="H50" s="980"/>
      <c r="I50" s="980"/>
      <c r="K50" s="979" t="s">
        <v>1051</v>
      </c>
      <c r="L50" s="979"/>
      <c r="M50" s="980"/>
      <c r="N50" s="980"/>
      <c r="P50" s="979" t="s">
        <v>1051</v>
      </c>
      <c r="Q50" s="979"/>
      <c r="R50" s="980"/>
      <c r="S50" s="980"/>
      <c r="AA50" s="979"/>
      <c r="AB50" s="979"/>
      <c r="AC50" s="980"/>
      <c r="AD50" s="980"/>
    </row>
    <row r="51" spans="2:34" ht="3" customHeight="1">
      <c r="B51" s="936"/>
      <c r="C51" s="963"/>
      <c r="D51" s="963"/>
      <c r="F51" s="979"/>
      <c r="G51" s="979"/>
      <c r="H51" s="980"/>
      <c r="I51" s="980"/>
      <c r="K51" s="979"/>
      <c r="L51" s="979"/>
      <c r="M51" s="980"/>
      <c r="N51" s="980"/>
      <c r="P51" s="979"/>
      <c r="Q51" s="979"/>
      <c r="R51" s="980"/>
      <c r="S51" s="980"/>
      <c r="AA51" s="979"/>
      <c r="AB51" s="979"/>
      <c r="AC51" s="980"/>
      <c r="AD51" s="980"/>
    </row>
    <row r="52" spans="2:34" ht="3" customHeight="1">
      <c r="B52" s="936"/>
      <c r="C52" s="963"/>
      <c r="D52" s="963"/>
      <c r="F52" s="977"/>
      <c r="G52" s="977"/>
      <c r="H52" s="977"/>
      <c r="I52" s="977"/>
      <c r="K52" s="977"/>
      <c r="L52" s="977"/>
      <c r="M52" s="977"/>
      <c r="N52" s="977"/>
      <c r="P52" s="977"/>
      <c r="Q52" s="977"/>
      <c r="R52" s="977"/>
      <c r="S52" s="977"/>
      <c r="AA52" s="977"/>
      <c r="AB52" s="977"/>
      <c r="AC52" s="977"/>
      <c r="AD52" s="977"/>
    </row>
    <row r="53" spans="2:34" ht="8.25" customHeight="1">
      <c r="B53" s="936"/>
      <c r="C53" s="982"/>
      <c r="D53" s="982"/>
      <c r="F53" s="1390"/>
      <c r="G53" s="1390"/>
      <c r="H53" s="1390"/>
      <c r="I53" s="1390"/>
      <c r="K53" s="1391"/>
      <c r="L53" s="1391"/>
      <c r="M53" s="1391"/>
      <c r="N53" s="1391"/>
      <c r="P53" s="1390"/>
      <c r="Q53" s="1390"/>
      <c r="R53" s="1390"/>
      <c r="S53" s="1390"/>
      <c r="AA53" s="1390"/>
      <c r="AB53" s="1390"/>
      <c r="AC53" s="1390"/>
      <c r="AD53" s="1390"/>
    </row>
    <row r="54" spans="2:34" ht="9.75" customHeight="1">
      <c r="B54" s="982"/>
      <c r="C54" s="982"/>
      <c r="D54" s="982"/>
      <c r="F54" s="1390"/>
      <c r="G54" s="1390"/>
      <c r="H54" s="1390"/>
      <c r="I54" s="1390"/>
      <c r="K54" s="1391"/>
      <c r="L54" s="1391"/>
      <c r="M54" s="1391"/>
      <c r="N54" s="1391"/>
      <c r="P54" s="1390"/>
      <c r="Q54" s="1390"/>
      <c r="R54" s="1390"/>
      <c r="S54" s="1390"/>
      <c r="AA54" s="1390"/>
      <c r="AB54" s="1390"/>
      <c r="AC54" s="1390"/>
      <c r="AD54" s="1390"/>
    </row>
    <row r="55" spans="2:34" ht="4.5" customHeight="1">
      <c r="B55" s="983"/>
      <c r="C55" s="984"/>
      <c r="D55" s="984"/>
      <c r="F55" s="985"/>
      <c r="G55" s="985"/>
      <c r="H55" s="986"/>
      <c r="I55" s="986"/>
      <c r="K55" s="987"/>
      <c r="L55" s="987"/>
      <c r="M55" s="987"/>
      <c r="N55" s="987"/>
      <c r="P55" s="985"/>
      <c r="Q55" s="985"/>
      <c r="R55" s="986"/>
      <c r="S55" s="986"/>
    </row>
    <row r="57" spans="2:34">
      <c r="AH57" s="960">
        <f>9*24*300*1000</f>
        <v>64800000</v>
      </c>
    </row>
    <row r="58" spans="2:34">
      <c r="P58" s="988"/>
      <c r="AH58" s="960">
        <f>AH57*[26]Assump!AG116</f>
        <v>578858400</v>
      </c>
    </row>
    <row r="59" spans="2:34" ht="15">
      <c r="K59" s="989"/>
      <c r="U59" s="990" t="s">
        <v>611</v>
      </c>
      <c r="V59" s="990"/>
      <c r="W59" s="990"/>
      <c r="X59" s="990"/>
      <c r="Y59" s="990"/>
      <c r="Z59" s="990"/>
      <c r="AA59" s="990"/>
      <c r="AE59" s="960">
        <v>2000</v>
      </c>
      <c r="AF59" s="960"/>
      <c r="AH59" s="960">
        <f>AH57*0.7</f>
        <v>45360000</v>
      </c>
    </row>
    <row r="60" spans="2:34">
      <c r="U60" s="991" t="s">
        <v>612</v>
      </c>
      <c r="V60" s="992" t="s">
        <v>628</v>
      </c>
      <c r="W60" s="992" t="s">
        <v>610</v>
      </c>
      <c r="X60" s="992" t="s">
        <v>597</v>
      </c>
      <c r="Y60" s="992" t="s">
        <v>539</v>
      </c>
      <c r="Z60" s="992" t="s">
        <v>538</v>
      </c>
      <c r="AA60" s="992" t="s">
        <v>597</v>
      </c>
      <c r="AE60" s="960">
        <f>AE59*0.6</f>
        <v>1200</v>
      </c>
      <c r="AF60" s="960">
        <f>AE59*0.4</f>
        <v>800</v>
      </c>
      <c r="AH60" s="960">
        <f>AH58-AH59</f>
        <v>533498400</v>
      </c>
    </row>
    <row r="61" spans="2:34">
      <c r="U61" s="993" t="s">
        <v>164</v>
      </c>
      <c r="V61" s="994">
        <f>[26]IS!AC14</f>
        <v>2103.5142689999998</v>
      </c>
      <c r="W61" s="994">
        <f>[26]IS!X14</f>
        <v>1701.489812</v>
      </c>
      <c r="X61" s="995">
        <f>V61/W61-1</f>
        <v>0.23627791019650246</v>
      </c>
      <c r="Y61" s="994">
        <f>[26]IS!AB14</f>
        <v>9316.3608729999996</v>
      </c>
      <c r="Z61" s="994">
        <f>[26]IS!W14</f>
        <v>6085.4345170000006</v>
      </c>
      <c r="AA61" s="996">
        <f>Y61/Z61-1</f>
        <v>0.53092779931724277</v>
      </c>
      <c r="AE61" s="941">
        <f>AE60*(0.105+0.01)</f>
        <v>138</v>
      </c>
      <c r="AH61" s="997">
        <f>AH60/129000000</f>
        <v>4.1356465116279066</v>
      </c>
    </row>
    <row r="62" spans="2:34">
      <c r="U62" s="993" t="s">
        <v>165</v>
      </c>
      <c r="V62" s="994">
        <f>[26]IS!AC15</f>
        <v>1377.052396</v>
      </c>
      <c r="W62" s="994">
        <f>[26]IS!X15</f>
        <v>1362.2052120000001</v>
      </c>
      <c r="X62" s="996">
        <f t="shared" ref="X62:X69" si="0">V62/W62-1</f>
        <v>1.0899373948365154E-2</v>
      </c>
      <c r="Y62" s="994">
        <f>[26]IS!AB15</f>
        <v>6463.9772560000001</v>
      </c>
      <c r="Z62" s="994">
        <f>[26]IS!W15</f>
        <v>5158.3026140000002</v>
      </c>
      <c r="AA62" s="996">
        <f t="shared" ref="AA62:AA67" si="1">Y62/Z62-1</f>
        <v>0.25312098566228092</v>
      </c>
      <c r="AE62" s="960"/>
      <c r="AH62" s="941">
        <f>AH61*0.75</f>
        <v>3.1017348837209298</v>
      </c>
    </row>
    <row r="63" spans="2:34">
      <c r="U63" s="993" t="s">
        <v>483</v>
      </c>
      <c r="V63" s="994">
        <f>[26]IS!AC16</f>
        <v>726.46187299999974</v>
      </c>
      <c r="W63" s="994">
        <f>[26]IS!X16</f>
        <v>339.28459999999995</v>
      </c>
      <c r="X63" s="996">
        <f t="shared" si="0"/>
        <v>1.1411578155919835</v>
      </c>
      <c r="Y63" s="994">
        <f>[26]IS!AB16</f>
        <v>2852.3836169999995</v>
      </c>
      <c r="Z63" s="994">
        <f>[26]IS!W16</f>
        <v>927.13190300000042</v>
      </c>
      <c r="AA63" s="996">
        <f t="shared" si="1"/>
        <v>2.0765672152692582</v>
      </c>
      <c r="AE63" s="960"/>
    </row>
    <row r="64" spans="2:34">
      <c r="U64" s="998" t="s">
        <v>599</v>
      </c>
      <c r="V64" s="999">
        <f>[26]IS!AC17</f>
        <v>12.395078</v>
      </c>
      <c r="W64" s="999">
        <f>[26]IS!X17</f>
        <v>8.8692410000000006</v>
      </c>
      <c r="X64" s="996">
        <f t="shared" si="0"/>
        <v>0.39753536971201919</v>
      </c>
      <c r="Y64" s="994">
        <f>[26]IS!AB17</f>
        <v>46.242716000000001</v>
      </c>
      <c r="Z64" s="994">
        <f>[26]IS!W17</f>
        <v>41.199134000000001</v>
      </c>
      <c r="AA64" s="996">
        <f t="shared" si="1"/>
        <v>0.12241961202388385</v>
      </c>
      <c r="AH64" s="941">
        <f>AH60*0.75</f>
        <v>400123800</v>
      </c>
    </row>
    <row r="65" spans="21:34">
      <c r="U65" s="998" t="s">
        <v>877</v>
      </c>
      <c r="V65" s="999">
        <f>[26]IS!AC18</f>
        <v>22.341999999999999</v>
      </c>
      <c r="W65" s="999">
        <f>[26]IS!X18</f>
        <v>14.466707</v>
      </c>
      <c r="X65" s="996">
        <f t="shared" si="0"/>
        <v>0.54437357444233858</v>
      </c>
      <c r="Y65" s="994">
        <f>[26]IS!AB18</f>
        <v>66.714848000000003</v>
      </c>
      <c r="Z65" s="994">
        <f>[26]IS!W18</f>
        <v>48.845016000000001</v>
      </c>
      <c r="AA65" s="996">
        <f t="shared" si="1"/>
        <v>0.36584760254761717</v>
      </c>
      <c r="AH65" s="941"/>
    </row>
    <row r="66" spans="21:34">
      <c r="U66" s="998" t="s">
        <v>484</v>
      </c>
      <c r="V66" s="994">
        <f>[26]IS!AC19</f>
        <v>691.72479499999974</v>
      </c>
      <c r="W66" s="994">
        <f>[26]IS!X19</f>
        <v>315.94865199999998</v>
      </c>
      <c r="X66" s="996">
        <f t="shared" si="0"/>
        <v>1.1893582726853977</v>
      </c>
      <c r="Y66" s="994">
        <f>[26]IS!AB19</f>
        <v>2739.4260529999992</v>
      </c>
      <c r="Z66" s="994">
        <f>[26]IS!W19</f>
        <v>837.08775300000048</v>
      </c>
      <c r="AA66" s="996">
        <f t="shared" si="1"/>
        <v>2.2725673541182458</v>
      </c>
      <c r="AE66" s="929">
        <v>8.31</v>
      </c>
      <c r="AF66" s="960">
        <v>59.96</v>
      </c>
      <c r="AG66" s="997">
        <f>AF66/AE66</f>
        <v>7.2154031287605296</v>
      </c>
    </row>
    <row r="67" spans="21:34">
      <c r="U67" s="998" t="s">
        <v>552</v>
      </c>
      <c r="V67" s="994">
        <f>[26]IS!AC25</f>
        <v>84.797948000000005</v>
      </c>
      <c r="W67" s="994">
        <f>[26]IS!X25</f>
        <v>179.75890200000001</v>
      </c>
      <c r="X67" s="996">
        <f t="shared" si="0"/>
        <v>-0.52826843590755801</v>
      </c>
      <c r="Y67" s="994">
        <f>[26]IS!AB25</f>
        <v>626.020398</v>
      </c>
      <c r="Z67" s="994">
        <f>[26]IS!W25</f>
        <v>715.24690599999997</v>
      </c>
      <c r="AA67" s="996">
        <f t="shared" si="1"/>
        <v>-0.12474924008968724</v>
      </c>
      <c r="AG67" s="1000">
        <f>AF66/AE66-1</f>
        <v>6.2154031287605296</v>
      </c>
    </row>
    <row r="68" spans="21:34">
      <c r="U68" s="998" t="s">
        <v>20</v>
      </c>
      <c r="V68" s="994">
        <f>[26]IS!AC28</f>
        <v>577.92822899999976</v>
      </c>
      <c r="W68" s="994">
        <f>[26]IS!X28</f>
        <v>138.99115600000002</v>
      </c>
      <c r="X68" s="996">
        <f t="shared" si="0"/>
        <v>3.1580216010290592</v>
      </c>
      <c r="Y68" s="994">
        <f>[26]IS!AB28</f>
        <v>2036.0043859999992</v>
      </c>
      <c r="Z68" s="994">
        <f>[26]IS!W28</f>
        <v>125.78080700000055</v>
      </c>
      <c r="AA68" s="1001" t="s">
        <v>878</v>
      </c>
      <c r="AB68" s="929">
        <f>Y68/Z68</f>
        <v>16.186924178344558</v>
      </c>
      <c r="AE68" s="929">
        <v>11347.7</v>
      </c>
      <c r="AF68" s="929">
        <v>15278.5</v>
      </c>
      <c r="AG68" s="1000">
        <f>AF68/AE68-1</f>
        <v>0.3463961860112621</v>
      </c>
    </row>
    <row r="69" spans="21:34">
      <c r="U69" s="998" t="s">
        <v>21</v>
      </c>
      <c r="V69" s="994">
        <f>[26]IS!AC33</f>
        <v>476.11181299999976</v>
      </c>
      <c r="W69" s="994">
        <f>[26]IS!X33</f>
        <v>128.08360100000002</v>
      </c>
      <c r="X69" s="996">
        <f t="shared" si="0"/>
        <v>2.7171957165695217</v>
      </c>
      <c r="Y69" s="994">
        <f>[26]IS!AB33</f>
        <v>1660.5313859999992</v>
      </c>
      <c r="Z69" s="994">
        <f>[26]IS!W33</f>
        <v>63.71597100000055</v>
      </c>
      <c r="AA69" s="1001" t="s">
        <v>879</v>
      </c>
      <c r="AB69" s="929">
        <f>Y69/Z69</f>
        <v>26.061462454993976</v>
      </c>
      <c r="AG69" s="1002">
        <f>AG67-AG68</f>
        <v>5.8690069427492677</v>
      </c>
    </row>
    <row r="70" spans="21:34">
      <c r="U70" s="1003" t="s">
        <v>880</v>
      </c>
      <c r="V70" s="1004">
        <f>[26]IS!AC35</f>
        <v>3.6977478649142519</v>
      </c>
      <c r="W70" s="1004">
        <f>[26]IS!X35</f>
        <v>0.99476813890412596</v>
      </c>
      <c r="X70" s="1005"/>
      <c r="Y70" s="1004">
        <f>[26]IS!AB35</f>
        <v>12.896605838268927</v>
      </c>
      <c r="Z70" s="1004">
        <f>[26]IS!W35</f>
        <v>0.49485349721030875</v>
      </c>
      <c r="AA70" s="1005"/>
    </row>
    <row r="71" spans="21:34">
      <c r="U71" s="1006" t="s">
        <v>881</v>
      </c>
      <c r="V71" s="993"/>
      <c r="W71" s="993"/>
      <c r="X71" s="993"/>
      <c r="Y71" s="993"/>
      <c r="Z71" s="993"/>
      <c r="AA71" s="993"/>
    </row>
    <row r="72" spans="21:34">
      <c r="U72" s="1007"/>
    </row>
    <row r="73" spans="21:34">
      <c r="U73" s="1007"/>
      <c r="V73" s="929">
        <f>[26]Assump!AC48</f>
        <v>350779</v>
      </c>
      <c r="W73" s="929">
        <f>[26]Assump!X48</f>
        <v>349000</v>
      </c>
      <c r="X73" s="929">
        <f>V73/W73-1</f>
        <v>5.0974212034384792E-3</v>
      </c>
      <c r="Y73" s="929">
        <f>[26]Assump!AB48</f>
        <v>1687682</v>
      </c>
      <c r="Z73" s="929">
        <f>[26]Assump!W48</f>
        <v>1492523</v>
      </c>
      <c r="AA73" s="1008">
        <f>Y73/Z73-1</f>
        <v>0.13075778396714832</v>
      </c>
    </row>
    <row r="74" spans="21:34">
      <c r="U74" s="1007"/>
    </row>
    <row r="75" spans="21:34">
      <c r="U75" s="1007"/>
      <c r="V75" s="929">
        <f>V61*1000000/V73</f>
        <v>5996.693841421521</v>
      </c>
      <c r="W75" s="929">
        <f>W61*1000000/W73</f>
        <v>4875.3289742120342</v>
      </c>
      <c r="X75" s="929">
        <f>V75/W75-1</f>
        <v>0.2300080411272607</v>
      </c>
      <c r="Y75" s="941">
        <f>Y61*1000000/Y73</f>
        <v>5520.2110782718546</v>
      </c>
      <c r="Z75" s="941">
        <f>Z61*1000000/Z73</f>
        <v>4077.2802275073823</v>
      </c>
      <c r="AA75" s="1008">
        <f>Y75/Z75-1</f>
        <v>0.35389543280094782</v>
      </c>
    </row>
    <row r="76" spans="21:34">
      <c r="U76" s="1007"/>
      <c r="V76" s="1008">
        <f>V63/V61</f>
        <v>0.34535628481634029</v>
      </c>
      <c r="W76" s="1008">
        <f>W63/W61</f>
        <v>0.19940442640746175</v>
      </c>
    </row>
    <row r="77" spans="21:34">
      <c r="U77" s="1007"/>
    </row>
    <row r="78" spans="21:34">
      <c r="U78" s="990" t="s">
        <v>611</v>
      </c>
      <c r="V78" s="990"/>
      <c r="W78" s="990"/>
      <c r="X78" s="990"/>
    </row>
    <row r="79" spans="21:34">
      <c r="U79" s="991" t="s">
        <v>612</v>
      </c>
      <c r="V79" s="992" t="s">
        <v>628</v>
      </c>
      <c r="W79" s="992" t="s">
        <v>610</v>
      </c>
      <c r="X79" s="992" t="s">
        <v>597</v>
      </c>
    </row>
    <row r="80" spans="21:34">
      <c r="U80" s="993" t="s">
        <v>164</v>
      </c>
      <c r="V80" s="994">
        <v>2103.5142689999998</v>
      </c>
      <c r="W80" s="994">
        <v>1701.489812</v>
      </c>
      <c r="X80" s="995">
        <v>0.23627791019650246</v>
      </c>
    </row>
    <row r="81" spans="21:26">
      <c r="U81" s="993" t="s">
        <v>483</v>
      </c>
      <c r="V81" s="994">
        <v>726.46187299999974</v>
      </c>
      <c r="W81" s="994">
        <v>339.28459999999995</v>
      </c>
      <c r="X81" s="996">
        <v>1.1411578155919835</v>
      </c>
    </row>
    <row r="82" spans="21:26">
      <c r="U82" s="998" t="s">
        <v>877</v>
      </c>
      <c r="V82" s="999">
        <v>22.341999999999999</v>
      </c>
      <c r="W82" s="999">
        <v>14.466707</v>
      </c>
      <c r="X82" s="996">
        <v>0.54437357444233858</v>
      </c>
    </row>
    <row r="83" spans="21:26">
      <c r="U83" s="998" t="s">
        <v>484</v>
      </c>
      <c r="V83" s="994">
        <v>691.72479499999974</v>
      </c>
      <c r="W83" s="994">
        <v>315.94865199999998</v>
      </c>
      <c r="X83" s="996">
        <v>1.1893582726853977</v>
      </c>
    </row>
    <row r="84" spans="21:26">
      <c r="U84" s="998" t="s">
        <v>552</v>
      </c>
      <c r="V84" s="994">
        <v>84.797948000000005</v>
      </c>
      <c r="W84" s="994">
        <v>179.75890200000001</v>
      </c>
      <c r="X84" s="996">
        <v>-0.52826843590755801</v>
      </c>
    </row>
    <row r="85" spans="21:26">
      <c r="U85" s="998" t="s">
        <v>21</v>
      </c>
      <c r="V85" s="994">
        <v>476.11181299999976</v>
      </c>
      <c r="W85" s="994">
        <v>128.08360100000002</v>
      </c>
      <c r="X85" s="996">
        <v>2.7171957165695217</v>
      </c>
      <c r="Z85" s="929">
        <f>V85/W85</f>
        <v>3.7171957165695217</v>
      </c>
    </row>
    <row r="86" spans="21:26">
      <c r="U86" s="1003" t="s">
        <v>880</v>
      </c>
      <c r="V86" s="1004">
        <v>3.6977478649142519</v>
      </c>
      <c r="W86" s="1004">
        <v>0.99476813890412596</v>
      </c>
      <c r="X86" s="1005"/>
    </row>
    <row r="87" spans="21:26">
      <c r="U87" s="1006" t="s">
        <v>881</v>
      </c>
      <c r="V87" s="993"/>
      <c r="W87" s="993"/>
      <c r="X87" s="993"/>
    </row>
    <row r="91" spans="21:26">
      <c r="U91" s="1007"/>
    </row>
    <row r="92" spans="21:26">
      <c r="U92" s="1007"/>
    </row>
    <row r="93" spans="21:26">
      <c r="U93" s="1007"/>
    </row>
    <row r="94" spans="21:26">
      <c r="U94" s="1007"/>
    </row>
    <row r="95" spans="21:26">
      <c r="U95" s="1007"/>
    </row>
    <row r="96" spans="21:26">
      <c r="U96" s="1007"/>
    </row>
    <row r="97" spans="21:21">
      <c r="U97" s="1007"/>
    </row>
    <row r="98" spans="21:21">
      <c r="U98" s="1007"/>
    </row>
    <row r="99" spans="21:21">
      <c r="U99" s="1007"/>
    </row>
    <row r="100" spans="21:21">
      <c r="U100" s="1007"/>
    </row>
    <row r="101" spans="21:21">
      <c r="U101" s="1007"/>
    </row>
    <row r="102" spans="21:21">
      <c r="U102" s="1007"/>
    </row>
    <row r="103" spans="21:21">
      <c r="U103" s="1007"/>
    </row>
    <row r="104" spans="21:21">
      <c r="U104" s="1007"/>
    </row>
    <row r="105" spans="21:21">
      <c r="U105" s="1007"/>
    </row>
    <row r="106" spans="21:21">
      <c r="U106" s="1007"/>
    </row>
    <row r="107" spans="21:21">
      <c r="U107" s="1007"/>
    </row>
    <row r="108" spans="21:21">
      <c r="U108" s="1007"/>
    </row>
    <row r="109" spans="21:21">
      <c r="U109" s="1007"/>
    </row>
    <row r="110" spans="21:21">
      <c r="U110" s="1007"/>
    </row>
    <row r="111" spans="21:21">
      <c r="U111" s="1007"/>
    </row>
    <row r="112" spans="21:21">
      <c r="U112" s="1007"/>
    </row>
    <row r="113" spans="21:21">
      <c r="U113" s="1007"/>
    </row>
    <row r="114" spans="21:21">
      <c r="U114" s="1007"/>
    </row>
    <row r="115" spans="21:21">
      <c r="U115" s="1007"/>
    </row>
    <row r="116" spans="21:21">
      <c r="U116" s="1007"/>
    </row>
    <row r="117" spans="21:21">
      <c r="U117" s="1007"/>
    </row>
    <row r="118" spans="21:21">
      <c r="U118" s="1007"/>
    </row>
    <row r="119" spans="21:21">
      <c r="U119" s="1007"/>
    </row>
    <row r="120" spans="21:21">
      <c r="U120" s="1007"/>
    </row>
    <row r="121" spans="21:21">
      <c r="U121" s="1007"/>
    </row>
    <row r="122" spans="21:21">
      <c r="U122" s="1007"/>
    </row>
    <row r="123" spans="21:21">
      <c r="U123" s="1007"/>
    </row>
    <row r="124" spans="21:21">
      <c r="U124" s="1007"/>
    </row>
    <row r="125" spans="21:21">
      <c r="U125" s="1007"/>
    </row>
    <row r="126" spans="21:21">
      <c r="U126" s="1007"/>
    </row>
    <row r="127" spans="21:21">
      <c r="U127" s="1007"/>
    </row>
    <row r="128" spans="21:21">
      <c r="U128" s="1007"/>
    </row>
    <row r="129" spans="21:21">
      <c r="U129" s="1007"/>
    </row>
    <row r="130" spans="21:21">
      <c r="U130" s="1007"/>
    </row>
    <row r="131" spans="21:21">
      <c r="U131" s="1007"/>
    </row>
    <row r="132" spans="21:21">
      <c r="U132" s="1007"/>
    </row>
    <row r="133" spans="21:21">
      <c r="U133" s="1007"/>
    </row>
    <row r="134" spans="21:21">
      <c r="U134" s="1007"/>
    </row>
    <row r="135" spans="21:21">
      <c r="U135" s="1007"/>
    </row>
    <row r="136" spans="21:21">
      <c r="U136" s="1007"/>
    </row>
    <row r="137" spans="21:21">
      <c r="U137" s="1007"/>
    </row>
    <row r="138" spans="21:21">
      <c r="U138" s="1007"/>
    </row>
    <row r="139" spans="21:21">
      <c r="U139" s="1007"/>
    </row>
    <row r="140" spans="21:21">
      <c r="U140" s="1007"/>
    </row>
    <row r="141" spans="21:21">
      <c r="U141" s="1007"/>
    </row>
    <row r="142" spans="21:21">
      <c r="U142" s="1007"/>
    </row>
    <row r="143" spans="21:21">
      <c r="U143" s="1007"/>
    </row>
    <row r="144" spans="21:21">
      <c r="U144" s="1007"/>
    </row>
    <row r="145" spans="21:21">
      <c r="U145" s="1007"/>
    </row>
    <row r="146" spans="21:21">
      <c r="U146" s="1007"/>
    </row>
    <row r="147" spans="21:21">
      <c r="U147" s="1007"/>
    </row>
    <row r="148" spans="21:21">
      <c r="U148" s="1007"/>
    </row>
    <row r="149" spans="21:21">
      <c r="U149" s="1007"/>
    </row>
    <row r="150" spans="21:21">
      <c r="U150" s="1007"/>
    </row>
    <row r="151" spans="21:21">
      <c r="U151" s="1007"/>
    </row>
    <row r="152" spans="21:21">
      <c r="U152" s="1007"/>
    </row>
    <row r="153" spans="21:21">
      <c r="U153" s="1007"/>
    </row>
    <row r="154" spans="21:21">
      <c r="U154" s="1007"/>
    </row>
    <row r="155" spans="21:21">
      <c r="U155" s="1007"/>
    </row>
    <row r="156" spans="21:21">
      <c r="U156" s="1007"/>
    </row>
    <row r="157" spans="21:21">
      <c r="U157" s="1007"/>
    </row>
    <row r="158" spans="21:21">
      <c r="U158" s="1007"/>
    </row>
    <row r="159" spans="21:21">
      <c r="U159" s="1007"/>
    </row>
    <row r="160" spans="21:21">
      <c r="U160" s="1007"/>
    </row>
    <row r="161" spans="21:21">
      <c r="U161" s="1007"/>
    </row>
    <row r="162" spans="21:21">
      <c r="U162" s="1007"/>
    </row>
    <row r="163" spans="21:21">
      <c r="U163" s="1007"/>
    </row>
    <row r="164" spans="21:21">
      <c r="U164" s="1007"/>
    </row>
    <row r="165" spans="21:21">
      <c r="U165" s="1007"/>
    </row>
    <row r="166" spans="21:21">
      <c r="U166" s="1007"/>
    </row>
    <row r="167" spans="21:21">
      <c r="U167" s="1007"/>
    </row>
    <row r="168" spans="21:21">
      <c r="U168" s="1007"/>
    </row>
    <row r="169" spans="21:21">
      <c r="U169" s="1007"/>
    </row>
    <row r="170" spans="21:21">
      <c r="U170" s="1007"/>
    </row>
    <row r="171" spans="21:21">
      <c r="U171" s="1007"/>
    </row>
    <row r="172" spans="21:21">
      <c r="U172" s="1007"/>
    </row>
    <row r="173" spans="21:21">
      <c r="U173" s="1007"/>
    </row>
    <row r="174" spans="21:21">
      <c r="U174" s="1007"/>
    </row>
    <row r="175" spans="21:21">
      <c r="U175" s="1007"/>
    </row>
    <row r="176" spans="21:21">
      <c r="U176" s="1007"/>
    </row>
    <row r="177" spans="21:21">
      <c r="U177" s="1007"/>
    </row>
    <row r="178" spans="21:21">
      <c r="U178" s="1007"/>
    </row>
    <row r="179" spans="21:21">
      <c r="U179" s="1007"/>
    </row>
    <row r="180" spans="21:21">
      <c r="U180" s="1007"/>
    </row>
    <row r="181" spans="21:21">
      <c r="U181" s="1007"/>
    </row>
    <row r="182" spans="21:21">
      <c r="U182" s="1007"/>
    </row>
    <row r="183" spans="21:21">
      <c r="U183" s="1007"/>
    </row>
    <row r="184" spans="21:21">
      <c r="U184" s="1007"/>
    </row>
    <row r="185" spans="21:21">
      <c r="U185" s="1007"/>
    </row>
    <row r="186" spans="21:21">
      <c r="U186" s="1007"/>
    </row>
    <row r="187" spans="21:21">
      <c r="U187" s="1007"/>
    </row>
    <row r="188" spans="21:21">
      <c r="U188" s="1007"/>
    </row>
    <row r="189" spans="21:21">
      <c r="U189" s="1007"/>
    </row>
    <row r="190" spans="21:21">
      <c r="U190" s="1007"/>
    </row>
    <row r="191" spans="21:21">
      <c r="U191" s="1007"/>
    </row>
    <row r="192" spans="21:21">
      <c r="U192" s="1007"/>
    </row>
    <row r="193" spans="21:21">
      <c r="U193" s="1007"/>
    </row>
    <row r="194" spans="21:21">
      <c r="U194" s="1007"/>
    </row>
    <row r="195" spans="21:21">
      <c r="U195" s="1007"/>
    </row>
    <row r="196" spans="21:21">
      <c r="U196" s="1007"/>
    </row>
    <row r="197" spans="21:21">
      <c r="U197" s="1007"/>
    </row>
    <row r="198" spans="21:21">
      <c r="U198" s="1007"/>
    </row>
    <row r="199" spans="21:21">
      <c r="U199" s="1007"/>
    </row>
    <row r="200" spans="21:21">
      <c r="U200" s="1007"/>
    </row>
    <row r="201" spans="21:21">
      <c r="U201" s="1007"/>
    </row>
    <row r="202" spans="21:21">
      <c r="U202" s="1007"/>
    </row>
    <row r="203" spans="21:21">
      <c r="U203" s="1007"/>
    </row>
    <row r="204" spans="21:21">
      <c r="U204" s="1007"/>
    </row>
    <row r="205" spans="21:21">
      <c r="U205" s="1007"/>
    </row>
    <row r="206" spans="21:21">
      <c r="U206" s="1007"/>
    </row>
    <row r="207" spans="21:21">
      <c r="U207" s="1007"/>
    </row>
    <row r="208" spans="21:21">
      <c r="U208" s="1007"/>
    </row>
    <row r="209" spans="21:21">
      <c r="U209" s="1007"/>
    </row>
    <row r="210" spans="21:21">
      <c r="U210" s="1007"/>
    </row>
    <row r="211" spans="21:21">
      <c r="U211" s="1007"/>
    </row>
    <row r="212" spans="21:21">
      <c r="U212" s="1007"/>
    </row>
    <row r="213" spans="21:21">
      <c r="U213" s="1007"/>
    </row>
    <row r="214" spans="21:21">
      <c r="U214" s="1007"/>
    </row>
    <row r="215" spans="21:21">
      <c r="U215" s="1007"/>
    </row>
    <row r="216" spans="21:21">
      <c r="U216" s="1007"/>
    </row>
    <row r="217" spans="21:21">
      <c r="U217" s="1007"/>
    </row>
    <row r="218" spans="21:21">
      <c r="U218" s="1007"/>
    </row>
    <row r="219" spans="21:21">
      <c r="U219" s="1007"/>
    </row>
    <row r="220" spans="21:21">
      <c r="U220" s="1007"/>
    </row>
    <row r="221" spans="21:21">
      <c r="U221" s="1007"/>
    </row>
    <row r="222" spans="21:21">
      <c r="U222" s="1007"/>
    </row>
    <row r="223" spans="21:21">
      <c r="U223" s="1007"/>
    </row>
    <row r="224" spans="21:21">
      <c r="U224" s="1007"/>
    </row>
    <row r="225" spans="21:21">
      <c r="U225" s="1007"/>
    </row>
    <row r="226" spans="21:21">
      <c r="U226" s="1007"/>
    </row>
    <row r="227" spans="21:21">
      <c r="U227" s="1007"/>
    </row>
    <row r="228" spans="21:21">
      <c r="U228" s="1007"/>
    </row>
    <row r="229" spans="21:21">
      <c r="U229" s="1007"/>
    </row>
    <row r="230" spans="21:21">
      <c r="U230" s="1007"/>
    </row>
    <row r="231" spans="21:21">
      <c r="U231" s="1007"/>
    </row>
    <row r="232" spans="21:21">
      <c r="U232" s="1007"/>
    </row>
    <row r="233" spans="21:21">
      <c r="U233" s="1007"/>
    </row>
    <row r="234" spans="21:21">
      <c r="U234" s="1007"/>
    </row>
    <row r="235" spans="21:21">
      <c r="U235" s="1007"/>
    </row>
    <row r="236" spans="21:21">
      <c r="U236" s="1007"/>
    </row>
    <row r="237" spans="21:21">
      <c r="U237" s="1007"/>
    </row>
    <row r="238" spans="21:21">
      <c r="U238" s="1007"/>
    </row>
    <row r="239" spans="21:21">
      <c r="U239" s="1007"/>
    </row>
    <row r="240" spans="21:21">
      <c r="U240" s="1007"/>
    </row>
    <row r="241" spans="21:21">
      <c r="U241" s="1007"/>
    </row>
    <row r="242" spans="21:21">
      <c r="U242" s="1007"/>
    </row>
    <row r="243" spans="21:21">
      <c r="U243" s="1007"/>
    </row>
    <row r="244" spans="21:21">
      <c r="U244" s="1007"/>
    </row>
    <row r="245" spans="21:21">
      <c r="U245" s="1007"/>
    </row>
    <row r="246" spans="21:21">
      <c r="U246" s="1007"/>
    </row>
    <row r="247" spans="21:21">
      <c r="U247" s="1007"/>
    </row>
    <row r="248" spans="21:21">
      <c r="U248" s="1007"/>
    </row>
    <row r="249" spans="21:21">
      <c r="U249" s="1007"/>
    </row>
    <row r="250" spans="21:21">
      <c r="U250" s="1007"/>
    </row>
    <row r="251" spans="21:21">
      <c r="U251" s="1007"/>
    </row>
    <row r="252" spans="21:21">
      <c r="U252" s="1007"/>
    </row>
    <row r="253" spans="21:21">
      <c r="U253" s="1007"/>
    </row>
    <row r="254" spans="21:21">
      <c r="U254" s="1007"/>
    </row>
    <row r="255" spans="21:21">
      <c r="U255" s="1007"/>
    </row>
    <row r="256" spans="21:21">
      <c r="U256" s="1007"/>
    </row>
    <row r="257" spans="21:21">
      <c r="U257" s="1007"/>
    </row>
    <row r="258" spans="21:21">
      <c r="U258" s="1007"/>
    </row>
    <row r="259" spans="21:21">
      <c r="U259" s="1007"/>
    </row>
    <row r="260" spans="21:21">
      <c r="U260" s="1007"/>
    </row>
    <row r="261" spans="21:21">
      <c r="U261" s="1007"/>
    </row>
    <row r="262" spans="21:21">
      <c r="U262" s="1007"/>
    </row>
    <row r="263" spans="21:21">
      <c r="U263" s="1007"/>
    </row>
    <row r="264" spans="21:21">
      <c r="U264" s="1007"/>
    </row>
    <row r="265" spans="21:21">
      <c r="U265" s="1007"/>
    </row>
    <row r="266" spans="21:21">
      <c r="U266" s="1007"/>
    </row>
    <row r="267" spans="21:21">
      <c r="U267" s="1007"/>
    </row>
    <row r="268" spans="21:21">
      <c r="U268" s="1007"/>
    </row>
    <row r="269" spans="21:21">
      <c r="U269" s="1007"/>
    </row>
    <row r="270" spans="21:21">
      <c r="U270" s="1007"/>
    </row>
    <row r="271" spans="21:21">
      <c r="U271" s="1007"/>
    </row>
    <row r="272" spans="21:21">
      <c r="U272" s="1007"/>
    </row>
    <row r="273" spans="21:21">
      <c r="U273" s="1007"/>
    </row>
    <row r="274" spans="21:21">
      <c r="U274" s="1007"/>
    </row>
    <row r="275" spans="21:21">
      <c r="U275" s="1007"/>
    </row>
    <row r="276" spans="21:21">
      <c r="U276" s="1007"/>
    </row>
    <row r="277" spans="21:21">
      <c r="U277" s="1007"/>
    </row>
    <row r="278" spans="21:21">
      <c r="U278" s="1007"/>
    </row>
    <row r="279" spans="21:21">
      <c r="U279" s="1007"/>
    </row>
    <row r="280" spans="21:21">
      <c r="U280" s="1007"/>
    </row>
    <row r="281" spans="21:21">
      <c r="U281" s="1007"/>
    </row>
    <row r="282" spans="21:21">
      <c r="U282" s="1007"/>
    </row>
    <row r="283" spans="21:21">
      <c r="U283" s="1007"/>
    </row>
    <row r="284" spans="21:21">
      <c r="U284" s="1007"/>
    </row>
    <row r="285" spans="21:21">
      <c r="U285" s="1007"/>
    </row>
    <row r="286" spans="21:21">
      <c r="U286" s="1007"/>
    </row>
    <row r="287" spans="21:21">
      <c r="U287" s="1007"/>
    </row>
    <row r="288" spans="21:21">
      <c r="U288" s="1007"/>
    </row>
    <row r="289" spans="21:21">
      <c r="U289" s="1007"/>
    </row>
    <row r="290" spans="21:21">
      <c r="U290" s="1007"/>
    </row>
    <row r="291" spans="21:21">
      <c r="U291" s="1007"/>
    </row>
    <row r="292" spans="21:21">
      <c r="U292" s="1007"/>
    </row>
    <row r="293" spans="21:21">
      <c r="U293" s="1007"/>
    </row>
    <row r="294" spans="21:21">
      <c r="U294" s="1007"/>
    </row>
    <row r="295" spans="21:21">
      <c r="U295" s="1007"/>
    </row>
    <row r="296" spans="21:21">
      <c r="U296" s="1007"/>
    </row>
    <row r="297" spans="21:21">
      <c r="U297" s="1007"/>
    </row>
    <row r="298" spans="21:21">
      <c r="U298" s="1007"/>
    </row>
    <row r="299" spans="21:21">
      <c r="U299" s="1007"/>
    </row>
    <row r="300" spans="21:21">
      <c r="U300" s="1007"/>
    </row>
    <row r="301" spans="21:21">
      <c r="U301" s="1007"/>
    </row>
    <row r="302" spans="21:21">
      <c r="U302" s="1007"/>
    </row>
    <row r="303" spans="21:21">
      <c r="U303" s="1007"/>
    </row>
    <row r="304" spans="21:21">
      <c r="U304" s="1007"/>
    </row>
    <row r="305" spans="21:21">
      <c r="U305" s="1007"/>
    </row>
    <row r="306" spans="21:21">
      <c r="U306" s="1007"/>
    </row>
    <row r="307" spans="21:21">
      <c r="U307" s="1007"/>
    </row>
    <row r="308" spans="21:21">
      <c r="U308" s="1007"/>
    </row>
    <row r="309" spans="21:21">
      <c r="U309" s="1007"/>
    </row>
    <row r="310" spans="21:21">
      <c r="U310" s="1007"/>
    </row>
    <row r="311" spans="21:21">
      <c r="U311" s="1007"/>
    </row>
    <row r="312" spans="21:21">
      <c r="U312" s="1007"/>
    </row>
    <row r="313" spans="21:21">
      <c r="U313" s="1007"/>
    </row>
    <row r="314" spans="21:21">
      <c r="U314" s="1007"/>
    </row>
    <row r="315" spans="21:21">
      <c r="U315" s="1007"/>
    </row>
    <row r="316" spans="21:21">
      <c r="U316" s="1007"/>
    </row>
    <row r="317" spans="21:21">
      <c r="U317" s="1007"/>
    </row>
    <row r="318" spans="21:21">
      <c r="U318" s="1007"/>
    </row>
    <row r="319" spans="21:21">
      <c r="U319" s="1007"/>
    </row>
    <row r="320" spans="21:21">
      <c r="U320" s="1007"/>
    </row>
    <row r="321" spans="21:21">
      <c r="U321" s="1007"/>
    </row>
    <row r="322" spans="21:21">
      <c r="U322" s="1007"/>
    </row>
    <row r="323" spans="21:21">
      <c r="U323" s="1007"/>
    </row>
    <row r="324" spans="21:21">
      <c r="U324" s="1007"/>
    </row>
    <row r="325" spans="21:21">
      <c r="U325" s="1007"/>
    </row>
    <row r="326" spans="21:21">
      <c r="U326" s="1007"/>
    </row>
    <row r="327" spans="21:21">
      <c r="U327" s="1007"/>
    </row>
    <row r="328" spans="21:21">
      <c r="U328" s="1007"/>
    </row>
  </sheetData>
  <mergeCells count="76">
    <mergeCell ref="F1:F2"/>
    <mergeCell ref="K1:K2"/>
    <mergeCell ref="P1:S2"/>
    <mergeCell ref="C2:D2"/>
    <mergeCell ref="C4:D4"/>
    <mergeCell ref="X5:Y5"/>
    <mergeCell ref="AC5:AD5"/>
    <mergeCell ref="C6:D6"/>
    <mergeCell ref="H6:I6"/>
    <mergeCell ref="M6:N6"/>
    <mergeCell ref="R6:S6"/>
    <mergeCell ref="X6:Y6"/>
    <mergeCell ref="AC6:AD6"/>
    <mergeCell ref="C5:D5"/>
    <mergeCell ref="H5:I5"/>
    <mergeCell ref="M5:N5"/>
    <mergeCell ref="P5:S5"/>
    <mergeCell ref="C8:D8"/>
    <mergeCell ref="H8:I8"/>
    <mergeCell ref="M8:N8"/>
    <mergeCell ref="R8:S8"/>
    <mergeCell ref="AC8:AD8"/>
    <mergeCell ref="C7:D7"/>
    <mergeCell ref="H7:I7"/>
    <mergeCell ref="M7:N7"/>
    <mergeCell ref="R7:S7"/>
    <mergeCell ref="AC7:AD7"/>
    <mergeCell ref="R9:S9"/>
    <mergeCell ref="B10:D10"/>
    <mergeCell ref="F10:I10"/>
    <mergeCell ref="K10:N10"/>
    <mergeCell ref="C11:D11"/>
    <mergeCell ref="H11:I11"/>
    <mergeCell ref="M11:N11"/>
    <mergeCell ref="R11:S11"/>
    <mergeCell ref="C15:D15"/>
    <mergeCell ref="H15:I15"/>
    <mergeCell ref="AC11:AD11"/>
    <mergeCell ref="C12:D12"/>
    <mergeCell ref="H12:I12"/>
    <mergeCell ref="M12:N12"/>
    <mergeCell ref="R12:S12"/>
    <mergeCell ref="AC12:AD12"/>
    <mergeCell ref="C14:D14"/>
    <mergeCell ref="H14:I14"/>
    <mergeCell ref="M14:N14"/>
    <mergeCell ref="R14:S14"/>
    <mergeCell ref="AC14:AD14"/>
    <mergeCell ref="C13:D13"/>
    <mergeCell ref="H13:I13"/>
    <mergeCell ref="M13:N13"/>
    <mergeCell ref="R13:S13"/>
    <mergeCell ref="AC13:AD13"/>
    <mergeCell ref="M15:N15"/>
    <mergeCell ref="R15:S15"/>
    <mergeCell ref="AC15:AD15"/>
    <mergeCell ref="G17:I17"/>
    <mergeCell ref="L17:N17"/>
    <mergeCell ref="AC17:AD17"/>
    <mergeCell ref="G16:I16"/>
    <mergeCell ref="L16:N16"/>
    <mergeCell ref="R16:S16"/>
    <mergeCell ref="AC16:AD16"/>
    <mergeCell ref="G18:I18"/>
    <mergeCell ref="K18:N18"/>
    <mergeCell ref="AC18:AD18"/>
    <mergeCell ref="F53:I54"/>
    <mergeCell ref="K53:N54"/>
    <mergeCell ref="P53:S54"/>
    <mergeCell ref="AA53:AD54"/>
    <mergeCell ref="B20:D20"/>
    <mergeCell ref="F20:I20"/>
    <mergeCell ref="M21:N21"/>
    <mergeCell ref="K31:N31"/>
    <mergeCell ref="B32:D32"/>
    <mergeCell ref="F32:I32"/>
  </mergeCells>
  <hyperlinks>
    <hyperlink ref="P49" r:id="rId1"/>
    <hyperlink ref="F49" r:id="rId2"/>
    <hyperlink ref="K49" r:id="rId3"/>
  </hyperlinks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CL315"/>
  <sheetViews>
    <sheetView workbookViewId="0">
      <pane xSplit="2" ySplit="3" topLeftCell="C4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outlineLevelCol="1"/>
  <cols>
    <col min="1" max="1" width="42.28515625" style="1" bestFit="1" customWidth="1"/>
    <col min="2" max="2" width="7.5703125" style="1" bestFit="1" customWidth="1"/>
    <col min="3" max="3" width="9.5703125" style="1" bestFit="1" customWidth="1"/>
    <col min="4" max="4" width="10" style="1" customWidth="1"/>
    <col min="5" max="5" width="12" style="1" customWidth="1"/>
    <col min="6" max="6" width="11" style="1" customWidth="1"/>
    <col min="7" max="8" width="10" style="10" customWidth="1"/>
    <col min="9" max="11" width="9" style="10" hidden="1" customWidth="1" outlineLevel="1"/>
    <col min="12" max="12" width="6" style="10" hidden="1" customWidth="1" outlineLevel="1"/>
    <col min="13" max="13" width="10.42578125" style="10" customWidth="1" collapsed="1"/>
    <col min="14" max="17" width="9" style="10" hidden="1" customWidth="1" outlineLevel="1"/>
    <col min="18" max="18" width="9.85546875" style="10" customWidth="1" collapsed="1"/>
    <col min="19" max="22" width="9" style="10" hidden="1" customWidth="1" outlineLevel="1"/>
    <col min="23" max="23" width="9.85546875" style="10" bestFit="1" customWidth="1" collapsed="1"/>
    <col min="24" max="24" width="10.7109375" style="10" hidden="1" customWidth="1" outlineLevel="1"/>
    <col min="25" max="27" width="9.85546875" style="10" hidden="1" customWidth="1" outlineLevel="1"/>
    <col min="28" max="28" width="12.42578125" style="10" bestFit="1" customWidth="1" collapsed="1"/>
    <col min="29" max="29" width="9" style="10" hidden="1" customWidth="1" outlineLevel="1"/>
    <col min="30" max="32" width="9.85546875" style="10" hidden="1" customWidth="1" outlineLevel="1"/>
    <col min="33" max="33" width="12.42578125" style="10" bestFit="1" customWidth="1" collapsed="1"/>
    <col min="34" max="35" width="12.85546875" style="10" hidden="1" customWidth="1" outlineLevel="1"/>
    <col min="36" max="36" width="10.28515625" style="10" hidden="1" customWidth="1" outlineLevel="1"/>
    <col min="37" max="37" width="9.85546875" style="10" hidden="1" customWidth="1" outlineLevel="1"/>
    <col min="38" max="38" width="14.28515625" style="10" bestFit="1" customWidth="1" collapsed="1"/>
    <col min="39" max="40" width="9.85546875" style="10" hidden="1" customWidth="1" outlineLevel="1"/>
    <col min="41" max="41" width="10.28515625" style="10" hidden="1" customWidth="1" outlineLevel="1"/>
    <col min="42" max="42" width="11.140625" style="10" hidden="1" customWidth="1" outlineLevel="1"/>
    <col min="43" max="43" width="13" style="10" bestFit="1" customWidth="1" collapsed="1"/>
    <col min="44" max="45" width="11.28515625" style="10" customWidth="1"/>
    <col min="46" max="46" width="13" style="10" bestFit="1" customWidth="1"/>
    <col min="47" max="50" width="13" style="10" customWidth="1" outlineLevel="1"/>
    <col min="51" max="51" width="13" style="10" bestFit="1" customWidth="1"/>
    <col min="52" max="55" width="13" style="640" customWidth="1" outlineLevel="1"/>
    <col min="56" max="56" width="14.5703125" style="10" bestFit="1" customWidth="1"/>
    <col min="57" max="60" width="13" style="792" customWidth="1"/>
    <col min="61" max="61" width="13" style="10" bestFit="1" customWidth="1"/>
    <col min="62" max="65" width="13" style="10" customWidth="1"/>
    <col min="66" max="66" width="13" style="10" bestFit="1" customWidth="1"/>
    <col min="67" max="69" width="13" style="10" customWidth="1"/>
    <col min="70" max="76" width="13" style="10" bestFit="1" customWidth="1"/>
    <col min="77" max="80" width="13" style="1" bestFit="1" customWidth="1"/>
    <col min="81" max="81" width="8.28515625" style="1" customWidth="1"/>
    <col min="82" max="82" width="9" style="1" customWidth="1"/>
    <col min="83" max="83" width="8" style="1" customWidth="1"/>
    <col min="84" max="86" width="8" style="1" hidden="1" customWidth="1"/>
    <col min="87" max="91" width="8" style="1" customWidth="1"/>
    <col min="92" max="16384" width="9.140625" style="1"/>
  </cols>
  <sheetData>
    <row r="1" spans="1:90">
      <c r="A1" s="47" t="s">
        <v>0</v>
      </c>
      <c r="B1" s="11">
        <f>DCF!E30</f>
        <v>140.12265388031514</v>
      </c>
      <c r="C1" s="32">
        <f>H26/H12</f>
        <v>0.67860848484848479</v>
      </c>
      <c r="I1" s="41" t="s">
        <v>26</v>
      </c>
      <c r="J1" s="41" t="s">
        <v>27</v>
      </c>
      <c r="K1" s="41" t="s">
        <v>27</v>
      </c>
      <c r="L1" s="41"/>
      <c r="N1" s="40"/>
      <c r="O1" s="40"/>
      <c r="P1" s="40"/>
      <c r="Q1" s="40"/>
      <c r="S1" s="40"/>
      <c r="T1" s="40"/>
      <c r="U1" s="40"/>
      <c r="V1" s="40"/>
      <c r="X1" s="40"/>
      <c r="Y1" s="40"/>
      <c r="Z1" s="40"/>
      <c r="AA1" s="40"/>
      <c r="AC1" s="40"/>
      <c r="AD1" s="40"/>
      <c r="AE1" s="40"/>
      <c r="AF1" s="40"/>
      <c r="AH1" s="40"/>
      <c r="AI1" s="40"/>
      <c r="AJ1" s="40"/>
      <c r="AK1" s="40"/>
      <c r="AM1" s="40"/>
      <c r="AN1" s="40"/>
      <c r="AO1" s="40"/>
      <c r="AP1" s="40"/>
      <c r="AR1" s="4"/>
      <c r="AS1" s="4"/>
      <c r="AY1" s="4"/>
      <c r="BD1" s="4"/>
      <c r="BI1" s="4"/>
      <c r="BJ1" s="792"/>
      <c r="BK1" s="792"/>
      <c r="BL1" s="792"/>
      <c r="BM1" s="792">
        <f>81595+83312</f>
        <v>164907</v>
      </c>
      <c r="BN1" s="4">
        <f>BM1/2</f>
        <v>82453.5</v>
      </c>
      <c r="BO1" s="4">
        <f>BN1+BM1</f>
        <v>247360.5</v>
      </c>
      <c r="BP1" s="793"/>
      <c r="BQ1" s="793">
        <f>348272+332434</f>
        <v>680706</v>
      </c>
      <c r="BR1" s="793">
        <f>BQ1/2</f>
        <v>340353</v>
      </c>
      <c r="BS1" s="4">
        <f>BQ1+BR1</f>
        <v>1021059</v>
      </c>
      <c r="BT1" s="4">
        <f>266675+249122</f>
        <v>515797</v>
      </c>
      <c r="BU1" s="4">
        <f>BT1/2</f>
        <v>257898.5</v>
      </c>
      <c r="BV1" s="4">
        <f>BT1+BU1</f>
        <v>773695.5</v>
      </c>
      <c r="BW1" s="4"/>
      <c r="BX1" s="4"/>
      <c r="BY1" s="4"/>
      <c r="BZ1" s="4"/>
      <c r="CA1" s="4"/>
      <c r="CB1" s="4"/>
      <c r="CC1" s="269"/>
      <c r="CD1" s="269"/>
      <c r="CE1" s="269"/>
      <c r="CF1" s="269"/>
      <c r="CG1" s="269"/>
      <c r="CH1" s="269"/>
      <c r="CI1" s="269"/>
      <c r="CJ1" s="269"/>
      <c r="CK1" s="269"/>
      <c r="CL1" s="269"/>
    </row>
    <row r="2" spans="1:90">
      <c r="A2" s="10" t="s">
        <v>28</v>
      </c>
      <c r="B2" s="56" t="s">
        <v>36</v>
      </c>
      <c r="E2" s="267" t="s">
        <v>3</v>
      </c>
      <c r="F2" s="267" t="s">
        <v>4</v>
      </c>
      <c r="G2" s="8" t="s">
        <v>7</v>
      </c>
      <c r="H2" s="8" t="s">
        <v>8</v>
      </c>
      <c r="I2" s="62" t="s">
        <v>29</v>
      </c>
      <c r="J2" s="62" t="s">
        <v>30</v>
      </c>
      <c r="K2" s="62" t="s">
        <v>31</v>
      </c>
      <c r="L2" s="62"/>
      <c r="M2" s="8" t="s">
        <v>9</v>
      </c>
      <c r="N2" s="62" t="s">
        <v>32</v>
      </c>
      <c r="O2" s="62" t="s">
        <v>33</v>
      </c>
      <c r="P2" s="62" t="s">
        <v>34</v>
      </c>
      <c r="Q2" s="62" t="s">
        <v>35</v>
      </c>
      <c r="R2" s="8" t="s">
        <v>191</v>
      </c>
      <c r="S2" s="62" t="s">
        <v>327</v>
      </c>
      <c r="T2" s="62" t="s">
        <v>328</v>
      </c>
      <c r="U2" s="62" t="s">
        <v>329</v>
      </c>
      <c r="V2" s="62" t="s">
        <v>330</v>
      </c>
      <c r="W2" s="8" t="s">
        <v>154</v>
      </c>
      <c r="X2" s="62" t="s">
        <v>322</v>
      </c>
      <c r="Y2" s="62" t="s">
        <v>321</v>
      </c>
      <c r="Z2" s="62" t="s">
        <v>331</v>
      </c>
      <c r="AA2" s="62" t="s">
        <v>332</v>
      </c>
      <c r="AB2" s="8" t="s">
        <v>155</v>
      </c>
      <c r="AC2" s="62" t="s">
        <v>358</v>
      </c>
      <c r="AD2" s="62" t="s">
        <v>383</v>
      </c>
      <c r="AE2" s="62" t="s">
        <v>384</v>
      </c>
      <c r="AF2" s="62" t="s">
        <v>385</v>
      </c>
      <c r="AG2" s="8" t="s">
        <v>588</v>
      </c>
      <c r="AH2" s="62" t="s">
        <v>522</v>
      </c>
      <c r="AI2" s="62" t="s">
        <v>523</v>
      </c>
      <c r="AJ2" s="62" t="s">
        <v>526</v>
      </c>
      <c r="AK2" s="62" t="s">
        <v>527</v>
      </c>
      <c r="AL2" s="8" t="s">
        <v>572</v>
      </c>
      <c r="AM2" s="62" t="s">
        <v>541</v>
      </c>
      <c r="AN2" s="62" t="s">
        <v>567</v>
      </c>
      <c r="AO2" s="62" t="s">
        <v>574</v>
      </c>
      <c r="AP2" s="62" t="s">
        <v>576</v>
      </c>
      <c r="AQ2" s="8" t="s">
        <v>581</v>
      </c>
      <c r="AR2" s="87" t="s">
        <v>579</v>
      </c>
      <c r="AS2" s="87" t="s">
        <v>582</v>
      </c>
      <c r="AT2" s="8" t="s">
        <v>586</v>
      </c>
      <c r="AU2" s="87" t="s">
        <v>594</v>
      </c>
      <c r="AV2" s="87" t="s">
        <v>595</v>
      </c>
      <c r="AW2" s="87"/>
      <c r="AX2" s="87"/>
      <c r="AY2" s="87" t="s">
        <v>357</v>
      </c>
      <c r="AZ2" s="664" t="s">
        <v>610</v>
      </c>
      <c r="BA2" s="664" t="s">
        <v>613</v>
      </c>
      <c r="BB2" s="664" t="s">
        <v>617</v>
      </c>
      <c r="BC2" s="664" t="s">
        <v>618</v>
      </c>
      <c r="BD2" s="87" t="s">
        <v>537</v>
      </c>
      <c r="BE2" s="793" t="s">
        <v>628</v>
      </c>
      <c r="BF2" s="793" t="s">
        <v>629</v>
      </c>
      <c r="BG2" s="793" t="s">
        <v>630</v>
      </c>
      <c r="BH2" s="793" t="s">
        <v>631</v>
      </c>
      <c r="BI2" s="87" t="s">
        <v>542</v>
      </c>
      <c r="BJ2" s="793" t="s">
        <v>958</v>
      </c>
      <c r="BK2" s="793" t="s">
        <v>959</v>
      </c>
      <c r="BL2" s="793" t="s">
        <v>960</v>
      </c>
      <c r="BM2" s="793" t="s">
        <v>961</v>
      </c>
      <c r="BN2" s="87" t="s">
        <v>580</v>
      </c>
      <c r="BO2" s="87" t="s">
        <v>1040</v>
      </c>
      <c r="BP2" s="793" t="s">
        <v>1047</v>
      </c>
      <c r="BQ2" s="793" t="s">
        <v>1049</v>
      </c>
      <c r="BR2" s="793" t="s">
        <v>585</v>
      </c>
      <c r="BS2" s="87" t="str">
        <f>DEp!V3</f>
        <v>FY16</v>
      </c>
      <c r="BT2" s="87" t="str">
        <f>DEp!W3</f>
        <v>FY17</v>
      </c>
      <c r="BU2" s="87" t="str">
        <f>DEp!X3</f>
        <v>FY18</v>
      </c>
      <c r="BV2" s="87" t="str">
        <f>DEp!Y3</f>
        <v>FY19</v>
      </c>
      <c r="BW2" s="87" t="str">
        <f>DEp!Z3</f>
        <v>FY20</v>
      </c>
      <c r="BX2" s="87" t="str">
        <f>DEp!AA3</f>
        <v>FY21</v>
      </c>
      <c r="BY2" s="87" t="str">
        <f>DEp!AB3</f>
        <v>FY22</v>
      </c>
      <c r="BZ2" s="87" t="str">
        <f>DEp!AC3</f>
        <v>FY23</v>
      </c>
      <c r="CA2" s="87" t="str">
        <f>DEp!AD3</f>
        <v>FY24</v>
      </c>
      <c r="CB2" s="87" t="str">
        <f>DEp!AE3</f>
        <v>FY25</v>
      </c>
      <c r="CC2" s="8"/>
      <c r="CD2" s="8"/>
      <c r="CE2" s="8"/>
      <c r="CF2" s="8"/>
      <c r="CG2" s="8"/>
      <c r="CH2" s="8"/>
      <c r="CI2" s="8"/>
      <c r="CJ2" s="269"/>
      <c r="CK2" s="269"/>
      <c r="CL2" s="269"/>
    </row>
    <row r="3" spans="1:90">
      <c r="A3" s="26">
        <v>1000000</v>
      </c>
      <c r="B3" s="268"/>
      <c r="E3" s="267"/>
      <c r="F3" s="267"/>
      <c r="G3" s="8"/>
      <c r="H3" s="8"/>
      <c r="I3" s="62"/>
      <c r="J3" s="62"/>
      <c r="K3" s="62"/>
      <c r="L3" s="62"/>
      <c r="M3" s="8"/>
      <c r="N3" s="62"/>
      <c r="O3" s="62"/>
      <c r="P3" s="62"/>
      <c r="Q3" s="62"/>
      <c r="R3" s="8"/>
      <c r="S3" s="62"/>
      <c r="T3" s="62"/>
      <c r="U3" s="62"/>
      <c r="V3" s="62"/>
      <c r="W3" s="8"/>
      <c r="X3" s="62"/>
      <c r="Y3" s="62"/>
      <c r="Z3" s="62"/>
      <c r="AA3" s="62"/>
      <c r="AB3" s="8"/>
      <c r="AC3" s="62"/>
      <c r="AD3" s="62"/>
      <c r="AE3" s="62"/>
      <c r="AF3" s="62"/>
      <c r="AG3" s="8"/>
      <c r="AH3" s="62"/>
      <c r="AI3" s="62"/>
      <c r="AJ3" s="62"/>
      <c r="AK3" s="62"/>
      <c r="AL3" s="8"/>
      <c r="AM3" s="62"/>
      <c r="AN3" s="62"/>
      <c r="AO3" s="62"/>
      <c r="AP3" s="62"/>
      <c r="AQ3" s="8"/>
      <c r="AR3" s="87"/>
      <c r="AS3" s="87"/>
      <c r="AT3" s="8"/>
      <c r="AU3" s="8"/>
      <c r="AV3" s="8"/>
      <c r="AW3" s="8"/>
      <c r="AX3" s="8"/>
      <c r="AY3" s="87"/>
      <c r="AZ3" s="664"/>
      <c r="BA3" s="664"/>
      <c r="BB3" s="664"/>
      <c r="BC3" s="664"/>
      <c r="BD3" s="87"/>
      <c r="BE3" s="793"/>
      <c r="BF3" s="793"/>
      <c r="BG3" s="793"/>
      <c r="BH3" s="793"/>
      <c r="BI3" s="87"/>
      <c r="BJ3" s="793"/>
      <c r="BK3" s="793"/>
      <c r="BL3" s="793"/>
      <c r="BM3" s="793"/>
      <c r="BN3" s="87"/>
      <c r="BO3" s="87"/>
      <c r="BP3" s="793"/>
      <c r="BQ3" s="793"/>
      <c r="BR3" s="793"/>
      <c r="BS3" s="87"/>
      <c r="BT3" s="87"/>
      <c r="BU3" s="87"/>
      <c r="BV3" s="87"/>
      <c r="BW3" s="87"/>
      <c r="BX3" s="87"/>
      <c r="BY3" s="87"/>
      <c r="BZ3" s="87"/>
      <c r="CA3" s="87"/>
      <c r="CB3" s="87"/>
      <c r="CC3" s="269"/>
      <c r="CD3" s="269"/>
      <c r="CE3" s="269"/>
      <c r="CF3" s="269"/>
      <c r="CG3" s="269"/>
      <c r="CH3" s="269"/>
      <c r="CI3" s="269"/>
      <c r="CJ3" s="269"/>
      <c r="CK3" s="269"/>
      <c r="CL3" s="269"/>
    </row>
    <row r="4" spans="1:90" s="56" customFormat="1">
      <c r="G4" s="269"/>
      <c r="H4" s="269"/>
      <c r="I4" s="270"/>
      <c r="J4" s="270"/>
      <c r="K4" s="270"/>
      <c r="L4" s="270"/>
      <c r="M4" s="269"/>
      <c r="N4" s="270"/>
      <c r="O4" s="270"/>
      <c r="P4" s="270"/>
      <c r="Q4" s="270"/>
      <c r="R4" s="269"/>
      <c r="S4" s="270"/>
      <c r="T4" s="270"/>
      <c r="U4" s="270"/>
      <c r="V4" s="270"/>
      <c r="W4" s="269"/>
      <c r="X4" s="270"/>
      <c r="Y4" s="270"/>
      <c r="Z4" s="270"/>
      <c r="AA4" s="270"/>
      <c r="AB4" s="269"/>
      <c r="AC4" s="270"/>
      <c r="AD4" s="270"/>
      <c r="AE4" s="270"/>
      <c r="AF4" s="270"/>
      <c r="AG4" s="269"/>
      <c r="AH4" s="270"/>
      <c r="AI4" s="270"/>
      <c r="AJ4" s="270"/>
      <c r="AK4" s="270"/>
      <c r="AL4" s="269"/>
      <c r="AM4" s="270"/>
      <c r="AN4" s="270"/>
      <c r="AO4" s="270"/>
      <c r="AP4" s="270"/>
      <c r="AQ4" s="269"/>
      <c r="AR4" s="271"/>
      <c r="AS4" s="271"/>
      <c r="AT4" s="269"/>
      <c r="AU4" s="269"/>
      <c r="AV4" s="269"/>
      <c r="AW4" s="269"/>
      <c r="AX4" s="269"/>
      <c r="AY4" s="271"/>
      <c r="AZ4" s="665"/>
      <c r="BA4" s="665"/>
      <c r="BB4" s="665"/>
      <c r="BC4" s="665"/>
      <c r="BD4" s="271"/>
      <c r="BE4" s="794"/>
      <c r="BF4" s="794"/>
      <c r="BG4" s="794"/>
      <c r="BH4" s="794"/>
      <c r="BI4" s="271"/>
      <c r="BJ4" s="794"/>
      <c r="BK4" s="794"/>
      <c r="BL4" s="794"/>
      <c r="BM4" s="794"/>
      <c r="BN4" s="271"/>
      <c r="BO4" s="1337">
        <f>BO5/BM5-1</f>
        <v>-1.5976567700705657E-2</v>
      </c>
      <c r="BP4" s="793"/>
      <c r="BQ4" s="793"/>
      <c r="BR4" s="793"/>
      <c r="BS4" s="271"/>
      <c r="BT4" s="271"/>
      <c r="BU4" s="271"/>
      <c r="BV4" s="271"/>
      <c r="BW4" s="271"/>
      <c r="BX4" s="271"/>
      <c r="BY4" s="271"/>
      <c r="BZ4" s="271"/>
      <c r="CA4" s="271"/>
      <c r="CB4" s="271"/>
      <c r="CC4" s="269"/>
      <c r="CD4" s="269"/>
      <c r="CE4" s="269"/>
      <c r="CF4" s="269"/>
      <c r="CG4" s="269"/>
      <c r="CH4" s="269"/>
      <c r="CI4" s="269"/>
      <c r="CJ4" s="269"/>
      <c r="CK4" s="269"/>
      <c r="CL4" s="269"/>
    </row>
    <row r="5" spans="1:90" s="56" customFormat="1">
      <c r="A5" s="47" t="s">
        <v>37</v>
      </c>
      <c r="C5" s="272">
        <v>0.11799999999999999</v>
      </c>
      <c r="D5" s="272">
        <v>7.8E-2</v>
      </c>
      <c r="E5" s="272">
        <v>5.7000000000000002E-2</v>
      </c>
      <c r="F5" s="272">
        <v>3.44E-2</v>
      </c>
      <c r="G5" s="273">
        <v>0.05</v>
      </c>
      <c r="H5" s="273">
        <v>0.05</v>
      </c>
      <c r="I5" s="274">
        <v>0.01</v>
      </c>
      <c r="J5" s="274">
        <v>0.01</v>
      </c>
      <c r="K5" s="274">
        <v>0.01</v>
      </c>
      <c r="L5" s="274"/>
      <c r="M5" s="273">
        <v>3.5000000000000003E-2</v>
      </c>
      <c r="N5" s="274">
        <v>5.0000000000000001E-3</v>
      </c>
      <c r="O5" s="274">
        <v>5.0000000000000001E-3</v>
      </c>
      <c r="P5" s="274">
        <v>5.0000000000000001E-3</v>
      </c>
      <c r="Q5" s="274">
        <v>5.0000000000000001E-3</v>
      </c>
      <c r="R5" s="273">
        <v>0.04</v>
      </c>
      <c r="S5" s="274"/>
      <c r="T5" s="274"/>
      <c r="U5" s="274"/>
      <c r="V5" s="274"/>
      <c r="W5" s="273">
        <v>0.05</v>
      </c>
      <c r="X5" s="274"/>
      <c r="Y5" s="274"/>
      <c r="Z5" s="274"/>
      <c r="AA5" s="274"/>
      <c r="AB5" s="273">
        <v>0.05</v>
      </c>
      <c r="AC5" s="274"/>
      <c r="AD5" s="274"/>
      <c r="AE5" s="274"/>
      <c r="AF5" s="274"/>
      <c r="AG5" s="273">
        <v>0.05</v>
      </c>
      <c r="AH5" s="274">
        <v>0</v>
      </c>
      <c r="AI5" s="274">
        <v>1.5E-3</v>
      </c>
      <c r="AJ5" s="274"/>
      <c r="AK5" s="274">
        <v>0.04</v>
      </c>
      <c r="AL5" s="273">
        <v>0.1</v>
      </c>
      <c r="AM5" s="274">
        <v>0.04</v>
      </c>
      <c r="AN5" s="274">
        <v>0.04</v>
      </c>
      <c r="AO5" s="274">
        <v>0.04</v>
      </c>
      <c r="AP5" s="274">
        <v>0.04</v>
      </c>
      <c r="AQ5" s="273">
        <v>0.11</v>
      </c>
      <c r="AR5" s="275">
        <v>0.11</v>
      </c>
      <c r="AS5" s="275">
        <v>0.11</v>
      </c>
      <c r="AT5" s="273">
        <v>0.11</v>
      </c>
      <c r="AU5" s="273"/>
      <c r="AV5" s="273"/>
      <c r="AW5" s="273"/>
      <c r="AX5" s="273"/>
      <c r="AY5" s="275">
        <v>0.09</v>
      </c>
      <c r="AZ5" s="666"/>
      <c r="BA5" s="666"/>
      <c r="BB5" s="666"/>
      <c r="BC5" s="666"/>
      <c r="BD5" s="275">
        <v>0.06</v>
      </c>
      <c r="BE5" s="795"/>
      <c r="BF5" s="795"/>
      <c r="BG5" s="795"/>
      <c r="BH5" s="795"/>
      <c r="BI5" s="275">
        <v>0.06</v>
      </c>
      <c r="BJ5" s="795"/>
      <c r="BK5" s="795"/>
      <c r="BL5" s="795" t="s">
        <v>1023</v>
      </c>
      <c r="BM5" s="1298">
        <v>75.11</v>
      </c>
      <c r="BN5" s="275">
        <v>0.06</v>
      </c>
      <c r="BO5" s="1334">
        <v>73.91</v>
      </c>
      <c r="BP5" s="793"/>
      <c r="BQ5" s="793">
        <v>68</v>
      </c>
      <c r="BR5" s="793">
        <v>0.06</v>
      </c>
      <c r="BS5" s="275">
        <v>0.06</v>
      </c>
      <c r="BT5" s="275">
        <v>0.06</v>
      </c>
      <c r="BU5" s="275">
        <v>0.06</v>
      </c>
      <c r="BV5" s="275">
        <v>0.06</v>
      </c>
      <c r="BW5" s="275">
        <v>0.06</v>
      </c>
      <c r="BX5" s="275">
        <v>0.06</v>
      </c>
      <c r="BY5" s="275">
        <v>0.06</v>
      </c>
      <c r="BZ5" s="275">
        <v>0.06</v>
      </c>
      <c r="CA5" s="275">
        <v>0.06</v>
      </c>
      <c r="CB5" s="275">
        <v>0.06</v>
      </c>
      <c r="CC5" s="269"/>
      <c r="CD5" s="269"/>
      <c r="CE5" s="269"/>
      <c r="CF5" s="269"/>
      <c r="CG5" s="269"/>
      <c r="CH5" s="269"/>
      <c r="CI5" s="269"/>
      <c r="CJ5" s="269"/>
      <c r="CK5" s="269"/>
      <c r="CL5" s="269"/>
    </row>
    <row r="6" spans="1:90" s="56" customFormat="1">
      <c r="G6" s="269"/>
      <c r="H6" s="269"/>
      <c r="I6" s="270"/>
      <c r="J6" s="270"/>
      <c r="K6" s="270"/>
      <c r="L6" s="270"/>
      <c r="M6" s="269"/>
      <c r="N6" s="270"/>
      <c r="O6" s="270"/>
      <c r="P6" s="270"/>
      <c r="Q6" s="270"/>
      <c r="R6" s="269"/>
      <c r="S6" s="270"/>
      <c r="T6" s="270"/>
      <c r="U6" s="270"/>
      <c r="V6" s="270"/>
      <c r="W6" s="269"/>
      <c r="X6" s="270"/>
      <c r="Y6" s="270"/>
      <c r="Z6" s="270"/>
      <c r="AA6" s="270"/>
      <c r="AB6" s="269"/>
      <c r="AC6" s="270"/>
      <c r="AD6" s="270"/>
      <c r="AE6" s="270"/>
      <c r="AF6" s="270"/>
      <c r="AG6" s="269"/>
      <c r="AH6" s="270"/>
      <c r="AI6" s="270"/>
      <c r="AJ6" s="270"/>
      <c r="AK6" s="270"/>
      <c r="AL6" s="269"/>
      <c r="AM6" s="270"/>
      <c r="AN6" s="270"/>
      <c r="AO6" s="270"/>
      <c r="AP6" s="270"/>
      <c r="AQ6" s="276">
        <v>0.25</v>
      </c>
      <c r="AR6" s="277">
        <v>0.05</v>
      </c>
      <c r="AS6" s="277">
        <v>0.05</v>
      </c>
      <c r="AT6" s="276">
        <v>0.05</v>
      </c>
      <c r="AU6" s="276"/>
      <c r="AV6" s="276"/>
      <c r="AW6" s="276"/>
      <c r="AX6" s="276"/>
      <c r="AY6" s="277">
        <v>0.05</v>
      </c>
      <c r="AZ6" s="667"/>
      <c r="BA6" s="667"/>
      <c r="BB6" s="667"/>
      <c r="BC6" s="667"/>
      <c r="BD6" s="277"/>
      <c r="BE6" s="796"/>
      <c r="BF6" s="796"/>
      <c r="BG6" s="796"/>
      <c r="BH6" s="796"/>
      <c r="BI6" s="277">
        <v>3.5000000000000003E-2</v>
      </c>
      <c r="BJ6" s="796"/>
      <c r="BK6" s="796"/>
      <c r="BL6" s="796"/>
      <c r="BM6" s="1299">
        <v>513.15</v>
      </c>
      <c r="BN6" s="277">
        <v>0.05</v>
      </c>
      <c r="BO6" s="277"/>
      <c r="BP6" s="793"/>
      <c r="BQ6" s="793"/>
      <c r="BR6" s="793">
        <f>BN6</f>
        <v>0.05</v>
      </c>
      <c r="BS6" s="277">
        <f t="shared" ref="BS6:CB6" si="0">BR6</f>
        <v>0.05</v>
      </c>
      <c r="BT6" s="277">
        <f t="shared" si="0"/>
        <v>0.05</v>
      </c>
      <c r="BU6" s="277">
        <f t="shared" si="0"/>
        <v>0.05</v>
      </c>
      <c r="BV6" s="277">
        <f t="shared" si="0"/>
        <v>0.05</v>
      </c>
      <c r="BW6" s="277">
        <f t="shared" si="0"/>
        <v>0.05</v>
      </c>
      <c r="BX6" s="277">
        <f t="shared" si="0"/>
        <v>0.05</v>
      </c>
      <c r="BY6" s="277">
        <f t="shared" si="0"/>
        <v>0.05</v>
      </c>
      <c r="BZ6" s="277">
        <f t="shared" si="0"/>
        <v>0.05</v>
      </c>
      <c r="CA6" s="277">
        <f t="shared" si="0"/>
        <v>0.05</v>
      </c>
      <c r="CB6" s="277">
        <f t="shared" si="0"/>
        <v>0.05</v>
      </c>
      <c r="CC6" s="269"/>
      <c r="CD6" s="269"/>
      <c r="CE6" s="269"/>
      <c r="CF6" s="269"/>
      <c r="CG6" s="269"/>
      <c r="CH6" s="269"/>
      <c r="CI6" s="269"/>
      <c r="CJ6" s="269"/>
      <c r="CK6" s="269"/>
      <c r="CL6" s="269"/>
    </row>
    <row r="7" spans="1:90" s="56" customFormat="1">
      <c r="A7" s="47" t="s">
        <v>38</v>
      </c>
      <c r="B7" s="56" t="s">
        <v>39</v>
      </c>
      <c r="C7" s="278">
        <v>38.993600000000001</v>
      </c>
      <c r="D7" s="278">
        <v>43.195799999999998</v>
      </c>
      <c r="E7" s="278">
        <v>46.790399999999998</v>
      </c>
      <c r="F7" s="278">
        <v>51.84</v>
      </c>
      <c r="G7" s="279">
        <v>58</v>
      </c>
      <c r="H7" s="279">
        <v>60</v>
      </c>
      <c r="I7" s="280">
        <v>58.04</v>
      </c>
      <c r="J7" s="280">
        <v>57.6</v>
      </c>
      <c r="K7" s="280">
        <v>57.8</v>
      </c>
      <c r="L7" s="280"/>
      <c r="M7" s="279">
        <v>58</v>
      </c>
      <c r="N7" s="280">
        <v>57.9</v>
      </c>
      <c r="O7" s="280">
        <v>57.5</v>
      </c>
      <c r="P7" s="280">
        <v>57.5</v>
      </c>
      <c r="Q7" s="280">
        <v>57.75</v>
      </c>
      <c r="R7" s="281">
        <v>57.5</v>
      </c>
      <c r="S7" s="280"/>
      <c r="T7" s="280"/>
      <c r="U7" s="280"/>
      <c r="V7" s="280"/>
      <c r="W7" s="279">
        <f>R7*(1+0.02)</f>
        <v>58.65</v>
      </c>
      <c r="X7" s="280">
        <v>60</v>
      </c>
      <c r="Y7" s="280">
        <v>60</v>
      </c>
      <c r="Z7" s="280">
        <v>60</v>
      </c>
      <c r="AA7" s="280">
        <v>60</v>
      </c>
      <c r="AB7" s="279">
        <f>W7*(1+0.02)</f>
        <v>59.823</v>
      </c>
      <c r="AC7" s="280">
        <v>60</v>
      </c>
      <c r="AD7" s="280">
        <v>60.76</v>
      </c>
      <c r="AE7" s="280">
        <v>60.76</v>
      </c>
      <c r="AF7" s="280">
        <v>60.76</v>
      </c>
      <c r="AG7" s="279">
        <v>61</v>
      </c>
      <c r="AH7" s="280">
        <f>+AG7*(1+AH5)</f>
        <v>61</v>
      </c>
      <c r="AI7" s="280">
        <v>61.33</v>
      </c>
      <c r="AJ7" s="280">
        <v>62.5</v>
      </c>
      <c r="AK7" s="280">
        <v>66.213480000000004</v>
      </c>
      <c r="AL7" s="279">
        <v>62.593310000000002</v>
      </c>
      <c r="AM7" s="280">
        <v>74.067880000000002</v>
      </c>
      <c r="AN7" s="280">
        <v>80.127780000000001</v>
      </c>
      <c r="AO7" s="280">
        <v>79.850470000000001</v>
      </c>
      <c r="AP7" s="280">
        <v>80.800619999999995</v>
      </c>
      <c r="AQ7" s="279">
        <f>AL7*(1+AQ6)</f>
        <v>78.241637499999996</v>
      </c>
      <c r="AR7" s="282">
        <f>AP7*(1+AR6)</f>
        <v>84.840650999999994</v>
      </c>
      <c r="AS7" s="282">
        <f>AP7*(1+AS6)</f>
        <v>84.840650999999994</v>
      </c>
      <c r="AT7" s="279">
        <f>AQ7*(1+AT6)</f>
        <v>82.153719374999994</v>
      </c>
      <c r="AU7" s="279">
        <v>85.439868149999995</v>
      </c>
      <c r="AV7" s="279">
        <v>85.77</v>
      </c>
      <c r="AW7" s="213">
        <v>85.503900000000002</v>
      </c>
      <c r="AX7" s="213">
        <v>85.503900000000002</v>
      </c>
      <c r="AY7" s="282">
        <v>85.555099999999996</v>
      </c>
      <c r="AZ7" s="668">
        <v>86.736999999999995</v>
      </c>
      <c r="BA7" s="668">
        <v>87.861199999999997</v>
      </c>
      <c r="BB7" s="668">
        <v>90.58</v>
      </c>
      <c r="BC7" s="668">
        <v>91</v>
      </c>
      <c r="BD7" s="282">
        <v>89.832854999999995</v>
      </c>
      <c r="BE7" s="668">
        <v>94.5</v>
      </c>
      <c r="BF7" s="668">
        <v>96.38</v>
      </c>
      <c r="BG7" s="668">
        <v>97.819400000000002</v>
      </c>
      <c r="BH7" s="668">
        <v>98.5</v>
      </c>
      <c r="BI7" s="282">
        <v>96.784499999999994</v>
      </c>
      <c r="BJ7" s="668">
        <v>102.9</v>
      </c>
      <c r="BK7" s="668">
        <v>106.95</v>
      </c>
      <c r="BL7" s="668">
        <v>104.16</v>
      </c>
      <c r="BM7" s="668">
        <v>98.29</v>
      </c>
      <c r="BN7" s="282">
        <f>AVERAGE(BJ7:BM7)</f>
        <v>103.075</v>
      </c>
      <c r="BO7" s="282">
        <v>100.5</v>
      </c>
      <c r="BP7" s="668"/>
      <c r="BQ7" s="668">
        <v>102</v>
      </c>
      <c r="BR7" s="668">
        <f>BN7*(1+BR6)</f>
        <v>108.22875000000001</v>
      </c>
      <c r="BS7" s="282">
        <f t="shared" ref="BS7:CB7" si="1">BR7*(1+BS6)</f>
        <v>113.64018750000001</v>
      </c>
      <c r="BT7" s="282">
        <f t="shared" si="1"/>
        <v>119.32219687500002</v>
      </c>
      <c r="BU7" s="282">
        <f t="shared" si="1"/>
        <v>125.28830671875002</v>
      </c>
      <c r="BV7" s="282">
        <f t="shared" si="1"/>
        <v>131.55272205468754</v>
      </c>
      <c r="BW7" s="282">
        <f t="shared" si="1"/>
        <v>138.13035815742191</v>
      </c>
      <c r="BX7" s="282">
        <f t="shared" si="1"/>
        <v>145.036876065293</v>
      </c>
      <c r="BY7" s="282">
        <f t="shared" si="1"/>
        <v>152.28871986855765</v>
      </c>
      <c r="BZ7" s="282">
        <f t="shared" si="1"/>
        <v>159.90315586198554</v>
      </c>
      <c r="CA7" s="282">
        <f t="shared" si="1"/>
        <v>167.89831365508482</v>
      </c>
      <c r="CB7" s="282">
        <f t="shared" si="1"/>
        <v>176.29322933783908</v>
      </c>
      <c r="CC7" s="269"/>
      <c r="CD7" s="269"/>
      <c r="CE7" s="269"/>
      <c r="CF7" s="269"/>
      <c r="CG7" s="269"/>
      <c r="CH7" s="269"/>
      <c r="CI7" s="269"/>
      <c r="CJ7" s="269"/>
      <c r="CK7" s="269"/>
      <c r="CL7" s="269"/>
    </row>
    <row r="8" spans="1:90">
      <c r="A8" s="283" t="s">
        <v>40</v>
      </c>
      <c r="B8" s="284"/>
      <c r="C8" s="81"/>
      <c r="D8" s="81"/>
      <c r="E8" s="81"/>
      <c r="F8" s="83"/>
      <c r="G8" s="82"/>
      <c r="H8" s="82"/>
      <c r="I8" s="285"/>
      <c r="J8" s="285"/>
      <c r="K8" s="285"/>
      <c r="L8" s="285"/>
      <c r="M8" s="82"/>
      <c r="N8" s="40"/>
      <c r="O8" s="40"/>
      <c r="P8" s="40"/>
      <c r="Q8" s="40"/>
      <c r="S8" s="40"/>
      <c r="T8" s="40"/>
      <c r="U8" s="40"/>
      <c r="V8" s="40"/>
      <c r="X8" s="40"/>
      <c r="Y8" s="40"/>
      <c r="Z8" s="40"/>
      <c r="AA8" s="40"/>
      <c r="AC8" s="40"/>
      <c r="AD8" s="40"/>
      <c r="AE8" s="40"/>
      <c r="AF8" s="40"/>
      <c r="AH8" s="40"/>
      <c r="AI8" s="40"/>
      <c r="AJ8" s="40"/>
      <c r="AK8" s="40"/>
      <c r="AM8" s="40"/>
      <c r="AN8" s="188"/>
      <c r="AO8" s="188"/>
      <c r="AP8" s="188"/>
      <c r="AR8" s="4"/>
      <c r="AS8" s="4"/>
      <c r="AY8" s="4"/>
      <c r="BD8" s="4"/>
      <c r="BE8" s="640"/>
      <c r="BF8" s="640"/>
      <c r="BG8" s="640"/>
      <c r="BH8" s="640"/>
      <c r="BI8" s="4"/>
      <c r="BJ8" s="640"/>
      <c r="BK8" s="640"/>
      <c r="BL8" s="640"/>
      <c r="BM8" s="640"/>
      <c r="BN8" s="4"/>
      <c r="BO8" s="4"/>
      <c r="BP8" s="668"/>
      <c r="BQ8" s="668"/>
      <c r="BR8" s="668"/>
      <c r="BS8" s="4"/>
      <c r="BT8" s="4"/>
      <c r="BU8" s="4"/>
      <c r="BV8" s="4"/>
      <c r="BW8" s="4"/>
      <c r="BX8" s="4"/>
      <c r="BY8" s="4"/>
      <c r="BZ8" s="4"/>
      <c r="CA8" s="4"/>
      <c r="CB8" s="4"/>
      <c r="CC8" s="269"/>
      <c r="CD8" s="269"/>
      <c r="CE8" s="269"/>
      <c r="CF8" s="269"/>
      <c r="CG8" s="269"/>
      <c r="CH8" s="269"/>
      <c r="CI8" s="269"/>
      <c r="CJ8" s="269"/>
      <c r="CK8" s="269"/>
      <c r="CL8" s="269"/>
    </row>
    <row r="9" spans="1:90">
      <c r="A9" s="10" t="s">
        <v>41</v>
      </c>
      <c r="B9" s="73" t="s">
        <v>42</v>
      </c>
      <c r="C9" s="11">
        <v>660000</v>
      </c>
      <c r="D9" s="11">
        <v>660000</v>
      </c>
      <c r="E9" s="11">
        <v>660000</v>
      </c>
      <c r="F9" s="11">
        <f t="shared" ref="F9:K10" si="2">F15*F$24</f>
        <v>660000</v>
      </c>
      <c r="G9" s="26">
        <f t="shared" si="2"/>
        <v>660000</v>
      </c>
      <c r="H9" s="26">
        <f t="shared" si="2"/>
        <v>660000</v>
      </c>
      <c r="I9" s="74">
        <f t="shared" si="2"/>
        <v>330000</v>
      </c>
      <c r="J9" s="74">
        <f t="shared" si="2"/>
        <v>165000</v>
      </c>
      <c r="K9" s="74">
        <f t="shared" si="2"/>
        <v>165000</v>
      </c>
      <c r="L9" s="74"/>
      <c r="M9" s="26">
        <f t="shared" ref="M9:AT9" si="3">M15*M$24</f>
        <v>660000</v>
      </c>
      <c r="N9" s="74">
        <f t="shared" si="3"/>
        <v>150000</v>
      </c>
      <c r="O9" s="74">
        <f t="shared" si="3"/>
        <v>150000</v>
      </c>
      <c r="P9" s="74">
        <f t="shared" si="3"/>
        <v>165000</v>
      </c>
      <c r="Q9" s="74">
        <f t="shared" si="3"/>
        <v>165000</v>
      </c>
      <c r="R9" s="26">
        <f t="shared" si="3"/>
        <v>630000</v>
      </c>
      <c r="S9" s="74">
        <f t="shared" si="3"/>
        <v>165000</v>
      </c>
      <c r="T9" s="74">
        <f t="shared" si="3"/>
        <v>165000</v>
      </c>
      <c r="U9" s="74">
        <f t="shared" si="3"/>
        <v>165000</v>
      </c>
      <c r="V9" s="74">
        <f t="shared" si="3"/>
        <v>165000</v>
      </c>
      <c r="W9" s="26">
        <f>W15*W$24</f>
        <v>660000</v>
      </c>
      <c r="X9" s="74">
        <f t="shared" si="3"/>
        <v>165000</v>
      </c>
      <c r="Y9" s="74">
        <f t="shared" si="3"/>
        <v>202500</v>
      </c>
      <c r="Z9" s="74">
        <f t="shared" si="3"/>
        <v>202500</v>
      </c>
      <c r="AA9" s="74">
        <f t="shared" si="3"/>
        <v>202500</v>
      </c>
      <c r="AB9" s="26">
        <f>AB15*AB$24</f>
        <v>810000</v>
      </c>
      <c r="AC9" s="74">
        <f t="shared" ref="AC9:AF10" si="4">AC15*AC$24</f>
        <v>202500</v>
      </c>
      <c r="AD9" s="74">
        <f t="shared" si="4"/>
        <v>202500</v>
      </c>
      <c r="AE9" s="74">
        <f t="shared" si="4"/>
        <v>202500</v>
      </c>
      <c r="AF9" s="74">
        <f t="shared" si="4"/>
        <v>202500</v>
      </c>
      <c r="AG9" s="26">
        <f t="shared" si="3"/>
        <v>810000</v>
      </c>
      <c r="AH9" s="74">
        <f t="shared" si="3"/>
        <v>202500</v>
      </c>
      <c r="AI9" s="74">
        <f t="shared" ref="AI9:AK10" si="5">AI15*AI$24</f>
        <v>202500</v>
      </c>
      <c r="AJ9" s="74">
        <f t="shared" si="5"/>
        <v>202500</v>
      </c>
      <c r="AK9" s="74">
        <f t="shared" si="5"/>
        <v>202500</v>
      </c>
      <c r="AL9" s="26">
        <f t="shared" ref="AL9:AQ10" si="6">AL15*AL$24</f>
        <v>810000</v>
      </c>
      <c r="AM9" s="74">
        <f t="shared" si="6"/>
        <v>202500</v>
      </c>
      <c r="AN9" s="74">
        <f t="shared" si="6"/>
        <v>202500</v>
      </c>
      <c r="AO9" s="74">
        <f t="shared" si="6"/>
        <v>202500</v>
      </c>
      <c r="AP9" s="74">
        <f t="shared" si="6"/>
        <v>202500</v>
      </c>
      <c r="AQ9" s="26">
        <f t="shared" si="6"/>
        <v>810000</v>
      </c>
      <c r="AR9" s="15">
        <f t="shared" ref="AR9:AS11" si="7">AR15*AR$24</f>
        <v>810000</v>
      </c>
      <c r="AS9" s="15">
        <f t="shared" si="7"/>
        <v>810000</v>
      </c>
      <c r="AT9" s="26">
        <f t="shared" si="3"/>
        <v>810000</v>
      </c>
      <c r="AU9" s="920" t="e">
        <f t="shared" ref="AU9:AX11" si="8">AU15*AU$24</f>
        <v>#REF!</v>
      </c>
      <c r="AV9" s="26">
        <f t="shared" si="8"/>
        <v>243000</v>
      </c>
      <c r="AW9" s="26">
        <f t="shared" si="8"/>
        <v>243000</v>
      </c>
      <c r="AX9" s="26">
        <f t="shared" si="8"/>
        <v>243000</v>
      </c>
      <c r="AY9" s="15">
        <f t="shared" ref="AY9:BH11" si="9">AY15*AY$24</f>
        <v>810000</v>
      </c>
      <c r="AZ9" s="622">
        <f t="shared" si="9"/>
        <v>243000</v>
      </c>
      <c r="BA9" s="622">
        <f t="shared" ref="BA9:BC11" si="10">BA15*BA$24</f>
        <v>243000</v>
      </c>
      <c r="BB9" s="622">
        <f t="shared" si="10"/>
        <v>243000</v>
      </c>
      <c r="BC9" s="622">
        <f t="shared" si="10"/>
        <v>243000</v>
      </c>
      <c r="BD9" s="15">
        <f t="shared" si="9"/>
        <v>810000</v>
      </c>
      <c r="BE9" s="622">
        <f t="shared" si="9"/>
        <v>243000</v>
      </c>
      <c r="BF9" s="622">
        <f t="shared" si="9"/>
        <v>243000</v>
      </c>
      <c r="BG9" s="622">
        <f t="shared" si="9"/>
        <v>243000</v>
      </c>
      <c r="BH9" s="622">
        <f t="shared" si="9"/>
        <v>243000</v>
      </c>
      <c r="BI9" s="15">
        <f t="shared" ref="BI9:BN11" si="11">BI15*BI$24</f>
        <v>810000</v>
      </c>
      <c r="BJ9" s="622">
        <f t="shared" si="11"/>
        <v>243000</v>
      </c>
      <c r="BK9" s="622">
        <f t="shared" ref="BK9:BL9" si="12">BK15*BK$24</f>
        <v>243000</v>
      </c>
      <c r="BL9" s="622">
        <f t="shared" si="12"/>
        <v>243000</v>
      </c>
      <c r="BM9" s="622">
        <f>BM15*BM$24</f>
        <v>243000</v>
      </c>
      <c r="BN9" s="15">
        <f t="shared" si="11"/>
        <v>810000</v>
      </c>
      <c r="BO9" s="15">
        <f t="shared" ref="BO9" si="13">BO15*BO$24</f>
        <v>243000</v>
      </c>
      <c r="BP9" s="668"/>
      <c r="BQ9" s="668">
        <v>243000</v>
      </c>
      <c r="BR9" s="668">
        <f t="shared" ref="BR9:CB9" si="14">BR15*BR$24</f>
        <v>810000</v>
      </c>
      <c r="BS9" s="15">
        <f t="shared" si="14"/>
        <v>810000</v>
      </c>
      <c r="BT9" s="15">
        <f t="shared" si="14"/>
        <v>810000</v>
      </c>
      <c r="BU9" s="15">
        <f t="shared" si="14"/>
        <v>810000</v>
      </c>
      <c r="BV9" s="15">
        <f t="shared" si="14"/>
        <v>810000</v>
      </c>
      <c r="BW9" s="15">
        <f t="shared" si="14"/>
        <v>810000</v>
      </c>
      <c r="BX9" s="15">
        <f t="shared" si="14"/>
        <v>810000</v>
      </c>
      <c r="BY9" s="15">
        <f t="shared" si="14"/>
        <v>810000</v>
      </c>
      <c r="BZ9" s="15">
        <f t="shared" si="14"/>
        <v>810000</v>
      </c>
      <c r="CA9" s="15">
        <f t="shared" si="14"/>
        <v>810000</v>
      </c>
      <c r="CB9" s="15">
        <f t="shared" si="14"/>
        <v>810000</v>
      </c>
      <c r="CC9" s="269"/>
      <c r="CD9" s="269"/>
      <c r="CE9" s="269"/>
      <c r="CF9" s="269"/>
      <c r="CG9" s="269"/>
      <c r="CH9" s="269"/>
      <c r="CI9" s="269"/>
      <c r="CJ9" s="269"/>
      <c r="CK9" s="269"/>
      <c r="CL9" s="269"/>
    </row>
    <row r="10" spans="1:90">
      <c r="A10" s="10" t="s">
        <v>43</v>
      </c>
      <c r="B10" s="73" t="s">
        <v>42</v>
      </c>
      <c r="C10" s="11">
        <v>0</v>
      </c>
      <c r="D10" s="11">
        <f>D12-D9</f>
        <v>990000</v>
      </c>
      <c r="E10" s="11">
        <f>E12-E9</f>
        <v>990000</v>
      </c>
      <c r="F10" s="11">
        <f t="shared" si="2"/>
        <v>990000</v>
      </c>
      <c r="G10" s="26">
        <f t="shared" si="2"/>
        <v>990000</v>
      </c>
      <c r="H10" s="26">
        <f t="shared" si="2"/>
        <v>990000</v>
      </c>
      <c r="I10" s="74">
        <f t="shared" si="2"/>
        <v>495000</v>
      </c>
      <c r="J10" s="74">
        <f t="shared" si="2"/>
        <v>247500</v>
      </c>
      <c r="K10" s="74">
        <f t="shared" si="2"/>
        <v>247500</v>
      </c>
      <c r="L10" s="74"/>
      <c r="M10" s="26">
        <f t="shared" ref="M10:AT10" si="15">M16*M$24</f>
        <v>990000</v>
      </c>
      <c r="N10" s="74">
        <f t="shared" si="15"/>
        <v>225000</v>
      </c>
      <c r="O10" s="74">
        <f t="shared" si="15"/>
        <v>225000</v>
      </c>
      <c r="P10" s="74">
        <f t="shared" si="15"/>
        <v>240000</v>
      </c>
      <c r="Q10" s="74">
        <f t="shared" si="15"/>
        <v>240000</v>
      </c>
      <c r="R10" s="26">
        <f t="shared" si="15"/>
        <v>930000</v>
      </c>
      <c r="S10" s="74">
        <f t="shared" si="15"/>
        <v>232500</v>
      </c>
      <c r="T10" s="74">
        <f t="shared" si="15"/>
        <v>232500</v>
      </c>
      <c r="U10" s="74">
        <f t="shared" si="15"/>
        <v>232500</v>
      </c>
      <c r="V10" s="74">
        <f t="shared" si="15"/>
        <v>253875</v>
      </c>
      <c r="W10" s="26">
        <f>W16*W$24</f>
        <v>1015500</v>
      </c>
      <c r="X10" s="74">
        <f t="shared" si="15"/>
        <v>286875</v>
      </c>
      <c r="Y10" s="74">
        <f t="shared" si="15"/>
        <v>286875</v>
      </c>
      <c r="Z10" s="74">
        <f t="shared" si="15"/>
        <v>286875</v>
      </c>
      <c r="AA10" s="74">
        <f t="shared" si="15"/>
        <v>286875</v>
      </c>
      <c r="AB10" s="26">
        <f>AB16*AB$24</f>
        <v>1147500</v>
      </c>
      <c r="AC10" s="74">
        <f t="shared" si="4"/>
        <v>286875</v>
      </c>
      <c r="AD10" s="74">
        <f t="shared" si="4"/>
        <v>300000</v>
      </c>
      <c r="AE10" s="74">
        <f t="shared" si="4"/>
        <v>300000</v>
      </c>
      <c r="AF10" s="74">
        <f t="shared" si="4"/>
        <v>300000</v>
      </c>
      <c r="AG10" s="26">
        <f t="shared" si="15"/>
        <v>1200000</v>
      </c>
      <c r="AH10" s="74">
        <f t="shared" si="15"/>
        <v>300000</v>
      </c>
      <c r="AI10" s="74">
        <f t="shared" si="5"/>
        <v>300000</v>
      </c>
      <c r="AJ10" s="74">
        <f t="shared" si="5"/>
        <v>300000</v>
      </c>
      <c r="AK10" s="74">
        <f t="shared" si="5"/>
        <v>300000</v>
      </c>
      <c r="AL10" s="26">
        <f t="shared" si="6"/>
        <v>1200000</v>
      </c>
      <c r="AM10" s="74">
        <f t="shared" si="6"/>
        <v>300000</v>
      </c>
      <c r="AN10" s="74">
        <f t="shared" si="6"/>
        <v>300000</v>
      </c>
      <c r="AO10" s="74">
        <f t="shared" si="6"/>
        <v>300000</v>
      </c>
      <c r="AP10" s="74">
        <f t="shared" si="6"/>
        <v>300000</v>
      </c>
      <c r="AQ10" s="26">
        <f>AQ16*AQ$24</f>
        <v>1200000</v>
      </c>
      <c r="AR10" s="15">
        <f t="shared" si="7"/>
        <v>1200000</v>
      </c>
      <c r="AS10" s="15">
        <f t="shared" si="7"/>
        <v>1200000</v>
      </c>
      <c r="AT10" s="26">
        <f t="shared" si="15"/>
        <v>1200000</v>
      </c>
      <c r="AU10" s="920" t="e">
        <f t="shared" si="8"/>
        <v>#REF!</v>
      </c>
      <c r="AV10" s="26">
        <f t="shared" si="8"/>
        <v>360000</v>
      </c>
      <c r="AW10" s="26">
        <f t="shared" si="8"/>
        <v>360000</v>
      </c>
      <c r="AX10" s="26">
        <f t="shared" si="8"/>
        <v>360000</v>
      </c>
      <c r="AY10" s="15">
        <f t="shared" si="9"/>
        <v>1200000</v>
      </c>
      <c r="AZ10" s="622">
        <f t="shared" si="9"/>
        <v>360000</v>
      </c>
      <c r="BA10" s="622">
        <f t="shared" si="10"/>
        <v>360000</v>
      </c>
      <c r="BB10" s="622">
        <f t="shared" si="10"/>
        <v>360000</v>
      </c>
      <c r="BC10" s="622">
        <f t="shared" si="10"/>
        <v>360000</v>
      </c>
      <c r="BD10" s="15">
        <f t="shared" si="9"/>
        <v>1200000</v>
      </c>
      <c r="BE10" s="622">
        <f t="shared" si="9"/>
        <v>360000</v>
      </c>
      <c r="BF10" s="622">
        <f t="shared" si="9"/>
        <v>360000</v>
      </c>
      <c r="BG10" s="622">
        <f t="shared" si="9"/>
        <v>360000</v>
      </c>
      <c r="BH10" s="622">
        <f t="shared" si="9"/>
        <v>360000</v>
      </c>
      <c r="BI10" s="15">
        <f t="shared" si="11"/>
        <v>1200000</v>
      </c>
      <c r="BJ10" s="622">
        <f t="shared" si="11"/>
        <v>360000</v>
      </c>
      <c r="BK10" s="622">
        <f t="shared" ref="BK10:BM10" si="16">BK16*BK$24</f>
        <v>360000</v>
      </c>
      <c r="BL10" s="622">
        <f t="shared" si="16"/>
        <v>360000</v>
      </c>
      <c r="BM10" s="622">
        <f t="shared" si="16"/>
        <v>360000</v>
      </c>
      <c r="BN10" s="15">
        <f t="shared" si="11"/>
        <v>1200000</v>
      </c>
      <c r="BO10" s="15">
        <f t="shared" ref="BO10" si="17">BO16*BO$24</f>
        <v>360000</v>
      </c>
      <c r="BP10" s="668"/>
      <c r="BQ10" s="668">
        <v>360000</v>
      </c>
      <c r="BR10" s="668">
        <f t="shared" ref="BR10:CB10" si="18">BR16*BR$24</f>
        <v>1200000</v>
      </c>
      <c r="BS10" s="15">
        <f t="shared" si="18"/>
        <v>1200000</v>
      </c>
      <c r="BT10" s="15">
        <f t="shared" si="18"/>
        <v>1200000</v>
      </c>
      <c r="BU10" s="15">
        <f t="shared" si="18"/>
        <v>1200000</v>
      </c>
      <c r="BV10" s="15">
        <f t="shared" si="18"/>
        <v>1200000</v>
      </c>
      <c r="BW10" s="15">
        <f t="shared" si="18"/>
        <v>1200000</v>
      </c>
      <c r="BX10" s="15">
        <f t="shared" si="18"/>
        <v>1200000</v>
      </c>
      <c r="BY10" s="15">
        <f t="shared" si="18"/>
        <v>1200000</v>
      </c>
      <c r="BZ10" s="15">
        <f t="shared" si="18"/>
        <v>1200000</v>
      </c>
      <c r="CA10" s="15">
        <f t="shared" si="18"/>
        <v>1200000</v>
      </c>
      <c r="CB10" s="15">
        <f t="shared" si="18"/>
        <v>1200000</v>
      </c>
      <c r="CC10" s="269"/>
      <c r="CD10" s="269"/>
      <c r="CE10" s="269"/>
      <c r="CF10" s="269"/>
      <c r="CG10" s="269"/>
      <c r="CH10" s="269"/>
      <c r="CI10" s="269"/>
      <c r="CJ10" s="269"/>
      <c r="CK10" s="269"/>
      <c r="CL10" s="269"/>
    </row>
    <row r="11" spans="1:90">
      <c r="A11" s="10" t="s">
        <v>44</v>
      </c>
      <c r="B11" s="73" t="s">
        <v>42</v>
      </c>
      <c r="C11" s="11"/>
      <c r="D11" s="11"/>
      <c r="E11" s="11"/>
      <c r="F11" s="11"/>
      <c r="G11" s="26"/>
      <c r="H11" s="26"/>
      <c r="I11" s="74"/>
      <c r="J11" s="74"/>
      <c r="K11" s="74"/>
      <c r="L11" s="74"/>
      <c r="M11" s="26"/>
      <c r="N11" s="74"/>
      <c r="O11" s="74"/>
      <c r="P11" s="74"/>
      <c r="Q11" s="74"/>
      <c r="R11" s="26"/>
      <c r="S11" s="74"/>
      <c r="T11" s="74"/>
      <c r="U11" s="74"/>
      <c r="V11" s="74"/>
      <c r="W11" s="26"/>
      <c r="X11" s="74"/>
      <c r="Y11" s="74"/>
      <c r="Z11" s="74"/>
      <c r="AA11" s="74"/>
      <c r="AB11" s="26">
        <f>AB17*AB$24</f>
        <v>0</v>
      </c>
      <c r="AC11" s="74"/>
      <c r="AD11" s="74"/>
      <c r="AE11" s="74"/>
      <c r="AF11" s="74"/>
      <c r="AG11" s="26">
        <f>AG17*AG$24</f>
        <v>0</v>
      </c>
      <c r="AH11" s="74">
        <f>+AI11</f>
        <v>502500</v>
      </c>
      <c r="AI11" s="74">
        <f>+AI17*AI24</f>
        <v>502500</v>
      </c>
      <c r="AJ11" s="74">
        <f>+AJ17*AJ24</f>
        <v>502500</v>
      </c>
      <c r="AK11" s="74">
        <f>+AK17*AK24</f>
        <v>502500</v>
      </c>
      <c r="AL11" s="26">
        <f>AL17*AL$24</f>
        <v>2010000</v>
      </c>
      <c r="AM11" s="74">
        <f>+AM17*AM24</f>
        <v>502500</v>
      </c>
      <c r="AN11" s="74">
        <f>+AN17*AN24</f>
        <v>502500</v>
      </c>
      <c r="AO11" s="74">
        <f>+AO17*AO24</f>
        <v>502500</v>
      </c>
      <c r="AP11" s="74">
        <f>+AP17*AP24</f>
        <v>502500</v>
      </c>
      <c r="AQ11" s="26">
        <f>AQ17*AQ$24</f>
        <v>2010000</v>
      </c>
      <c r="AR11" s="15">
        <f t="shared" si="7"/>
        <v>2010000</v>
      </c>
      <c r="AS11" s="15">
        <f t="shared" si="7"/>
        <v>2010000</v>
      </c>
      <c r="AT11" s="26">
        <f>AT17*AT$24</f>
        <v>2010000</v>
      </c>
      <c r="AU11" s="920" t="e">
        <f t="shared" si="8"/>
        <v>#REF!</v>
      </c>
      <c r="AV11" s="26">
        <f t="shared" si="8"/>
        <v>603000</v>
      </c>
      <c r="AW11" s="26">
        <f t="shared" si="8"/>
        <v>603000</v>
      </c>
      <c r="AX11" s="26">
        <f t="shared" si="8"/>
        <v>603000</v>
      </c>
      <c r="AY11" s="15">
        <f t="shared" si="9"/>
        <v>2010000</v>
      </c>
      <c r="AZ11" s="622">
        <f t="shared" si="9"/>
        <v>603000</v>
      </c>
      <c r="BA11" s="622">
        <f t="shared" si="10"/>
        <v>603000</v>
      </c>
      <c r="BB11" s="622">
        <f t="shared" si="10"/>
        <v>603000</v>
      </c>
      <c r="BC11" s="622">
        <f t="shared" si="10"/>
        <v>603000</v>
      </c>
      <c r="BD11" s="15">
        <f t="shared" si="9"/>
        <v>2010000</v>
      </c>
      <c r="BE11" s="622">
        <f t="shared" si="9"/>
        <v>603000</v>
      </c>
      <c r="BF11" s="622">
        <f t="shared" si="9"/>
        <v>603000</v>
      </c>
      <c r="BG11" s="622">
        <f t="shared" si="9"/>
        <v>603000</v>
      </c>
      <c r="BH11" s="622">
        <f t="shared" si="9"/>
        <v>603000</v>
      </c>
      <c r="BI11" s="15">
        <f t="shared" si="11"/>
        <v>2010000</v>
      </c>
      <c r="BJ11" s="622">
        <f t="shared" si="11"/>
        <v>603000</v>
      </c>
      <c r="BK11" s="622">
        <f t="shared" ref="BK11:BM11" si="19">BK17*BK$24</f>
        <v>603000</v>
      </c>
      <c r="BL11" s="622">
        <f t="shared" si="19"/>
        <v>603000</v>
      </c>
      <c r="BM11" s="622">
        <f t="shared" si="19"/>
        <v>603000</v>
      </c>
      <c r="BN11" s="15">
        <f t="shared" si="11"/>
        <v>2010000</v>
      </c>
      <c r="BO11" s="15">
        <f t="shared" ref="BO11:BQ11" si="20">BO17*BO$24</f>
        <v>603000</v>
      </c>
      <c r="BP11" s="668"/>
      <c r="BQ11" s="668">
        <f t="shared" si="20"/>
        <v>603000</v>
      </c>
      <c r="BR11" s="668">
        <f t="shared" ref="BR11:CB11" si="21">BR17*BR$24</f>
        <v>2010000</v>
      </c>
      <c r="BS11" s="15">
        <f t="shared" si="21"/>
        <v>2010000</v>
      </c>
      <c r="BT11" s="15">
        <f t="shared" si="21"/>
        <v>2010000</v>
      </c>
      <c r="BU11" s="15">
        <f t="shared" si="21"/>
        <v>2010000</v>
      </c>
      <c r="BV11" s="15">
        <f t="shared" si="21"/>
        <v>2010000</v>
      </c>
      <c r="BW11" s="15">
        <f t="shared" si="21"/>
        <v>2010000</v>
      </c>
      <c r="BX11" s="15">
        <f t="shared" si="21"/>
        <v>2010000</v>
      </c>
      <c r="BY11" s="15">
        <f t="shared" si="21"/>
        <v>2010000</v>
      </c>
      <c r="BZ11" s="15">
        <f t="shared" si="21"/>
        <v>2010000</v>
      </c>
      <c r="CA11" s="15">
        <f t="shared" si="21"/>
        <v>2010000</v>
      </c>
      <c r="CB11" s="15">
        <f t="shared" si="21"/>
        <v>2010000</v>
      </c>
      <c r="CC11" s="591"/>
      <c r="CD11" s="591"/>
      <c r="CE11" s="269"/>
      <c r="CF11" s="269"/>
      <c r="CG11" s="269"/>
      <c r="CH11" s="269"/>
      <c r="CI11" s="269"/>
      <c r="CJ11" s="269"/>
      <c r="CK11" s="269"/>
      <c r="CL11" s="269"/>
    </row>
    <row r="12" spans="1:90">
      <c r="A12" s="10" t="s">
        <v>380</v>
      </c>
      <c r="B12" s="73" t="s">
        <v>42</v>
      </c>
      <c r="C12" s="11">
        <v>660000</v>
      </c>
      <c r="D12" s="11">
        <v>1650000</v>
      </c>
      <c r="E12" s="11">
        <v>1650000</v>
      </c>
      <c r="F12" s="11">
        <f t="shared" ref="F12:K12" si="22">F9+F10</f>
        <v>1650000</v>
      </c>
      <c r="G12" s="26">
        <f t="shared" si="22"/>
        <v>1650000</v>
      </c>
      <c r="H12" s="26">
        <f t="shared" si="22"/>
        <v>1650000</v>
      </c>
      <c r="I12" s="74">
        <f t="shared" si="22"/>
        <v>825000</v>
      </c>
      <c r="J12" s="74">
        <f t="shared" si="22"/>
        <v>412500</v>
      </c>
      <c r="K12" s="74">
        <f t="shared" si="22"/>
        <v>412500</v>
      </c>
      <c r="L12" s="74"/>
      <c r="M12" s="26">
        <f t="shared" ref="M12:R12" si="23">M9+M10</f>
        <v>1650000</v>
      </c>
      <c r="N12" s="74">
        <f t="shared" si="23"/>
        <v>375000</v>
      </c>
      <c r="O12" s="74">
        <f t="shared" si="23"/>
        <v>375000</v>
      </c>
      <c r="P12" s="74">
        <f t="shared" si="23"/>
        <v>405000</v>
      </c>
      <c r="Q12" s="74">
        <f t="shared" si="23"/>
        <v>405000</v>
      </c>
      <c r="R12" s="26">
        <f t="shared" si="23"/>
        <v>1560000</v>
      </c>
      <c r="S12" s="74">
        <f t="shared" ref="S12:AA12" si="24">S9+S10</f>
        <v>397500</v>
      </c>
      <c r="T12" s="74">
        <f t="shared" si="24"/>
        <v>397500</v>
      </c>
      <c r="U12" s="74">
        <f t="shared" si="24"/>
        <v>397500</v>
      </c>
      <c r="V12" s="74">
        <f t="shared" si="24"/>
        <v>418875</v>
      </c>
      <c r="W12" s="26">
        <f>W9+W10</f>
        <v>1675500</v>
      </c>
      <c r="X12" s="74">
        <f t="shared" si="24"/>
        <v>451875</v>
      </c>
      <c r="Y12" s="74">
        <f t="shared" si="24"/>
        <v>489375</v>
      </c>
      <c r="Z12" s="74">
        <f t="shared" si="24"/>
        <v>489375</v>
      </c>
      <c r="AA12" s="74">
        <f t="shared" si="24"/>
        <v>489375</v>
      </c>
      <c r="AB12" s="26">
        <f>AB9+AB10+AB11</f>
        <v>1957500</v>
      </c>
      <c r="AC12" s="74">
        <f>AC9+AC10</f>
        <v>489375</v>
      </c>
      <c r="AD12" s="74">
        <f>AD9+AD10</f>
        <v>502500</v>
      </c>
      <c r="AE12" s="74">
        <f>AE9+AE10</f>
        <v>502500</v>
      </c>
      <c r="AF12" s="74">
        <f>AF9+AF10</f>
        <v>502500</v>
      </c>
      <c r="AG12" s="26">
        <f t="shared" ref="AG12:BN12" si="25">AG9+AG10+AG11</f>
        <v>2010000</v>
      </c>
      <c r="AH12" s="74">
        <f t="shared" si="25"/>
        <v>1005000</v>
      </c>
      <c r="AI12" s="74">
        <f t="shared" si="25"/>
        <v>1005000</v>
      </c>
      <c r="AJ12" s="74">
        <f t="shared" si="25"/>
        <v>1005000</v>
      </c>
      <c r="AK12" s="74">
        <f t="shared" si="25"/>
        <v>1005000</v>
      </c>
      <c r="AL12" s="26">
        <f t="shared" si="25"/>
        <v>4020000</v>
      </c>
      <c r="AM12" s="74">
        <f t="shared" si="25"/>
        <v>1005000</v>
      </c>
      <c r="AN12" s="74">
        <f t="shared" si="25"/>
        <v>1005000</v>
      </c>
      <c r="AO12" s="74">
        <f t="shared" si="25"/>
        <v>1005000</v>
      </c>
      <c r="AP12" s="74">
        <f t="shared" si="25"/>
        <v>1005000</v>
      </c>
      <c r="AQ12" s="26">
        <f t="shared" si="25"/>
        <v>4020000</v>
      </c>
      <c r="AR12" s="15">
        <f>AR9+AR10+AR11</f>
        <v>4020000</v>
      </c>
      <c r="AS12" s="15">
        <f>AS9+AS10+AS11</f>
        <v>4020000</v>
      </c>
      <c r="AT12" s="26">
        <f t="shared" si="25"/>
        <v>4020000</v>
      </c>
      <c r="AU12" s="920" t="e">
        <f>AU9+AU10+AU11</f>
        <v>#REF!</v>
      </c>
      <c r="AV12" s="26">
        <f>AV9+AV10+AV11</f>
        <v>1206000</v>
      </c>
      <c r="AW12" s="26">
        <f>AW9+AW10+AW11</f>
        <v>1206000</v>
      </c>
      <c r="AX12" s="26">
        <f>AX9+AX10+AX11</f>
        <v>1206000</v>
      </c>
      <c r="AY12" s="15">
        <f t="shared" si="25"/>
        <v>4020000</v>
      </c>
      <c r="AZ12" s="622">
        <f t="shared" si="25"/>
        <v>1206000</v>
      </c>
      <c r="BA12" s="622">
        <f>BA9+BA10+BA11</f>
        <v>1206000</v>
      </c>
      <c r="BB12" s="622">
        <f>BB9+BB10+BB11</f>
        <v>1206000</v>
      </c>
      <c r="BC12" s="622">
        <f>BC9+BC10+BC11</f>
        <v>1206000</v>
      </c>
      <c r="BD12" s="15">
        <f t="shared" si="25"/>
        <v>4020000</v>
      </c>
      <c r="BE12" s="622">
        <f t="shared" si="25"/>
        <v>1206000</v>
      </c>
      <c r="BF12" s="622">
        <f t="shared" si="25"/>
        <v>1206000</v>
      </c>
      <c r="BG12" s="622">
        <f t="shared" si="25"/>
        <v>1206000</v>
      </c>
      <c r="BH12" s="622">
        <f t="shared" si="25"/>
        <v>1206000</v>
      </c>
      <c r="BI12" s="15">
        <f t="shared" si="25"/>
        <v>4020000</v>
      </c>
      <c r="BJ12" s="622">
        <f t="shared" ref="BJ12:BK12" si="26">BJ9+BJ10+BJ11</f>
        <v>1206000</v>
      </c>
      <c r="BK12" s="622">
        <f t="shared" si="26"/>
        <v>1206000</v>
      </c>
      <c r="BL12" s="622">
        <f t="shared" ref="BL12:BM12" si="27">BL9+BL10+BL11</f>
        <v>1206000</v>
      </c>
      <c r="BM12" s="622">
        <f t="shared" si="27"/>
        <v>1206000</v>
      </c>
      <c r="BN12" s="15">
        <f t="shared" si="25"/>
        <v>4020000</v>
      </c>
      <c r="BO12" s="15">
        <f t="shared" ref="BO12:BQ12" si="28">BO9+BO10+BO11</f>
        <v>1206000</v>
      </c>
      <c r="BP12" s="668"/>
      <c r="BQ12" s="668">
        <f t="shared" si="28"/>
        <v>1206000</v>
      </c>
      <c r="BR12" s="668">
        <f t="shared" ref="BR12:CB12" si="29">BR9+BR10+BR11</f>
        <v>4020000</v>
      </c>
      <c r="BS12" s="15">
        <f t="shared" si="29"/>
        <v>4020000</v>
      </c>
      <c r="BT12" s="15">
        <f t="shared" si="29"/>
        <v>4020000</v>
      </c>
      <c r="BU12" s="15">
        <f t="shared" si="29"/>
        <v>4020000</v>
      </c>
      <c r="BV12" s="15">
        <f t="shared" si="29"/>
        <v>4020000</v>
      </c>
      <c r="BW12" s="15">
        <f t="shared" si="29"/>
        <v>4020000</v>
      </c>
      <c r="BX12" s="15">
        <f t="shared" si="29"/>
        <v>4020000</v>
      </c>
      <c r="BY12" s="15">
        <f t="shared" si="29"/>
        <v>4020000</v>
      </c>
      <c r="BZ12" s="15">
        <f t="shared" si="29"/>
        <v>4020000</v>
      </c>
      <c r="CA12" s="15">
        <f t="shared" si="29"/>
        <v>4020000</v>
      </c>
      <c r="CB12" s="15">
        <f t="shared" si="29"/>
        <v>4020000</v>
      </c>
      <c r="CC12" s="269"/>
      <c r="CD12" s="269"/>
      <c r="CE12" s="269"/>
      <c r="CF12" s="269"/>
      <c r="CG12" s="269"/>
      <c r="CH12" s="269"/>
      <c r="CI12" s="269"/>
      <c r="CJ12" s="269"/>
      <c r="CK12" s="269"/>
      <c r="CL12" s="269"/>
    </row>
    <row r="13" spans="1:90">
      <c r="A13" s="10" t="s">
        <v>381</v>
      </c>
      <c r="B13" s="73" t="s">
        <v>42</v>
      </c>
      <c r="C13" s="11"/>
      <c r="D13" s="11"/>
      <c r="E13" s="11"/>
      <c r="F13" s="11"/>
      <c r="G13" s="26">
        <f t="shared" ref="G13:AA13" si="30">+G12*1.05</f>
        <v>1732500</v>
      </c>
      <c r="H13" s="26">
        <f t="shared" si="30"/>
        <v>1732500</v>
      </c>
      <c r="I13" s="74">
        <f t="shared" si="30"/>
        <v>866250</v>
      </c>
      <c r="J13" s="74">
        <f t="shared" si="30"/>
        <v>433125</v>
      </c>
      <c r="K13" s="74">
        <f t="shared" si="30"/>
        <v>433125</v>
      </c>
      <c r="L13" s="74">
        <f t="shared" si="30"/>
        <v>0</v>
      </c>
      <c r="M13" s="26">
        <f t="shared" si="30"/>
        <v>1732500</v>
      </c>
      <c r="N13" s="74">
        <f t="shared" si="30"/>
        <v>393750</v>
      </c>
      <c r="O13" s="74">
        <f t="shared" si="30"/>
        <v>393750</v>
      </c>
      <c r="P13" s="74">
        <f t="shared" si="30"/>
        <v>425250</v>
      </c>
      <c r="Q13" s="74">
        <f t="shared" si="30"/>
        <v>425250</v>
      </c>
      <c r="R13" s="26">
        <f t="shared" si="30"/>
        <v>1638000</v>
      </c>
      <c r="S13" s="74">
        <f t="shared" si="30"/>
        <v>417375</v>
      </c>
      <c r="T13" s="74">
        <f t="shared" si="30"/>
        <v>417375</v>
      </c>
      <c r="U13" s="74">
        <f t="shared" si="30"/>
        <v>417375</v>
      </c>
      <c r="V13" s="74">
        <f t="shared" si="30"/>
        <v>439818.75</v>
      </c>
      <c r="W13" s="26">
        <f t="shared" si="30"/>
        <v>1759275</v>
      </c>
      <c r="X13" s="74">
        <f t="shared" si="30"/>
        <v>474468.75</v>
      </c>
      <c r="Y13" s="74">
        <f t="shared" si="30"/>
        <v>513843.75</v>
      </c>
      <c r="Z13" s="74">
        <f t="shared" si="30"/>
        <v>513843.75</v>
      </c>
      <c r="AA13" s="74">
        <f t="shared" si="30"/>
        <v>513843.75</v>
      </c>
      <c r="AB13" s="26">
        <f t="shared" ref="AB13:BN13" si="31">+AB12*1.05</f>
        <v>2055375</v>
      </c>
      <c r="AC13" s="74">
        <f t="shared" si="31"/>
        <v>513843.75</v>
      </c>
      <c r="AD13" s="74">
        <f t="shared" si="31"/>
        <v>527625</v>
      </c>
      <c r="AE13" s="74">
        <f t="shared" si="31"/>
        <v>527625</v>
      </c>
      <c r="AF13" s="74">
        <f t="shared" si="31"/>
        <v>527625</v>
      </c>
      <c r="AG13" s="26">
        <f t="shared" si="31"/>
        <v>2110500</v>
      </c>
      <c r="AH13" s="74">
        <f t="shared" si="31"/>
        <v>1055250</v>
      </c>
      <c r="AI13" s="74">
        <f t="shared" si="31"/>
        <v>1055250</v>
      </c>
      <c r="AJ13" s="74">
        <f>+AJ12*1.05</f>
        <v>1055250</v>
      </c>
      <c r="AK13" s="74">
        <f>+AK12*1.05</f>
        <v>1055250</v>
      </c>
      <c r="AL13" s="26">
        <f t="shared" si="31"/>
        <v>4221000</v>
      </c>
      <c r="AM13" s="74">
        <f>+AM12*1.05</f>
        <v>1055250</v>
      </c>
      <c r="AN13" s="74">
        <f>+AN12*1.05</f>
        <v>1055250</v>
      </c>
      <c r="AO13" s="74">
        <f>+AO12*1.05</f>
        <v>1055250</v>
      </c>
      <c r="AP13" s="74">
        <f>+AP12*1.05</f>
        <v>1055250</v>
      </c>
      <c r="AQ13" s="26">
        <f t="shared" si="31"/>
        <v>4221000</v>
      </c>
      <c r="AR13" s="15">
        <f>+AR12*1.05</f>
        <v>4221000</v>
      </c>
      <c r="AS13" s="15">
        <f>+AS12*1.05</f>
        <v>4221000</v>
      </c>
      <c r="AT13" s="26">
        <f t="shared" si="31"/>
        <v>4221000</v>
      </c>
      <c r="AU13" s="920" t="e">
        <f>+AU12*1.05</f>
        <v>#REF!</v>
      </c>
      <c r="AV13" s="26">
        <f>+AV12*1.05</f>
        <v>1266300</v>
      </c>
      <c r="AW13" s="26">
        <f>+AW12*1.05</f>
        <v>1266300</v>
      </c>
      <c r="AX13" s="26">
        <f>+AX12*1.05</f>
        <v>1266300</v>
      </c>
      <c r="AY13" s="15">
        <f t="shared" si="31"/>
        <v>4221000</v>
      </c>
      <c r="AZ13" s="622">
        <f t="shared" si="31"/>
        <v>1266300</v>
      </c>
      <c r="BA13" s="622">
        <f>+BA12*1.05</f>
        <v>1266300</v>
      </c>
      <c r="BB13" s="622">
        <f>+BB12*1.05</f>
        <v>1266300</v>
      </c>
      <c r="BC13" s="622">
        <f>+BC12*1.05</f>
        <v>1266300</v>
      </c>
      <c r="BD13" s="15">
        <f t="shared" si="31"/>
        <v>4221000</v>
      </c>
      <c r="BE13" s="622">
        <f t="shared" si="31"/>
        <v>1266300</v>
      </c>
      <c r="BF13" s="622">
        <f>BF12*1.05</f>
        <v>1266300</v>
      </c>
      <c r="BG13" s="622">
        <f t="shared" si="31"/>
        <v>1266300</v>
      </c>
      <c r="BH13" s="622">
        <f t="shared" si="31"/>
        <v>1266300</v>
      </c>
      <c r="BI13" s="15">
        <f t="shared" si="31"/>
        <v>4221000</v>
      </c>
      <c r="BJ13" s="622">
        <f t="shared" ref="BJ13:BK13" si="32">+BJ12*1.05</f>
        <v>1266300</v>
      </c>
      <c r="BK13" s="622">
        <f t="shared" si="32"/>
        <v>1266300</v>
      </c>
      <c r="BL13" s="622">
        <f t="shared" ref="BL13:BM13" si="33">+BL12*1.05</f>
        <v>1266300</v>
      </c>
      <c r="BM13" s="622">
        <f t="shared" si="33"/>
        <v>1266300</v>
      </c>
      <c r="BN13" s="15">
        <f t="shared" si="31"/>
        <v>4221000</v>
      </c>
      <c r="BO13" s="15">
        <f t="shared" ref="BO13" si="34">+BO12*1.05</f>
        <v>1266300</v>
      </c>
      <c r="BP13" s="668"/>
      <c r="BQ13" s="668">
        <v>1266300</v>
      </c>
      <c r="BR13" s="668">
        <f t="shared" ref="BR13:CB13" si="35">+BR12*1.05</f>
        <v>4221000</v>
      </c>
      <c r="BS13" s="15">
        <f t="shared" si="35"/>
        <v>4221000</v>
      </c>
      <c r="BT13" s="15">
        <f t="shared" si="35"/>
        <v>4221000</v>
      </c>
      <c r="BU13" s="15">
        <f t="shared" si="35"/>
        <v>4221000</v>
      </c>
      <c r="BV13" s="15">
        <f t="shared" si="35"/>
        <v>4221000</v>
      </c>
      <c r="BW13" s="15">
        <f t="shared" si="35"/>
        <v>4221000</v>
      </c>
      <c r="BX13" s="15">
        <f t="shared" si="35"/>
        <v>4221000</v>
      </c>
      <c r="BY13" s="15">
        <f t="shared" si="35"/>
        <v>4221000</v>
      </c>
      <c r="BZ13" s="15">
        <f t="shared" si="35"/>
        <v>4221000</v>
      </c>
      <c r="CA13" s="15">
        <f t="shared" si="35"/>
        <v>4221000</v>
      </c>
      <c r="CB13" s="15">
        <f t="shared" si="35"/>
        <v>4221000</v>
      </c>
      <c r="CC13" s="269"/>
      <c r="CD13" s="269"/>
      <c r="CE13" s="269"/>
      <c r="CF13" s="269"/>
      <c r="CG13" s="269"/>
      <c r="CH13" s="269"/>
      <c r="CI13" s="269"/>
      <c r="CJ13" s="269"/>
      <c r="CK13" s="269"/>
      <c r="CL13" s="269"/>
    </row>
    <row r="14" spans="1:90">
      <c r="A14" s="10"/>
      <c r="C14" s="11"/>
      <c r="D14" s="11"/>
      <c r="E14" s="11"/>
      <c r="F14" s="286"/>
      <c r="G14" s="26"/>
      <c r="H14" s="26"/>
      <c r="I14" s="74"/>
      <c r="J14" s="74"/>
      <c r="K14" s="74"/>
      <c r="L14" s="74"/>
      <c r="M14" s="26"/>
      <c r="N14" s="74"/>
      <c r="O14" s="74"/>
      <c r="P14" s="74"/>
      <c r="Q14" s="74"/>
      <c r="R14" s="26"/>
      <c r="S14" s="74"/>
      <c r="T14" s="74"/>
      <c r="U14" s="74"/>
      <c r="V14" s="74"/>
      <c r="W14" s="26"/>
      <c r="X14" s="74"/>
      <c r="Y14" s="74"/>
      <c r="Z14" s="74"/>
      <c r="AA14" s="74"/>
      <c r="AB14" s="26"/>
      <c r="AC14" s="74"/>
      <c r="AD14" s="74"/>
      <c r="AE14" s="74"/>
      <c r="AF14" s="74"/>
      <c r="AG14" s="26">
        <f>+AG12*2</f>
        <v>4020000</v>
      </c>
      <c r="AH14" s="74"/>
      <c r="AI14" s="74"/>
      <c r="AJ14" s="74"/>
      <c r="AK14" s="74"/>
      <c r="AM14" s="74"/>
      <c r="AN14" s="74"/>
      <c r="AO14" s="74"/>
      <c r="AP14" s="74"/>
      <c r="AR14" s="4"/>
      <c r="AS14" s="4"/>
      <c r="AU14" s="921"/>
      <c r="AY14" s="4"/>
      <c r="BD14" s="4"/>
      <c r="BE14" s="640"/>
      <c r="BF14" s="640"/>
      <c r="BG14" s="640"/>
      <c r="BH14" s="640"/>
      <c r="BI14" s="4"/>
      <c r="BJ14" s="640"/>
      <c r="BK14" s="640"/>
      <c r="BL14" s="640"/>
      <c r="BM14" s="640"/>
      <c r="BN14" s="4"/>
      <c r="BO14" s="4"/>
      <c r="BP14" s="668"/>
      <c r="BQ14" s="668"/>
      <c r="BR14" s="668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269"/>
      <c r="CD14" s="269"/>
      <c r="CE14" s="269"/>
      <c r="CF14" s="269"/>
      <c r="CG14" s="269"/>
      <c r="CH14" s="269"/>
      <c r="CI14" s="269"/>
      <c r="CJ14" s="269"/>
      <c r="CK14" s="269"/>
      <c r="CL14" s="269"/>
    </row>
    <row r="15" spans="1:90">
      <c r="A15" s="10" t="s">
        <v>41</v>
      </c>
      <c r="B15" s="73" t="s">
        <v>46</v>
      </c>
      <c r="C15" s="11">
        <f t="shared" ref="C15:E16" si="36">C9/C$24</f>
        <v>2000</v>
      </c>
      <c r="D15" s="11">
        <f t="shared" si="36"/>
        <v>2000</v>
      </c>
      <c r="E15" s="11">
        <f t="shared" si="36"/>
        <v>2000</v>
      </c>
      <c r="F15" s="11">
        <f t="shared" ref="F15:K16" si="37">E15</f>
        <v>2000</v>
      </c>
      <c r="G15" s="26">
        <f t="shared" si="37"/>
        <v>2000</v>
      </c>
      <c r="H15" s="26">
        <f t="shared" si="37"/>
        <v>2000</v>
      </c>
      <c r="I15" s="74">
        <f t="shared" si="37"/>
        <v>2000</v>
      </c>
      <c r="J15" s="74">
        <f t="shared" si="37"/>
        <v>2000</v>
      </c>
      <c r="K15" s="74">
        <f t="shared" si="37"/>
        <v>2000</v>
      </c>
      <c r="L15" s="74"/>
      <c r="M15" s="26">
        <f>H15</f>
        <v>2000</v>
      </c>
      <c r="N15" s="74">
        <f t="shared" ref="N15:Q16" si="38">M15</f>
        <v>2000</v>
      </c>
      <c r="O15" s="74">
        <f t="shared" si="38"/>
        <v>2000</v>
      </c>
      <c r="P15" s="74">
        <f>O15+200</f>
        <v>2200</v>
      </c>
      <c r="Q15" s="74">
        <f t="shared" si="38"/>
        <v>2200</v>
      </c>
      <c r="R15" s="26">
        <f>0.5*N15+0.5*P15</f>
        <v>2100</v>
      </c>
      <c r="S15" s="74">
        <v>2200</v>
      </c>
      <c r="T15" s="74">
        <v>2200</v>
      </c>
      <c r="U15" s="74">
        <v>2200</v>
      </c>
      <c r="V15" s="74">
        <v>2200</v>
      </c>
      <c r="W15" s="26">
        <v>2200</v>
      </c>
      <c r="X15" s="74">
        <f>+W15</f>
        <v>2200</v>
      </c>
      <c r="Y15" s="74">
        <f t="shared" ref="Y15:AA16" si="39">+Z15</f>
        <v>2700</v>
      </c>
      <c r="Z15" s="74">
        <f t="shared" si="39"/>
        <v>2700</v>
      </c>
      <c r="AA15" s="74">
        <f t="shared" si="39"/>
        <v>2700</v>
      </c>
      <c r="AB15" s="26">
        <v>2700</v>
      </c>
      <c r="AC15" s="74">
        <v>2700</v>
      </c>
      <c r="AD15" s="74">
        <v>2700</v>
      </c>
      <c r="AE15" s="74">
        <v>2700</v>
      </c>
      <c r="AF15" s="74">
        <v>2700</v>
      </c>
      <c r="AG15" s="26">
        <f>AB15</f>
        <v>2700</v>
      </c>
      <c r="AH15" s="74">
        <v>2700</v>
      </c>
      <c r="AI15" s="74">
        <v>2700</v>
      </c>
      <c r="AJ15" s="74">
        <v>2700</v>
      </c>
      <c r="AK15" s="74">
        <v>2700</v>
      </c>
      <c r="AL15" s="26">
        <f>AG15</f>
        <v>2700</v>
      </c>
      <c r="AM15" s="74">
        <v>2700</v>
      </c>
      <c r="AN15" s="74">
        <v>2700</v>
      </c>
      <c r="AO15" s="74">
        <v>2700</v>
      </c>
      <c r="AP15" s="74">
        <v>2700</v>
      </c>
      <c r="AQ15" s="26">
        <f>AL15</f>
        <v>2700</v>
      </c>
      <c r="AR15" s="15">
        <f>AP15</f>
        <v>2700</v>
      </c>
      <c r="AS15" s="15">
        <f>AP15</f>
        <v>2700</v>
      </c>
      <c r="AT15" s="26">
        <f>AQ15</f>
        <v>2700</v>
      </c>
      <c r="AU15" s="920" t="e">
        <f>#REF!</f>
        <v>#REF!</v>
      </c>
      <c r="AV15" s="26">
        <f t="shared" ref="AV15:BM16" si="40">AR15</f>
        <v>2700</v>
      </c>
      <c r="AW15" s="26">
        <f t="shared" si="40"/>
        <v>2700</v>
      </c>
      <c r="AX15" s="26">
        <f t="shared" si="40"/>
        <v>2700</v>
      </c>
      <c r="AY15" s="15">
        <f>AT15</f>
        <v>2700</v>
      </c>
      <c r="AZ15" s="622">
        <f t="shared" si="40"/>
        <v>2700</v>
      </c>
      <c r="BA15" s="622">
        <f t="shared" si="40"/>
        <v>2700</v>
      </c>
      <c r="BB15" s="622">
        <f t="shared" si="40"/>
        <v>2700</v>
      </c>
      <c r="BC15" s="622">
        <f t="shared" si="40"/>
        <v>2700</v>
      </c>
      <c r="BD15" s="15">
        <f>AY15</f>
        <v>2700</v>
      </c>
      <c r="BE15" s="622">
        <f t="shared" si="40"/>
        <v>2700</v>
      </c>
      <c r="BF15" s="622">
        <f t="shared" si="40"/>
        <v>2700</v>
      </c>
      <c r="BG15" s="622">
        <f t="shared" si="40"/>
        <v>2700</v>
      </c>
      <c r="BH15" s="622">
        <f t="shared" si="40"/>
        <v>2700</v>
      </c>
      <c r="BI15" s="15">
        <f>BD15</f>
        <v>2700</v>
      </c>
      <c r="BJ15" s="622">
        <f t="shared" si="40"/>
        <v>2700</v>
      </c>
      <c r="BK15" s="622">
        <f t="shared" si="40"/>
        <v>2700</v>
      </c>
      <c r="BL15" s="622">
        <f t="shared" si="40"/>
        <v>2700</v>
      </c>
      <c r="BM15" s="622">
        <f t="shared" si="40"/>
        <v>2700</v>
      </c>
      <c r="BN15" s="15">
        <f>BI15</f>
        <v>2700</v>
      </c>
      <c r="BO15" s="15">
        <f>BM15</f>
        <v>2700</v>
      </c>
      <c r="BP15" s="668"/>
      <c r="BQ15" s="668">
        <f>BO15</f>
        <v>2700</v>
      </c>
      <c r="BR15" s="668">
        <f>BN15</f>
        <v>2700</v>
      </c>
      <c r="BS15" s="15">
        <f t="shared" ref="BS15:CB15" si="41">BR15</f>
        <v>2700</v>
      </c>
      <c r="BT15" s="15">
        <f t="shared" si="41"/>
        <v>2700</v>
      </c>
      <c r="BU15" s="15">
        <f t="shared" si="41"/>
        <v>2700</v>
      </c>
      <c r="BV15" s="15">
        <f t="shared" si="41"/>
        <v>2700</v>
      </c>
      <c r="BW15" s="15">
        <f t="shared" si="41"/>
        <v>2700</v>
      </c>
      <c r="BX15" s="15">
        <f t="shared" si="41"/>
        <v>2700</v>
      </c>
      <c r="BY15" s="15">
        <f t="shared" si="41"/>
        <v>2700</v>
      </c>
      <c r="BZ15" s="15">
        <f t="shared" si="41"/>
        <v>2700</v>
      </c>
      <c r="CA15" s="15">
        <f t="shared" si="41"/>
        <v>2700</v>
      </c>
      <c r="CB15" s="15">
        <f t="shared" si="41"/>
        <v>2700</v>
      </c>
      <c r="CC15" s="269"/>
      <c r="CD15" s="269"/>
      <c r="CE15" s="269"/>
      <c r="CF15" s="269"/>
      <c r="CG15" s="269"/>
      <c r="CH15" s="269"/>
      <c r="CI15" s="269"/>
      <c r="CJ15" s="269"/>
      <c r="CK15" s="269"/>
      <c r="CL15" s="269"/>
    </row>
    <row r="16" spans="1:90">
      <c r="A16" s="10" t="s">
        <v>43</v>
      </c>
      <c r="B16" s="73" t="str">
        <f>B15</f>
        <v>tpd</v>
      </c>
      <c r="C16" s="11">
        <f t="shared" si="36"/>
        <v>0</v>
      </c>
      <c r="D16" s="11">
        <f t="shared" si="36"/>
        <v>3000</v>
      </c>
      <c r="E16" s="11">
        <f t="shared" si="36"/>
        <v>3000</v>
      </c>
      <c r="F16" s="11">
        <f t="shared" si="37"/>
        <v>3000</v>
      </c>
      <c r="G16" s="26">
        <f t="shared" si="37"/>
        <v>3000</v>
      </c>
      <c r="H16" s="26">
        <f t="shared" si="37"/>
        <v>3000</v>
      </c>
      <c r="I16" s="74">
        <f t="shared" si="37"/>
        <v>3000</v>
      </c>
      <c r="J16" s="74">
        <f t="shared" si="37"/>
        <v>3000</v>
      </c>
      <c r="K16" s="74">
        <f t="shared" si="37"/>
        <v>3000</v>
      </c>
      <c r="L16" s="74"/>
      <c r="M16" s="26">
        <f>H16</f>
        <v>3000</v>
      </c>
      <c r="N16" s="74">
        <f t="shared" si="38"/>
        <v>3000</v>
      </c>
      <c r="O16" s="74">
        <f t="shared" si="38"/>
        <v>3000</v>
      </c>
      <c r="P16" s="287">
        <f>+O16+200</f>
        <v>3200</v>
      </c>
      <c r="Q16" s="287">
        <f t="shared" si="38"/>
        <v>3200</v>
      </c>
      <c r="R16" s="26">
        <f>0.5*N16+0.5*P16</f>
        <v>3100</v>
      </c>
      <c r="S16" s="74">
        <v>3100</v>
      </c>
      <c r="T16" s="74">
        <v>3100</v>
      </c>
      <c r="U16" s="287">
        <v>3100</v>
      </c>
      <c r="V16" s="287">
        <f>+W16</f>
        <v>3385</v>
      </c>
      <c r="W16" s="26">
        <v>3385</v>
      </c>
      <c r="X16" s="287">
        <f>+Y16</f>
        <v>3825</v>
      </c>
      <c r="Y16" s="287">
        <f t="shared" si="39"/>
        <v>3825</v>
      </c>
      <c r="Z16" s="287">
        <f t="shared" si="39"/>
        <v>3825</v>
      </c>
      <c r="AA16" s="287">
        <f t="shared" si="39"/>
        <v>3825</v>
      </c>
      <c r="AB16" s="26">
        <v>3825</v>
      </c>
      <c r="AC16" s="287">
        <v>3825</v>
      </c>
      <c r="AD16" s="287">
        <v>4000</v>
      </c>
      <c r="AE16" s="287">
        <v>4000</v>
      </c>
      <c r="AF16" s="287">
        <v>4000</v>
      </c>
      <c r="AG16" s="26">
        <v>4000</v>
      </c>
      <c r="AH16" s="287">
        <v>4000</v>
      </c>
      <c r="AI16" s="287">
        <v>4000</v>
      </c>
      <c r="AJ16" s="287">
        <v>4000</v>
      </c>
      <c r="AK16" s="287">
        <v>4000</v>
      </c>
      <c r="AL16" s="26">
        <f>AG16</f>
        <v>4000</v>
      </c>
      <c r="AM16" s="287">
        <v>4000</v>
      </c>
      <c r="AN16" s="287">
        <v>4000</v>
      </c>
      <c r="AO16" s="287">
        <v>4000</v>
      </c>
      <c r="AP16" s="287">
        <v>4000</v>
      </c>
      <c r="AQ16" s="26">
        <f>AL16</f>
        <v>4000</v>
      </c>
      <c r="AR16" s="15">
        <f>AP16</f>
        <v>4000</v>
      </c>
      <c r="AS16" s="15">
        <f>AP16</f>
        <v>4000</v>
      </c>
      <c r="AT16" s="26">
        <f>AQ16</f>
        <v>4000</v>
      </c>
      <c r="AU16" s="920" t="e">
        <f>#REF!</f>
        <v>#REF!</v>
      </c>
      <c r="AV16" s="26">
        <f t="shared" si="40"/>
        <v>4000</v>
      </c>
      <c r="AW16" s="26">
        <f t="shared" si="40"/>
        <v>4000</v>
      </c>
      <c r="AX16" s="26">
        <f t="shared" si="40"/>
        <v>4000</v>
      </c>
      <c r="AY16" s="15">
        <f>AT16</f>
        <v>4000</v>
      </c>
      <c r="AZ16" s="622">
        <f t="shared" si="40"/>
        <v>4000</v>
      </c>
      <c r="BA16" s="622">
        <f t="shared" si="40"/>
        <v>4000</v>
      </c>
      <c r="BB16" s="622">
        <f t="shared" si="40"/>
        <v>4000</v>
      </c>
      <c r="BC16" s="622">
        <f t="shared" si="40"/>
        <v>4000</v>
      </c>
      <c r="BD16" s="15">
        <f>AY16</f>
        <v>4000</v>
      </c>
      <c r="BE16" s="622">
        <f t="shared" si="40"/>
        <v>4000</v>
      </c>
      <c r="BF16" s="622">
        <f t="shared" si="40"/>
        <v>4000</v>
      </c>
      <c r="BG16" s="622">
        <f t="shared" si="40"/>
        <v>4000</v>
      </c>
      <c r="BH16" s="622">
        <f t="shared" si="40"/>
        <v>4000</v>
      </c>
      <c r="BI16" s="15">
        <f>BD16</f>
        <v>4000</v>
      </c>
      <c r="BJ16" s="622">
        <f t="shared" si="40"/>
        <v>4000</v>
      </c>
      <c r="BK16" s="622">
        <f t="shared" si="40"/>
        <v>4000</v>
      </c>
      <c r="BL16" s="622">
        <f t="shared" si="40"/>
        <v>4000</v>
      </c>
      <c r="BM16" s="622">
        <f t="shared" si="40"/>
        <v>4000</v>
      </c>
      <c r="BN16" s="15">
        <f>BI16</f>
        <v>4000</v>
      </c>
      <c r="BO16" s="15">
        <f t="shared" ref="BO16:BO18" si="42">BM16</f>
        <v>4000</v>
      </c>
      <c r="BP16" s="668"/>
      <c r="BQ16" s="668">
        <f>BO16</f>
        <v>4000</v>
      </c>
      <c r="BR16" s="668">
        <f>BN16</f>
        <v>4000</v>
      </c>
      <c r="BS16" s="15">
        <f t="shared" ref="BS16:CB16" si="43">BR16</f>
        <v>4000</v>
      </c>
      <c r="BT16" s="15">
        <f t="shared" si="43"/>
        <v>4000</v>
      </c>
      <c r="BU16" s="15">
        <f t="shared" si="43"/>
        <v>4000</v>
      </c>
      <c r="BV16" s="15">
        <f t="shared" si="43"/>
        <v>4000</v>
      </c>
      <c r="BW16" s="15">
        <f t="shared" si="43"/>
        <v>4000</v>
      </c>
      <c r="BX16" s="15">
        <f t="shared" si="43"/>
        <v>4000</v>
      </c>
      <c r="BY16" s="15">
        <f t="shared" si="43"/>
        <v>4000</v>
      </c>
      <c r="BZ16" s="15">
        <f t="shared" si="43"/>
        <v>4000</v>
      </c>
      <c r="CA16" s="15">
        <f t="shared" si="43"/>
        <v>4000</v>
      </c>
      <c r="CB16" s="15">
        <f t="shared" si="43"/>
        <v>4000</v>
      </c>
      <c r="CC16" s="269"/>
      <c r="CD16" s="269"/>
      <c r="CE16" s="269"/>
      <c r="CF16" s="269"/>
      <c r="CG16" s="269"/>
      <c r="CH16" s="269"/>
      <c r="CI16" s="269"/>
      <c r="CJ16" s="269"/>
      <c r="CK16" s="269"/>
      <c r="CL16" s="269"/>
    </row>
    <row r="17" spans="1:90">
      <c r="A17" s="10" t="s">
        <v>44</v>
      </c>
      <c r="B17" s="73" t="s">
        <v>46</v>
      </c>
      <c r="C17" s="11"/>
      <c r="D17" s="11"/>
      <c r="E17" s="11"/>
      <c r="F17" s="11"/>
      <c r="G17" s="26"/>
      <c r="H17" s="26"/>
      <c r="I17" s="74"/>
      <c r="J17" s="74"/>
      <c r="K17" s="74"/>
      <c r="L17" s="74"/>
      <c r="M17" s="26"/>
      <c r="N17" s="74"/>
      <c r="O17" s="74"/>
      <c r="P17" s="74"/>
      <c r="Q17" s="74"/>
      <c r="R17" s="26"/>
      <c r="S17" s="74"/>
      <c r="T17" s="74"/>
      <c r="U17" s="74"/>
      <c r="V17" s="74"/>
      <c r="W17" s="26"/>
      <c r="X17" s="74"/>
      <c r="Y17" s="74"/>
      <c r="Z17" s="74"/>
      <c r="AA17" s="74"/>
      <c r="AB17" s="26"/>
      <c r="AC17" s="287"/>
      <c r="AD17" s="287"/>
      <c r="AE17" s="287"/>
      <c r="AF17" s="287"/>
      <c r="AG17" s="26">
        <v>0</v>
      </c>
      <c r="AH17" s="287"/>
      <c r="AI17" s="74">
        <v>6700</v>
      </c>
      <c r="AJ17" s="287">
        <f>+AI17</f>
        <v>6700</v>
      </c>
      <c r="AK17" s="287">
        <f>+AJ17</f>
        <v>6700</v>
      </c>
      <c r="AL17" s="26">
        <v>6700</v>
      </c>
      <c r="AM17" s="287">
        <f>+AL17</f>
        <v>6700</v>
      </c>
      <c r="AN17" s="287">
        <f>+AM17</f>
        <v>6700</v>
      </c>
      <c r="AO17" s="287">
        <f>+AN17</f>
        <v>6700</v>
      </c>
      <c r="AP17" s="287">
        <f>+AO17</f>
        <v>6700</v>
      </c>
      <c r="AQ17" s="26">
        <f>+AL17</f>
        <v>6700</v>
      </c>
      <c r="AR17" s="15">
        <f>+AP17</f>
        <v>6700</v>
      </c>
      <c r="AS17" s="15">
        <f>+AP17</f>
        <v>6700</v>
      </c>
      <c r="AT17" s="26">
        <f>+AQ17</f>
        <v>6700</v>
      </c>
      <c r="AU17" s="920" t="e">
        <f>+#REF!</f>
        <v>#REF!</v>
      </c>
      <c r="AV17" s="26">
        <f t="shared" ref="AV17:BM17" si="44">+AR17</f>
        <v>6700</v>
      </c>
      <c r="AW17" s="26">
        <f t="shared" si="44"/>
        <v>6700</v>
      </c>
      <c r="AX17" s="26">
        <f t="shared" si="44"/>
        <v>6700</v>
      </c>
      <c r="AY17" s="15">
        <f>+AT17</f>
        <v>6700</v>
      </c>
      <c r="AZ17" s="622">
        <f t="shared" si="44"/>
        <v>6700</v>
      </c>
      <c r="BA17" s="622">
        <f t="shared" si="44"/>
        <v>6700</v>
      </c>
      <c r="BB17" s="622">
        <f t="shared" si="44"/>
        <v>6700</v>
      </c>
      <c r="BC17" s="622">
        <f t="shared" si="44"/>
        <v>6700</v>
      </c>
      <c r="BD17" s="15">
        <f>+AY17</f>
        <v>6700</v>
      </c>
      <c r="BE17" s="622">
        <f t="shared" si="44"/>
        <v>6700</v>
      </c>
      <c r="BF17" s="622">
        <f t="shared" si="44"/>
        <v>6700</v>
      </c>
      <c r="BG17" s="622">
        <f t="shared" si="44"/>
        <v>6700</v>
      </c>
      <c r="BH17" s="622">
        <f t="shared" si="44"/>
        <v>6700</v>
      </c>
      <c r="BI17" s="15">
        <f>+BD17</f>
        <v>6700</v>
      </c>
      <c r="BJ17" s="622">
        <f t="shared" si="44"/>
        <v>6700</v>
      </c>
      <c r="BK17" s="622">
        <f t="shared" si="44"/>
        <v>6700</v>
      </c>
      <c r="BL17" s="622">
        <f t="shared" si="44"/>
        <v>6700</v>
      </c>
      <c r="BM17" s="622">
        <f t="shared" si="44"/>
        <v>6700</v>
      </c>
      <c r="BN17" s="15">
        <f>+BI17</f>
        <v>6700</v>
      </c>
      <c r="BO17" s="15">
        <f t="shared" si="42"/>
        <v>6700</v>
      </c>
      <c r="BP17" s="668"/>
      <c r="BQ17" s="668">
        <f>BO17</f>
        <v>6700</v>
      </c>
      <c r="BR17" s="668">
        <f>+BN17</f>
        <v>6700</v>
      </c>
      <c r="BS17" s="15">
        <f t="shared" ref="BS17:CB17" si="45">+BR17</f>
        <v>6700</v>
      </c>
      <c r="BT17" s="15">
        <f t="shared" si="45"/>
        <v>6700</v>
      </c>
      <c r="BU17" s="15">
        <f t="shared" si="45"/>
        <v>6700</v>
      </c>
      <c r="BV17" s="15">
        <f t="shared" si="45"/>
        <v>6700</v>
      </c>
      <c r="BW17" s="15">
        <f t="shared" si="45"/>
        <v>6700</v>
      </c>
      <c r="BX17" s="15">
        <f t="shared" si="45"/>
        <v>6700</v>
      </c>
      <c r="BY17" s="15">
        <f t="shared" si="45"/>
        <v>6700</v>
      </c>
      <c r="BZ17" s="15">
        <f t="shared" si="45"/>
        <v>6700</v>
      </c>
      <c r="CA17" s="15">
        <f t="shared" si="45"/>
        <v>6700</v>
      </c>
      <c r="CB17" s="15">
        <f t="shared" si="45"/>
        <v>6700</v>
      </c>
      <c r="CC17" s="269"/>
      <c r="CD17" s="269"/>
      <c r="CE17" s="269"/>
      <c r="CF17" s="269"/>
      <c r="CG17" s="269"/>
      <c r="CH17" s="269"/>
      <c r="CI17" s="269"/>
      <c r="CJ17" s="269"/>
      <c r="CK17" s="269"/>
      <c r="CL17" s="269"/>
    </row>
    <row r="18" spans="1:90">
      <c r="A18" s="10" t="s">
        <v>45</v>
      </c>
      <c r="B18" s="73" t="s">
        <v>46</v>
      </c>
      <c r="C18" s="11">
        <f t="shared" ref="C18:H18" si="46">C15+C16</f>
        <v>2000</v>
      </c>
      <c r="D18" s="11">
        <f t="shared" si="46"/>
        <v>5000</v>
      </c>
      <c r="E18" s="11">
        <f t="shared" si="46"/>
        <v>5000</v>
      </c>
      <c r="F18" s="11">
        <f t="shared" si="46"/>
        <v>5000</v>
      </c>
      <c r="G18" s="26">
        <f t="shared" si="46"/>
        <v>5000</v>
      </c>
      <c r="H18" s="26">
        <f t="shared" si="46"/>
        <v>5000</v>
      </c>
      <c r="I18" s="74">
        <f>I15+I16</f>
        <v>5000</v>
      </c>
      <c r="J18" s="74">
        <f>J15+J16</f>
        <v>5000</v>
      </c>
      <c r="K18" s="74">
        <f>K15+K16</f>
        <v>5000</v>
      </c>
      <c r="L18" s="74"/>
      <c r="M18" s="26">
        <f t="shared" ref="M18:V18" si="47">M15+M16</f>
        <v>5000</v>
      </c>
      <c r="N18" s="74">
        <f t="shared" si="47"/>
        <v>5000</v>
      </c>
      <c r="O18" s="74">
        <f t="shared" si="47"/>
        <v>5000</v>
      </c>
      <c r="P18" s="74">
        <f t="shared" si="47"/>
        <v>5400</v>
      </c>
      <c r="Q18" s="74">
        <f t="shared" si="47"/>
        <v>5400</v>
      </c>
      <c r="R18" s="26">
        <f t="shared" si="47"/>
        <v>5200</v>
      </c>
      <c r="S18" s="74">
        <f t="shared" si="47"/>
        <v>5300</v>
      </c>
      <c r="T18" s="74">
        <f t="shared" si="47"/>
        <v>5300</v>
      </c>
      <c r="U18" s="74">
        <f t="shared" si="47"/>
        <v>5300</v>
      </c>
      <c r="V18" s="74">
        <f t="shared" si="47"/>
        <v>5585</v>
      </c>
      <c r="W18" s="26">
        <f>W15+W16</f>
        <v>5585</v>
      </c>
      <c r="X18" s="74">
        <f>X15+X16</f>
        <v>6025</v>
      </c>
      <c r="Y18" s="74">
        <f>Y15+Y16</f>
        <v>6525</v>
      </c>
      <c r="Z18" s="74">
        <f>Z15+Z16</f>
        <v>6525</v>
      </c>
      <c r="AA18" s="74">
        <f>AA15+AA16</f>
        <v>6525</v>
      </c>
      <c r="AB18" s="26">
        <f>AB15+AB16+AB17</f>
        <v>6525</v>
      </c>
      <c r="AC18" s="74">
        <f>AC15+AC16</f>
        <v>6525</v>
      </c>
      <c r="AD18" s="74">
        <f>AD15+AD16</f>
        <v>6700</v>
      </c>
      <c r="AE18" s="74">
        <f>AE15+AE16</f>
        <v>6700</v>
      </c>
      <c r="AF18" s="74">
        <f>AF15+AF16</f>
        <v>6700</v>
      </c>
      <c r="AG18" s="26">
        <f>AG15+AG16+AG17</f>
        <v>6700</v>
      </c>
      <c r="AH18" s="74">
        <f>AH15+AH16</f>
        <v>6700</v>
      </c>
      <c r="AI18" s="74">
        <f>AI15+AI16+AI17</f>
        <v>13400</v>
      </c>
      <c r="AJ18" s="74">
        <f>SUM(AJ15:AJ17)</f>
        <v>13400</v>
      </c>
      <c r="AK18" s="74">
        <f>SUM(AK15:AK17)</f>
        <v>13400</v>
      </c>
      <c r="AL18" s="26">
        <f>AL15+AL16+AL17</f>
        <v>13400</v>
      </c>
      <c r="AM18" s="74">
        <f>SUM(AM15:AM17)</f>
        <v>13400</v>
      </c>
      <c r="AN18" s="74">
        <f>SUM(AN15:AN17)</f>
        <v>13400</v>
      </c>
      <c r="AO18" s="74">
        <f>SUM(AO15:AO17)</f>
        <v>13400</v>
      </c>
      <c r="AP18" s="74">
        <f>SUM(AP15:AP17)</f>
        <v>13400</v>
      </c>
      <c r="AQ18" s="26">
        <f t="shared" ref="AQ18:BN18" si="48">AQ15+AQ16+AQ17</f>
        <v>13400</v>
      </c>
      <c r="AR18" s="15">
        <f>AR15+AR16+AR17</f>
        <v>13400</v>
      </c>
      <c r="AS18" s="15">
        <f>AS15+AS16+AS17</f>
        <v>13400</v>
      </c>
      <c r="AT18" s="26">
        <f t="shared" si="48"/>
        <v>13400</v>
      </c>
      <c r="AU18" s="920" t="e">
        <f>AU15+AU16+AU17</f>
        <v>#REF!</v>
      </c>
      <c r="AV18" s="26">
        <f>AV15+AV16+AV17</f>
        <v>13400</v>
      </c>
      <c r="AW18" s="26">
        <f>AW15+AW16+AW17</f>
        <v>13400</v>
      </c>
      <c r="AX18" s="26">
        <f>AX15+AX16+AX17</f>
        <v>13400</v>
      </c>
      <c r="AY18" s="15">
        <f t="shared" si="48"/>
        <v>13400</v>
      </c>
      <c r="AZ18" s="622">
        <f t="shared" si="48"/>
        <v>13400</v>
      </c>
      <c r="BA18" s="622">
        <f>BA15+BA16+BA17</f>
        <v>13400</v>
      </c>
      <c r="BB18" s="622">
        <f>BB15+BB16+BB17</f>
        <v>13400</v>
      </c>
      <c r="BC18" s="622">
        <f>BC15+BC16+BC17</f>
        <v>13400</v>
      </c>
      <c r="BD18" s="15">
        <f t="shared" si="48"/>
        <v>13400</v>
      </c>
      <c r="BE18" s="622">
        <f t="shared" si="48"/>
        <v>13400</v>
      </c>
      <c r="BF18" s="622">
        <f t="shared" si="48"/>
        <v>13400</v>
      </c>
      <c r="BG18" s="622">
        <f t="shared" si="48"/>
        <v>13400</v>
      </c>
      <c r="BH18" s="622">
        <f t="shared" si="48"/>
        <v>13400</v>
      </c>
      <c r="BI18" s="15">
        <f t="shared" si="48"/>
        <v>13400</v>
      </c>
      <c r="BJ18" s="622">
        <f t="shared" ref="BJ18:BK18" si="49">BJ15+BJ16+BJ17</f>
        <v>13400</v>
      </c>
      <c r="BK18" s="622">
        <f t="shared" si="49"/>
        <v>13400</v>
      </c>
      <c r="BL18" s="622">
        <f t="shared" ref="BL18:BM18" si="50">BL15+BL16+BL17</f>
        <v>13400</v>
      </c>
      <c r="BM18" s="622">
        <f t="shared" si="50"/>
        <v>13400</v>
      </c>
      <c r="BN18" s="15">
        <f t="shared" si="48"/>
        <v>13400</v>
      </c>
      <c r="BO18" s="15">
        <f t="shared" si="42"/>
        <v>13400</v>
      </c>
      <c r="BP18" s="668"/>
      <c r="BQ18" s="668">
        <f>BO18</f>
        <v>13400</v>
      </c>
      <c r="BR18" s="668">
        <f t="shared" ref="BR18:CB18" si="51">BR15+BR16+BR17</f>
        <v>13400</v>
      </c>
      <c r="BS18" s="15">
        <f t="shared" si="51"/>
        <v>13400</v>
      </c>
      <c r="BT18" s="15">
        <f t="shared" si="51"/>
        <v>13400</v>
      </c>
      <c r="BU18" s="15">
        <f t="shared" si="51"/>
        <v>13400</v>
      </c>
      <c r="BV18" s="15">
        <f t="shared" si="51"/>
        <v>13400</v>
      </c>
      <c r="BW18" s="15">
        <f t="shared" si="51"/>
        <v>13400</v>
      </c>
      <c r="BX18" s="15">
        <f t="shared" si="51"/>
        <v>13400</v>
      </c>
      <c r="BY18" s="15">
        <f t="shared" si="51"/>
        <v>13400</v>
      </c>
      <c r="BZ18" s="15">
        <f t="shared" si="51"/>
        <v>13400</v>
      </c>
      <c r="CA18" s="15">
        <f t="shared" si="51"/>
        <v>13400</v>
      </c>
      <c r="CB18" s="15">
        <f t="shared" si="51"/>
        <v>13400</v>
      </c>
      <c r="CC18" s="269"/>
      <c r="CD18" s="269"/>
      <c r="CE18" s="269"/>
      <c r="CF18" s="269"/>
      <c r="CG18" s="269"/>
      <c r="CH18" s="269"/>
      <c r="CI18" s="269"/>
      <c r="CJ18" s="269"/>
      <c r="CK18" s="269"/>
      <c r="CL18" s="269"/>
    </row>
    <row r="19" spans="1:90">
      <c r="A19" s="10"/>
      <c r="B19" s="73"/>
      <c r="C19" s="11"/>
      <c r="D19" s="11"/>
      <c r="E19" s="11"/>
      <c r="F19" s="11"/>
      <c r="G19" s="26"/>
      <c r="H19" s="26"/>
      <c r="I19" s="74"/>
      <c r="J19" s="74"/>
      <c r="K19" s="74"/>
      <c r="L19" s="74"/>
      <c r="M19" s="26"/>
      <c r="N19" s="74"/>
      <c r="O19" s="74"/>
      <c r="P19" s="74"/>
      <c r="Q19" s="74"/>
      <c r="R19" s="26"/>
      <c r="S19" s="74"/>
      <c r="T19" s="74"/>
      <c r="U19" s="74"/>
      <c r="V19" s="74"/>
      <c r="W19" s="26"/>
      <c r="X19" s="74"/>
      <c r="Y19" s="74"/>
      <c r="Z19" s="74"/>
      <c r="AA19" s="74"/>
      <c r="AB19" s="26"/>
      <c r="AC19" s="74"/>
      <c r="AD19" s="74"/>
      <c r="AE19" s="74"/>
      <c r="AF19" s="74"/>
      <c r="AG19" s="26"/>
      <c r="AH19" s="74"/>
      <c r="AI19" s="74"/>
      <c r="AJ19" s="74"/>
      <c r="AK19" s="74"/>
      <c r="AL19" s="26">
        <f>+AL18*1.05</f>
        <v>14070</v>
      </c>
      <c r="AM19" s="74"/>
      <c r="AN19" s="74"/>
      <c r="AO19" s="74"/>
      <c r="AP19" s="74"/>
      <c r="AQ19" s="26">
        <f>+AQ18*1.05</f>
        <v>14070</v>
      </c>
      <c r="AR19" s="15">
        <f>+AR18*1.05</f>
        <v>14070</v>
      </c>
      <c r="AS19" s="15">
        <f>+AS18*1.05</f>
        <v>14070</v>
      </c>
      <c r="AT19" s="26">
        <f>+AT18*1.05</f>
        <v>14070</v>
      </c>
      <c r="AU19" s="26"/>
      <c r="AV19" s="26"/>
      <c r="AW19" s="26"/>
      <c r="AX19" s="26"/>
      <c r="AY19" s="15">
        <f>+AY18*1.05</f>
        <v>14070</v>
      </c>
      <c r="AZ19" s="622"/>
      <c r="BA19" s="622"/>
      <c r="BB19" s="622"/>
      <c r="BC19" s="622"/>
      <c r="BD19" s="15">
        <f>+BD18*1.05</f>
        <v>14070</v>
      </c>
      <c r="BE19" s="622"/>
      <c r="BF19" s="622"/>
      <c r="BG19" s="622"/>
      <c r="BH19" s="622"/>
      <c r="BI19" s="15">
        <f>+BI18*1.05</f>
        <v>14070</v>
      </c>
      <c r="BJ19" s="622"/>
      <c r="BK19" s="622"/>
      <c r="BL19" s="622"/>
      <c r="BM19" s="622"/>
      <c r="BN19" s="15">
        <f>+BN18*1.05</f>
        <v>14070</v>
      </c>
      <c r="BO19" s="15"/>
      <c r="BP19" s="668"/>
      <c r="BQ19" s="668"/>
      <c r="BR19" s="668">
        <f t="shared" ref="BR19:CB19" si="52">+BR18*1.05</f>
        <v>14070</v>
      </c>
      <c r="BS19" s="15">
        <f t="shared" si="52"/>
        <v>14070</v>
      </c>
      <c r="BT19" s="15">
        <f t="shared" si="52"/>
        <v>14070</v>
      </c>
      <c r="BU19" s="15">
        <f t="shared" si="52"/>
        <v>14070</v>
      </c>
      <c r="BV19" s="15">
        <f t="shared" si="52"/>
        <v>14070</v>
      </c>
      <c r="BW19" s="15">
        <f t="shared" si="52"/>
        <v>14070</v>
      </c>
      <c r="BX19" s="15">
        <f t="shared" si="52"/>
        <v>14070</v>
      </c>
      <c r="BY19" s="15">
        <f t="shared" si="52"/>
        <v>14070</v>
      </c>
      <c r="BZ19" s="15">
        <f t="shared" si="52"/>
        <v>14070</v>
      </c>
      <c r="CA19" s="15">
        <f t="shared" si="52"/>
        <v>14070</v>
      </c>
      <c r="CB19" s="15">
        <f t="shared" si="52"/>
        <v>14070</v>
      </c>
      <c r="CC19" s="269"/>
      <c r="CD19" s="269"/>
      <c r="CE19" s="269"/>
      <c r="CF19" s="269"/>
      <c r="CG19" s="269"/>
      <c r="CH19" s="269"/>
      <c r="CI19" s="269"/>
      <c r="CJ19" s="269"/>
      <c r="CK19" s="269"/>
      <c r="CL19" s="269"/>
    </row>
    <row r="20" spans="1:90">
      <c r="A20" s="47" t="s">
        <v>48</v>
      </c>
      <c r="C20" s="73"/>
      <c r="D20" s="11"/>
      <c r="E20" s="11"/>
      <c r="F20" s="24"/>
      <c r="G20" s="26"/>
      <c r="H20" s="26"/>
      <c r="I20" s="74"/>
      <c r="J20" s="74"/>
      <c r="K20" s="74"/>
      <c r="L20" s="74"/>
      <c r="M20" s="26"/>
      <c r="N20" s="74"/>
      <c r="O20" s="74"/>
      <c r="P20" s="74"/>
      <c r="Q20" s="74"/>
      <c r="R20" s="26"/>
      <c r="S20" s="74"/>
      <c r="T20" s="74"/>
      <c r="U20" s="74"/>
      <c r="V20" s="74"/>
      <c r="W20" s="26"/>
      <c r="X20" s="74"/>
      <c r="Y20" s="74"/>
      <c r="Z20" s="74"/>
      <c r="AA20" s="74"/>
      <c r="AB20" s="26"/>
      <c r="AC20" s="74"/>
      <c r="AD20" s="74"/>
      <c r="AE20" s="74"/>
      <c r="AF20" s="74"/>
      <c r="AG20" s="26"/>
      <c r="AH20" s="74"/>
      <c r="AI20" s="74"/>
      <c r="AJ20" s="74"/>
      <c r="AK20" s="74"/>
      <c r="AL20" s="45"/>
      <c r="AM20" s="74"/>
      <c r="AN20" s="74"/>
      <c r="AO20" s="74"/>
      <c r="AP20" s="74"/>
      <c r="AQ20" s="45"/>
      <c r="AR20" s="20"/>
      <c r="AS20" s="20"/>
      <c r="AT20" s="45"/>
      <c r="AU20" s="45"/>
      <c r="AV20" s="45"/>
      <c r="AW20" s="45"/>
      <c r="AX20" s="45"/>
      <c r="AY20" s="20"/>
      <c r="AZ20" s="629"/>
      <c r="BA20" s="629"/>
      <c r="BB20" s="629"/>
      <c r="BC20" s="629"/>
      <c r="BD20" s="20"/>
      <c r="BE20" s="629"/>
      <c r="BF20" s="629"/>
      <c r="BG20" s="629"/>
      <c r="BH20" s="629"/>
      <c r="BI20" s="20"/>
      <c r="BJ20" s="629"/>
      <c r="BK20" s="629"/>
      <c r="BL20" s="629"/>
      <c r="BM20" s="629"/>
      <c r="BN20" s="20"/>
      <c r="BO20" s="20"/>
      <c r="BP20" s="668"/>
      <c r="BQ20" s="668"/>
      <c r="BR20" s="668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69"/>
      <c r="CD20" s="269"/>
      <c r="CE20" s="269"/>
      <c r="CF20" s="269"/>
      <c r="CG20" s="269"/>
      <c r="CH20" s="269"/>
      <c r="CI20" s="269"/>
      <c r="CJ20" s="269"/>
      <c r="CK20" s="269"/>
      <c r="CL20" s="269"/>
    </row>
    <row r="21" spans="1:90" s="297" customFormat="1">
      <c r="A21" s="288" t="s">
        <v>49</v>
      </c>
      <c r="B21" s="289" t="s">
        <v>50</v>
      </c>
      <c r="C21" s="290">
        <f t="shared" ref="C21:J21" si="53">C25/C12</f>
        <v>0.96184999999999998</v>
      </c>
      <c r="D21" s="290">
        <f t="shared" si="53"/>
        <v>0.56970121212121216</v>
      </c>
      <c r="E21" s="290">
        <f t="shared" si="53"/>
        <v>0.6185484848484849</v>
      </c>
      <c r="F21" s="290">
        <f t="shared" si="53"/>
        <v>0.68139515151515151</v>
      </c>
      <c r="G21" s="291">
        <f t="shared" si="53"/>
        <v>0.63334727272727276</v>
      </c>
      <c r="H21" s="291">
        <f t="shared" si="53"/>
        <v>0.67893696969696971</v>
      </c>
      <c r="I21" s="292">
        <f t="shared" si="53"/>
        <v>0.76341333333333339</v>
      </c>
      <c r="J21" s="292">
        <f t="shared" si="53"/>
        <v>0.91335030303030307</v>
      </c>
      <c r="K21" s="292">
        <v>0.7</v>
      </c>
      <c r="L21" s="292"/>
      <c r="M21" s="291">
        <f>M25/M12</f>
        <v>0.84620969696969695</v>
      </c>
      <c r="N21" s="293">
        <f>N25/N12</f>
        <v>0.90017866666666668</v>
      </c>
      <c r="O21" s="293">
        <f>O25/O12</f>
        <v>0.87130933333333338</v>
      </c>
      <c r="P21" s="293">
        <f>P25/P12</f>
        <v>0.90613333333333335</v>
      </c>
      <c r="Q21" s="293">
        <v>0.93</v>
      </c>
      <c r="R21" s="294">
        <f>R25/R12</f>
        <v>0.94748141025641031</v>
      </c>
      <c r="S21" s="293"/>
      <c r="T21" s="293"/>
      <c r="U21" s="293"/>
      <c r="V21" s="293"/>
      <c r="W21" s="294">
        <f>W25/W12</f>
        <v>0.94945270068636223</v>
      </c>
      <c r="X21" s="293">
        <f t="shared" ref="X21:AC21" si="54">X25/X12</f>
        <v>1.0627784232365145</v>
      </c>
      <c r="Y21" s="293">
        <f t="shared" si="54"/>
        <v>1.2177982120051085</v>
      </c>
      <c r="Z21" s="293">
        <f t="shared" si="54"/>
        <v>1.076797956577267</v>
      </c>
      <c r="AA21" s="293">
        <f t="shared" si="54"/>
        <v>1.2066942528735631</v>
      </c>
      <c r="AB21" s="294">
        <f>AB25/AB12</f>
        <v>1.1206574712643678</v>
      </c>
      <c r="AC21" s="293">
        <f t="shared" si="54"/>
        <v>1.086923116219668</v>
      </c>
      <c r="AD21" s="293">
        <f>AD25/AD12</f>
        <v>1.2090467661691542</v>
      </c>
      <c r="AE21" s="293">
        <f>AE25/AE12</f>
        <v>1.1037532338308458</v>
      </c>
      <c r="AF21" s="293">
        <f>AF25/AF12</f>
        <v>1.3555670221881653</v>
      </c>
      <c r="AG21" s="294">
        <f>+AG22/AG18</f>
        <v>1.2047396351575457</v>
      </c>
      <c r="AH21" s="293">
        <f>AH25/AH12</f>
        <v>1.0355422885572139</v>
      </c>
      <c r="AI21" s="293">
        <f>AI25/AI12</f>
        <v>0.9218892458343203</v>
      </c>
      <c r="AJ21" s="293">
        <f>AJ25/AJ12</f>
        <v>1.1140671246939904</v>
      </c>
      <c r="AK21" s="293">
        <f>AK25/AK12</f>
        <v>1.1029593619205558</v>
      </c>
      <c r="AL21" s="295">
        <f>+AL22/AL18</f>
        <v>1.0016031746031744</v>
      </c>
      <c r="AM21" s="292">
        <f>AM25/AM12</f>
        <v>0.88675858801231933</v>
      </c>
      <c r="AN21" s="292">
        <f>AN25/AN12</f>
        <v>0.69671772388849396</v>
      </c>
      <c r="AO21" s="292">
        <f>AO25/AO12</f>
        <v>0.97307462686567159</v>
      </c>
      <c r="AP21" s="292">
        <f>AP25/AP12</f>
        <v>1.110802832188265</v>
      </c>
      <c r="AQ21" s="295">
        <f>+AQ22/AQ18</f>
        <v>0.91857285003553646</v>
      </c>
      <c r="AR21" s="296">
        <f>+AR22/AR18</f>
        <v>0.24314020570986336</v>
      </c>
      <c r="AS21" s="296">
        <f>+AS22/AS18</f>
        <v>0.2686861827977256</v>
      </c>
      <c r="AT21" s="295">
        <f>+AT22/AT18</f>
        <v>1.162898128405591</v>
      </c>
      <c r="AU21" s="295"/>
      <c r="AV21" s="295"/>
      <c r="AW21" s="295"/>
      <c r="AX21" s="295"/>
      <c r="AY21" s="296">
        <f>+AY22/AY18</f>
        <v>1.2215224877201296</v>
      </c>
      <c r="AZ21" s="690"/>
      <c r="BA21" s="690"/>
      <c r="BB21" s="690"/>
      <c r="BC21" s="690"/>
      <c r="BD21" s="296">
        <f>+BD22/BD18</f>
        <v>0.93879303482587062</v>
      </c>
      <c r="BE21" s="690"/>
      <c r="BF21" s="690"/>
      <c r="BG21" s="690"/>
      <c r="BH21" s="690"/>
      <c r="BI21" s="296">
        <f>+BI22/BI18</f>
        <v>0.94596375266524513</v>
      </c>
      <c r="BJ21" s="690"/>
      <c r="BK21" s="690"/>
      <c r="BL21" s="690"/>
      <c r="BM21" s="690"/>
      <c r="BN21" s="296">
        <f t="shared" ref="BN21:CB21" si="55">+BN22/BN18</f>
        <v>0.93733219616204699</v>
      </c>
      <c r="BO21" s="296"/>
      <c r="BP21" s="668"/>
      <c r="BQ21" s="668"/>
      <c r="BR21" s="668">
        <f t="shared" si="55"/>
        <v>0.95824892110874205</v>
      </c>
      <c r="BS21" s="296">
        <f t="shared" si="55"/>
        <v>0.97979314780383808</v>
      </c>
      <c r="BT21" s="296">
        <f t="shared" si="55"/>
        <v>0.97979314780383808</v>
      </c>
      <c r="BU21" s="296">
        <f t="shared" si="55"/>
        <v>0.97979314780383808</v>
      </c>
      <c r="BV21" s="296">
        <f t="shared" si="55"/>
        <v>0.97979314780383808</v>
      </c>
      <c r="BW21" s="296">
        <f t="shared" si="55"/>
        <v>0.97979314780383808</v>
      </c>
      <c r="BX21" s="296">
        <f t="shared" si="55"/>
        <v>0.97979314780383808</v>
      </c>
      <c r="BY21" s="296">
        <f t="shared" si="55"/>
        <v>0.97979314780383808</v>
      </c>
      <c r="BZ21" s="296">
        <f t="shared" si="55"/>
        <v>0.97979314780383808</v>
      </c>
      <c r="CA21" s="296">
        <f t="shared" si="55"/>
        <v>0.97979314780383808</v>
      </c>
      <c r="CB21" s="296">
        <f t="shared" si="55"/>
        <v>0.97979314780383808</v>
      </c>
      <c r="CC21" s="778"/>
      <c r="CD21" s="778"/>
      <c r="CE21" s="778"/>
      <c r="CF21" s="778"/>
      <c r="CG21" s="778"/>
      <c r="CH21" s="588"/>
      <c r="CI21" s="588"/>
      <c r="CJ21" s="778"/>
      <c r="CK21" s="778"/>
      <c r="CL21" s="778"/>
    </row>
    <row r="22" spans="1:90">
      <c r="A22" s="10" t="s">
        <v>51</v>
      </c>
      <c r="B22" s="73" t="s">
        <v>46</v>
      </c>
      <c r="C22" s="11">
        <f t="shared" ref="C22:K22" si="56">C25/C24</f>
        <v>1923.7</v>
      </c>
      <c r="D22" s="11">
        <f t="shared" si="56"/>
        <v>2848.5060606060606</v>
      </c>
      <c r="E22" s="11">
        <f t="shared" si="56"/>
        <v>3092.742424242424</v>
      </c>
      <c r="F22" s="11">
        <f t="shared" si="56"/>
        <v>3406.9757575757576</v>
      </c>
      <c r="G22" s="26">
        <f t="shared" si="56"/>
        <v>3166.7363636363634</v>
      </c>
      <c r="H22" s="26">
        <f t="shared" si="56"/>
        <v>3394.6848484848483</v>
      </c>
      <c r="I22" s="74">
        <f>I25/I24</f>
        <v>3817.0666666666666</v>
      </c>
      <c r="J22" s="74">
        <f>J25/J24</f>
        <v>4566.7515151515154</v>
      </c>
      <c r="K22" s="74">
        <f t="shared" si="56"/>
        <v>3500</v>
      </c>
      <c r="L22" s="74"/>
      <c r="M22" s="26">
        <f t="shared" ref="M22:R22" si="57">M25/M24</f>
        <v>4231.0484848484848</v>
      </c>
      <c r="N22" s="74">
        <f t="shared" si="57"/>
        <v>4500.8933333333334</v>
      </c>
      <c r="O22" s="74">
        <f t="shared" si="57"/>
        <v>4356.5466666666671</v>
      </c>
      <c r="P22" s="74">
        <f t="shared" si="57"/>
        <v>4893.12</v>
      </c>
      <c r="Q22" s="74">
        <f t="shared" si="57"/>
        <v>5957.0533333333333</v>
      </c>
      <c r="R22" s="26">
        <f t="shared" si="57"/>
        <v>4926.9033333333336</v>
      </c>
      <c r="S22" s="74"/>
      <c r="T22" s="74"/>
      <c r="U22" s="74"/>
      <c r="V22" s="74"/>
      <c r="W22" s="26">
        <f>W25/W24</f>
        <v>5302.6933333333336</v>
      </c>
      <c r="X22" s="74"/>
      <c r="Y22" s="74"/>
      <c r="Z22" s="74"/>
      <c r="AA22" s="74"/>
      <c r="AB22" s="26">
        <f>AB25/AB24</f>
        <v>7312.29</v>
      </c>
      <c r="AC22" s="74"/>
      <c r="AD22" s="74"/>
      <c r="AE22" s="74"/>
      <c r="AF22" s="74"/>
      <c r="AG22" s="26">
        <f t="shared" ref="AG22:AT22" si="58">AG25/AG24</f>
        <v>8071.7555555555555</v>
      </c>
      <c r="AH22" s="74">
        <f t="shared" si="58"/>
        <v>13876.266666666666</v>
      </c>
      <c r="AI22" s="74">
        <f t="shared" si="58"/>
        <v>12353.315894179892</v>
      </c>
      <c r="AJ22" s="74">
        <f t="shared" si="58"/>
        <v>14928.499470899471</v>
      </c>
      <c r="AK22" s="74">
        <f t="shared" si="58"/>
        <v>14779.655449735448</v>
      </c>
      <c r="AL22" s="26">
        <f t="shared" si="58"/>
        <v>13421.482539682538</v>
      </c>
      <c r="AM22" s="74">
        <f>AM25/AM24</f>
        <v>11882.565079365078</v>
      </c>
      <c r="AN22" s="74">
        <f>AN25/AN24</f>
        <v>9336.0175001058178</v>
      </c>
      <c r="AO22" s="74">
        <f>AO25/AO24</f>
        <v>13039.2</v>
      </c>
      <c r="AP22" s="74">
        <f>AP25/AP24</f>
        <v>14884.75795132275</v>
      </c>
      <c r="AQ22" s="26">
        <f t="shared" si="58"/>
        <v>12308.876190476189</v>
      </c>
      <c r="AR22" s="15">
        <f>AR25/AR24</f>
        <v>3258.0787565121691</v>
      </c>
      <c r="AS22" s="15">
        <f>AS25/AS24</f>
        <v>3600.394849489523</v>
      </c>
      <c r="AT22" s="26">
        <f t="shared" si="58"/>
        <v>15582.834920634919</v>
      </c>
      <c r="AU22" s="92">
        <f t="shared" ref="AU22:BR22" si="59">AU25/AU24</f>
        <v>7702.1444444444442</v>
      </c>
      <c r="AV22" s="92">
        <f t="shared" si="59"/>
        <v>11559.8</v>
      </c>
      <c r="AW22" s="92">
        <f>AW25/AW24</f>
        <v>10674.211111111112</v>
      </c>
      <c r="AX22" s="92">
        <f>AX25/AX24</f>
        <v>12489.111111111111</v>
      </c>
      <c r="AY22" s="15">
        <f t="shared" si="59"/>
        <v>16368.401335449737</v>
      </c>
      <c r="AZ22" s="636">
        <f t="shared" si="59"/>
        <v>10841.5</v>
      </c>
      <c r="BA22" s="636">
        <f>BA25/BA24</f>
        <v>11875.066666666668</v>
      </c>
      <c r="BB22" s="636">
        <f>BB25/BB24</f>
        <v>8891.7444444444445</v>
      </c>
      <c r="BC22" s="636">
        <f>BC25/BC24</f>
        <v>11024.931216931216</v>
      </c>
      <c r="BD22" s="15">
        <f t="shared" si="59"/>
        <v>12579.826666666666</v>
      </c>
      <c r="BE22" s="636">
        <f t="shared" si="59"/>
        <v>11345.133333333333</v>
      </c>
      <c r="BF22" s="636">
        <f t="shared" si="59"/>
        <v>11549.211111111112</v>
      </c>
      <c r="BG22" s="636">
        <f t="shared" si="59"/>
        <v>10529.587301587302</v>
      </c>
      <c r="BH22" s="636">
        <f t="shared" si="59"/>
        <v>11325.5873015873</v>
      </c>
      <c r="BI22" s="15">
        <f t="shared" si="59"/>
        <v>12675.914285714285</v>
      </c>
      <c r="BJ22" s="636">
        <f t="shared" ref="BJ22:BK22" si="60">BJ25/BJ24</f>
        <v>8591.0666666666675</v>
      </c>
      <c r="BK22" s="636">
        <f t="shared" si="60"/>
        <v>10059.841269841269</v>
      </c>
      <c r="BL22" s="636">
        <f t="shared" ref="BL22:BQ22" si="61">BL25/BL24</f>
        <v>11521.970370370369</v>
      </c>
      <c r="BM22" s="636">
        <f t="shared" si="61"/>
        <v>10725.153439153439</v>
      </c>
      <c r="BN22" s="15">
        <f t="shared" si="59"/>
        <v>12560.25142857143</v>
      </c>
      <c r="BO22" s="15">
        <f t="shared" si="61"/>
        <v>9489.058201058202</v>
      </c>
      <c r="BP22" s="668"/>
      <c r="BQ22" s="668">
        <f t="shared" si="61"/>
        <v>10657.037037037036</v>
      </c>
      <c r="BR22" s="668">
        <f t="shared" si="59"/>
        <v>12840.535542857144</v>
      </c>
      <c r="BS22" s="15">
        <f t="shared" ref="BS22:CB22" si="62">BS25/BS24</f>
        <v>13129.22818057143</v>
      </c>
      <c r="BT22" s="15">
        <f t="shared" si="62"/>
        <v>13129.22818057143</v>
      </c>
      <c r="BU22" s="15">
        <f t="shared" si="62"/>
        <v>13129.22818057143</v>
      </c>
      <c r="BV22" s="15">
        <f t="shared" si="62"/>
        <v>13129.22818057143</v>
      </c>
      <c r="BW22" s="15">
        <f t="shared" si="62"/>
        <v>13129.22818057143</v>
      </c>
      <c r="BX22" s="15">
        <f t="shared" si="62"/>
        <v>13129.22818057143</v>
      </c>
      <c r="BY22" s="15">
        <f t="shared" si="62"/>
        <v>13129.22818057143</v>
      </c>
      <c r="BZ22" s="15">
        <f t="shared" si="62"/>
        <v>13129.22818057143</v>
      </c>
      <c r="CA22" s="15">
        <f t="shared" si="62"/>
        <v>13129.22818057143</v>
      </c>
      <c r="CB22" s="15">
        <f t="shared" si="62"/>
        <v>13129.22818057143</v>
      </c>
      <c r="CC22" s="269"/>
      <c r="CD22" s="269"/>
      <c r="CE22" s="269"/>
      <c r="CF22" s="269"/>
      <c r="CG22" s="269"/>
      <c r="CH22" s="269"/>
      <c r="CI22" s="269"/>
      <c r="CJ22" s="269"/>
      <c r="CK22" s="269"/>
      <c r="CL22" s="269"/>
    </row>
    <row r="23" spans="1:90">
      <c r="A23" s="10" t="s">
        <v>52</v>
      </c>
      <c r="B23" s="73" t="str">
        <f>B22</f>
        <v>tpd</v>
      </c>
      <c r="C23" s="11">
        <f t="shared" ref="C23:K23" si="63">C26/C24</f>
        <v>2024.0515151515151</v>
      </c>
      <c r="D23" s="11">
        <f t="shared" si="63"/>
        <v>2766.6030303030302</v>
      </c>
      <c r="E23" s="11">
        <f t="shared" si="63"/>
        <v>3368.1939393939392</v>
      </c>
      <c r="F23" s="11">
        <f t="shared" si="63"/>
        <v>3482.7636363636366</v>
      </c>
      <c r="G23" s="26">
        <f t="shared" si="63"/>
        <v>3296.3272727272729</v>
      </c>
      <c r="H23" s="26">
        <f t="shared" si="63"/>
        <v>3393.0424242424242</v>
      </c>
      <c r="I23" s="74">
        <f>I26/I24</f>
        <v>4205.9030303030304</v>
      </c>
      <c r="J23" s="74">
        <f>J26/J24</f>
        <v>4883.757575757576</v>
      </c>
      <c r="K23" s="74">
        <f t="shared" si="63"/>
        <v>3745</v>
      </c>
      <c r="L23" s="74"/>
      <c r="M23" s="26">
        <f t="shared" ref="M23:R23" si="64">M26/M24</f>
        <v>4352.3121212121214</v>
      </c>
      <c r="N23" s="74">
        <f t="shared" si="64"/>
        <v>4735.08</v>
      </c>
      <c r="O23" s="74">
        <f t="shared" si="64"/>
        <v>4431.4533333333329</v>
      </c>
      <c r="P23" s="74">
        <f t="shared" si="64"/>
        <v>4959.413333333333</v>
      </c>
      <c r="Q23" s="74">
        <f t="shared" si="64"/>
        <v>5638.88</v>
      </c>
      <c r="R23" s="26">
        <f t="shared" si="64"/>
        <v>4941.2066666666669</v>
      </c>
      <c r="S23" s="74"/>
      <c r="T23" s="74"/>
      <c r="U23" s="74"/>
      <c r="V23" s="74"/>
      <c r="W23" s="26">
        <f>W26/W24</f>
        <v>6041.11</v>
      </c>
      <c r="X23" s="74"/>
      <c r="Y23" s="74"/>
      <c r="Z23" s="74"/>
      <c r="AA23" s="74"/>
      <c r="AB23" s="26">
        <f>AB26/AB24</f>
        <v>7085.2833333333338</v>
      </c>
      <c r="AC23" s="74"/>
      <c r="AD23" s="74"/>
      <c r="AE23" s="74"/>
      <c r="AF23" s="74"/>
      <c r="AG23" s="26">
        <f t="shared" ref="AG23:BD23" si="65">AG26/AG24</f>
        <v>8475.3433333333342</v>
      </c>
      <c r="AH23" s="74">
        <f t="shared" si="65"/>
        <v>12696.893333333333</v>
      </c>
      <c r="AI23" s="74">
        <f t="shared" si="65"/>
        <v>12970.981688888887</v>
      </c>
      <c r="AJ23" s="74">
        <f t="shared" si="65"/>
        <v>15674.924444444447</v>
      </c>
      <c r="AK23" s="74">
        <f t="shared" si="65"/>
        <v>15518.63822222222</v>
      </c>
      <c r="AL23" s="26">
        <f t="shared" si="65"/>
        <v>14092.556666666667</v>
      </c>
      <c r="AM23" s="74">
        <f t="shared" si="65"/>
        <v>12476.693333333333</v>
      </c>
      <c r="AN23" s="74">
        <f t="shared" si="65"/>
        <v>9802.8183751111101</v>
      </c>
      <c r="AO23" s="74">
        <f t="shared" si="65"/>
        <v>13691.16</v>
      </c>
      <c r="AP23" s="74">
        <f t="shared" si="65"/>
        <v>15628.995848888888</v>
      </c>
      <c r="AQ23" s="26">
        <f t="shared" si="65"/>
        <v>12924.32</v>
      </c>
      <c r="AR23" s="15">
        <f t="shared" si="65"/>
        <v>3420.982694337778</v>
      </c>
      <c r="AS23" s="15">
        <f t="shared" si="65"/>
        <v>3780.4145919639991</v>
      </c>
      <c r="AT23" s="26">
        <f t="shared" si="65"/>
        <v>16361.976666666667</v>
      </c>
      <c r="AU23" s="92">
        <f t="shared" si="65"/>
        <v>10811.966666666667</v>
      </c>
      <c r="AV23" s="92">
        <f t="shared" si="65"/>
        <v>11795.611111111111</v>
      </c>
      <c r="AW23" s="92">
        <f t="shared" si="65"/>
        <v>11137.611111111111</v>
      </c>
      <c r="AX23" s="92">
        <f t="shared" si="65"/>
        <v>13113.566666666668</v>
      </c>
      <c r="AY23" s="15">
        <f t="shared" si="65"/>
        <v>17186.821402222224</v>
      </c>
      <c r="AZ23" s="636">
        <f t="shared" si="65"/>
        <v>10609.555555555555</v>
      </c>
      <c r="BA23" s="636">
        <f t="shared" si="65"/>
        <v>10802.988888888889</v>
      </c>
      <c r="BB23" s="636">
        <f t="shared" si="65"/>
        <v>11243.977777777778</v>
      </c>
      <c r="BC23" s="636">
        <f t="shared" si="65"/>
        <v>11576.177777777777</v>
      </c>
      <c r="BD23" s="15">
        <f t="shared" si="65"/>
        <v>13348.193333333333</v>
      </c>
      <c r="BE23" s="636">
        <f t="shared" ref="BE23:CB23" si="66">BE26/BE24</f>
        <v>10803.677777777777</v>
      </c>
      <c r="BF23" s="636">
        <f t="shared" si="66"/>
        <v>10365.133333333333</v>
      </c>
      <c r="BG23" s="636">
        <f t="shared" si="66"/>
        <v>11056.066666666668</v>
      </c>
      <c r="BH23" s="636">
        <f t="shared" si="66"/>
        <v>11891.866666666667</v>
      </c>
      <c r="BI23" s="15">
        <f t="shared" si="66"/>
        <v>13309.71</v>
      </c>
      <c r="BJ23" s="636">
        <f t="shared" ref="BJ23:BK23" si="67">BJ26/BJ24</f>
        <v>9968.5666666666675</v>
      </c>
      <c r="BK23" s="636">
        <f t="shared" si="67"/>
        <v>10562.833333333334</v>
      </c>
      <c r="BL23" s="636">
        <f t="shared" ref="BL23:BQ23" si="68">BL26/BL24</f>
        <v>12098.068888888889</v>
      </c>
      <c r="BM23" s="636">
        <f t="shared" si="68"/>
        <v>11261.411111111111</v>
      </c>
      <c r="BN23" s="15">
        <f t="shared" si="66"/>
        <v>13188.264000000001</v>
      </c>
      <c r="BO23" s="15">
        <f t="shared" si="68"/>
        <v>9963.5111111111109</v>
      </c>
      <c r="BP23" s="668"/>
      <c r="BQ23" s="668">
        <f t="shared" si="68"/>
        <v>11189.888888888889</v>
      </c>
      <c r="BR23" s="668">
        <f t="shared" si="66"/>
        <v>13482.562320000001</v>
      </c>
      <c r="BS23" s="15">
        <f t="shared" si="66"/>
        <v>13785.689589600001</v>
      </c>
      <c r="BT23" s="15">
        <f t="shared" si="66"/>
        <v>13785.689589600001</v>
      </c>
      <c r="BU23" s="15">
        <f t="shared" si="66"/>
        <v>13785.689589600001</v>
      </c>
      <c r="BV23" s="15">
        <f t="shared" si="66"/>
        <v>13785.689589600001</v>
      </c>
      <c r="BW23" s="15">
        <f t="shared" si="66"/>
        <v>13785.689589600001</v>
      </c>
      <c r="BX23" s="15">
        <f t="shared" si="66"/>
        <v>13785.689589600001</v>
      </c>
      <c r="BY23" s="15">
        <f t="shared" si="66"/>
        <v>13785.689589600001</v>
      </c>
      <c r="BZ23" s="15">
        <f t="shared" si="66"/>
        <v>13785.689589600001</v>
      </c>
      <c r="CA23" s="15">
        <f t="shared" si="66"/>
        <v>13785.689589600001</v>
      </c>
      <c r="CB23" s="15">
        <f t="shared" si="66"/>
        <v>13785.689589600001</v>
      </c>
      <c r="CC23" s="269"/>
      <c r="CD23" s="269"/>
      <c r="CE23" s="269"/>
      <c r="CF23" s="269"/>
      <c r="CG23" s="269"/>
      <c r="CH23" s="778"/>
      <c r="CI23" s="778"/>
      <c r="CJ23" s="269"/>
      <c r="CK23" s="269"/>
      <c r="CL23" s="269"/>
    </row>
    <row r="24" spans="1:90">
      <c r="A24" s="10" t="s">
        <v>53</v>
      </c>
      <c r="B24" s="73" t="s">
        <v>54</v>
      </c>
      <c r="C24" s="11">
        <v>330</v>
      </c>
      <c r="D24" s="11">
        <v>330</v>
      </c>
      <c r="E24" s="11">
        <v>330</v>
      </c>
      <c r="F24" s="11">
        <v>330</v>
      </c>
      <c r="G24" s="26">
        <v>330</v>
      </c>
      <c r="H24" s="26">
        <v>330</v>
      </c>
      <c r="I24" s="74">
        <v>165</v>
      </c>
      <c r="J24" s="74">
        <f>+I24/2</f>
        <v>82.5</v>
      </c>
      <c r="K24" s="74">
        <f>+J24</f>
        <v>82.5</v>
      </c>
      <c r="L24" s="74"/>
      <c r="M24" s="26">
        <v>330</v>
      </c>
      <c r="N24" s="74">
        <v>75</v>
      </c>
      <c r="O24" s="74">
        <f>+N24</f>
        <v>75</v>
      </c>
      <c r="P24" s="74">
        <f>+O24</f>
        <v>75</v>
      </c>
      <c r="Q24" s="74">
        <f>+P24</f>
        <v>75</v>
      </c>
      <c r="R24" s="26">
        <v>300</v>
      </c>
      <c r="S24" s="74">
        <v>75</v>
      </c>
      <c r="T24" s="74">
        <f>+S24</f>
        <v>75</v>
      </c>
      <c r="U24" s="74">
        <f>+T24</f>
        <v>75</v>
      </c>
      <c r="V24" s="74">
        <f>+U24</f>
        <v>75</v>
      </c>
      <c r="W24" s="26">
        <v>300</v>
      </c>
      <c r="X24" s="74">
        <v>75</v>
      </c>
      <c r="Y24" s="74">
        <f>+X24</f>
        <v>75</v>
      </c>
      <c r="Z24" s="74">
        <f>+Y24</f>
        <v>75</v>
      </c>
      <c r="AA24" s="74">
        <f>+Z24</f>
        <v>75</v>
      </c>
      <c r="AB24" s="26">
        <v>300</v>
      </c>
      <c r="AC24" s="74">
        <v>75</v>
      </c>
      <c r="AD24" s="74">
        <v>75</v>
      </c>
      <c r="AE24" s="74">
        <v>75</v>
      </c>
      <c r="AF24" s="74">
        <v>75</v>
      </c>
      <c r="AG24" s="26">
        <v>300</v>
      </c>
      <c r="AH24" s="74">
        <v>75</v>
      </c>
      <c r="AI24" s="74">
        <v>75</v>
      </c>
      <c r="AJ24" s="74">
        <v>75</v>
      </c>
      <c r="AK24" s="74">
        <v>75</v>
      </c>
      <c r="AL24" s="26">
        <v>300</v>
      </c>
      <c r="AM24" s="74">
        <v>75</v>
      </c>
      <c r="AN24" s="74">
        <v>75</v>
      </c>
      <c r="AO24" s="74">
        <v>75</v>
      </c>
      <c r="AP24" s="74">
        <v>75</v>
      </c>
      <c r="AQ24" s="26">
        <v>300</v>
      </c>
      <c r="AR24" s="15">
        <v>300</v>
      </c>
      <c r="AS24" s="15">
        <v>300</v>
      </c>
      <c r="AT24" s="26">
        <v>300</v>
      </c>
      <c r="AU24" s="26">
        <v>90</v>
      </c>
      <c r="AV24" s="26">
        <v>90</v>
      </c>
      <c r="AW24" s="26">
        <v>90</v>
      </c>
      <c r="AX24" s="26">
        <v>90</v>
      </c>
      <c r="AY24" s="15">
        <v>300</v>
      </c>
      <c r="AZ24" s="622">
        <v>90</v>
      </c>
      <c r="BA24" s="622">
        <v>90</v>
      </c>
      <c r="BB24" s="622">
        <v>90</v>
      </c>
      <c r="BC24" s="622">
        <v>90</v>
      </c>
      <c r="BD24" s="15">
        <v>300</v>
      </c>
      <c r="BE24" s="622">
        <v>90</v>
      </c>
      <c r="BF24" s="622">
        <v>90</v>
      </c>
      <c r="BG24" s="622">
        <v>90</v>
      </c>
      <c r="BH24" s="622">
        <v>90</v>
      </c>
      <c r="BI24" s="15">
        <v>300</v>
      </c>
      <c r="BJ24" s="622">
        <v>90</v>
      </c>
      <c r="BK24" s="622">
        <v>90</v>
      </c>
      <c r="BL24" s="622">
        <v>90</v>
      </c>
      <c r="BM24" s="622">
        <v>90</v>
      </c>
      <c r="BN24" s="15">
        <v>300</v>
      </c>
      <c r="BO24" s="15">
        <f>BM24</f>
        <v>90</v>
      </c>
      <c r="BP24" s="668"/>
      <c r="BQ24" s="668">
        <f>BO24</f>
        <v>90</v>
      </c>
      <c r="BR24" s="668">
        <v>300</v>
      </c>
      <c r="BS24" s="15">
        <v>300</v>
      </c>
      <c r="BT24" s="15">
        <v>300</v>
      </c>
      <c r="BU24" s="15">
        <v>300</v>
      </c>
      <c r="BV24" s="15">
        <v>300</v>
      </c>
      <c r="BW24" s="15">
        <v>300</v>
      </c>
      <c r="BX24" s="15">
        <v>300</v>
      </c>
      <c r="BY24" s="15">
        <v>300</v>
      </c>
      <c r="BZ24" s="15">
        <v>300</v>
      </c>
      <c r="CA24" s="15">
        <v>300</v>
      </c>
      <c r="CB24" s="15">
        <v>300</v>
      </c>
      <c r="CC24" s="269"/>
      <c r="CD24" s="269"/>
      <c r="CE24" s="269"/>
      <c r="CF24" s="269"/>
      <c r="CG24" s="269"/>
      <c r="CH24" s="269"/>
      <c r="CI24" s="269"/>
      <c r="CJ24" s="269"/>
      <c r="CK24" s="269"/>
      <c r="CL24" s="269"/>
    </row>
    <row r="25" spans="1:90">
      <c r="A25" s="1" t="s">
        <v>55</v>
      </c>
      <c r="B25" s="73" t="s">
        <v>42</v>
      </c>
      <c r="C25" s="11">
        <v>634821</v>
      </c>
      <c r="D25" s="11">
        <v>940007</v>
      </c>
      <c r="E25" s="11">
        <v>1020605</v>
      </c>
      <c r="F25" s="11">
        <v>1124302</v>
      </c>
      <c r="G25" s="26">
        <v>1045023</v>
      </c>
      <c r="H25" s="26">
        <v>1120246</v>
      </c>
      <c r="I25" s="74">
        <v>629816</v>
      </c>
      <c r="J25" s="74">
        <v>376757</v>
      </c>
      <c r="K25" s="74">
        <f>K21*K12</f>
        <v>288750</v>
      </c>
      <c r="L25" s="74"/>
      <c r="M25" s="26">
        <v>1396246</v>
      </c>
      <c r="N25" s="74">
        <v>337567</v>
      </c>
      <c r="O25" s="74">
        <v>326741</v>
      </c>
      <c r="P25" s="74">
        <v>366984</v>
      </c>
      <c r="Q25" s="74">
        <f>+R25-P25-O25-N25</f>
        <v>446779</v>
      </c>
      <c r="R25" s="26">
        <v>1478071</v>
      </c>
      <c r="S25" s="74">
        <v>428384</v>
      </c>
      <c r="T25" s="74"/>
      <c r="U25" s="74"/>
      <c r="V25" s="74"/>
      <c r="W25" s="26">
        <v>1590808</v>
      </c>
      <c r="X25" s="74">
        <v>480243</v>
      </c>
      <c r="Y25" s="74">
        <v>595960</v>
      </c>
      <c r="Z25" s="74">
        <v>526958</v>
      </c>
      <c r="AA25" s="74">
        <f>+AB25-Z25-Y25-X25</f>
        <v>590526</v>
      </c>
      <c r="AB25" s="26">
        <v>2193687</v>
      </c>
      <c r="AC25" s="74">
        <v>531913</v>
      </c>
      <c r="AD25" s="74">
        <v>607546</v>
      </c>
      <c r="AE25" s="74">
        <v>554636</v>
      </c>
      <c r="AF25" s="74">
        <f>+AF26/1.05</f>
        <v>681172.4286495531</v>
      </c>
      <c r="AG25" s="26">
        <f>AG26/1.05</f>
        <v>2421526.6666666665</v>
      </c>
      <c r="AH25" s="74">
        <v>1040720</v>
      </c>
      <c r="AI25" s="74">
        <f>+AI26/1.05</f>
        <v>926498.69206349191</v>
      </c>
      <c r="AJ25" s="74">
        <f>+AJ26/1.05</f>
        <v>1119637.4603174604</v>
      </c>
      <c r="AK25" s="74">
        <f>+AK26/1.05</f>
        <v>1108474.1587301586</v>
      </c>
      <c r="AL25" s="26">
        <f t="shared" ref="AL25:AT25" si="69">AL26/1.05</f>
        <v>4026444.7619047617</v>
      </c>
      <c r="AM25" s="26">
        <f t="shared" si="69"/>
        <v>891192.38095238095</v>
      </c>
      <c r="AN25" s="26">
        <f t="shared" si="69"/>
        <v>700201.31250793638</v>
      </c>
      <c r="AO25" s="26">
        <f t="shared" si="69"/>
        <v>977940</v>
      </c>
      <c r="AP25" s="26">
        <f t="shared" si="69"/>
        <v>1116356.8463492063</v>
      </c>
      <c r="AQ25" s="26">
        <f t="shared" si="69"/>
        <v>3692662.8571428568</v>
      </c>
      <c r="AR25" s="26">
        <f t="shared" si="69"/>
        <v>977423.62695365073</v>
      </c>
      <c r="AS25" s="26">
        <f t="shared" si="69"/>
        <v>1080118.4548468569</v>
      </c>
      <c r="AT25" s="26">
        <f t="shared" si="69"/>
        <v>4674850.4761904757</v>
      </c>
      <c r="AU25" s="26">
        <v>693193</v>
      </c>
      <c r="AV25" s="26">
        <v>1040382</v>
      </c>
      <c r="AW25" s="26">
        <v>960679</v>
      </c>
      <c r="AX25" s="26">
        <f>AX26/1.05</f>
        <v>1124020</v>
      </c>
      <c r="AY25" s="15">
        <f>+AY26/1.05</f>
        <v>4910520.4006349212</v>
      </c>
      <c r="AZ25" s="622">
        <v>975735</v>
      </c>
      <c r="BA25" s="622">
        <f>2044491-AZ25</f>
        <v>1068756</v>
      </c>
      <c r="BB25" s="622">
        <f>2844748-AZ25-BA25</f>
        <v>800257</v>
      </c>
      <c r="BC25" s="622">
        <f>BC26/1.05</f>
        <v>992243.80952380947</v>
      </c>
      <c r="BD25" s="15">
        <v>3773948</v>
      </c>
      <c r="BE25" s="622">
        <v>1021062</v>
      </c>
      <c r="BF25" s="622">
        <f>2060491-BE25</f>
        <v>1039429</v>
      </c>
      <c r="BG25" s="622">
        <f>BG26/1.05</f>
        <v>947662.85714285716</v>
      </c>
      <c r="BH25" s="622">
        <f>BH26/1.05</f>
        <v>1019302.857142857</v>
      </c>
      <c r="BI25" s="15">
        <f t="shared" ref="BI25:CB25" si="70">+BI26/1.05</f>
        <v>3802774.2857142854</v>
      </c>
      <c r="BJ25" s="622">
        <v>773196</v>
      </c>
      <c r="BK25" s="622">
        <f>BK26/1.05</f>
        <v>905385.7142857142</v>
      </c>
      <c r="BL25" s="622">
        <f>BL26/1.05</f>
        <v>1036977.3333333333</v>
      </c>
      <c r="BM25" s="622">
        <f>BM26/1.05</f>
        <v>965263.80952380947</v>
      </c>
      <c r="BN25" s="15">
        <f t="shared" si="70"/>
        <v>3768075.4285714286</v>
      </c>
      <c r="BO25" s="15">
        <f>BO26/1.05</f>
        <v>854015.23809523811</v>
      </c>
      <c r="BP25" s="668">
        <f>BP26/1.05</f>
        <v>828092.38095238095</v>
      </c>
      <c r="BQ25" s="668">
        <f>BQ26/1.05</f>
        <v>959133.33333333326</v>
      </c>
      <c r="BR25" s="668">
        <f t="shared" si="70"/>
        <v>3852160.6628571432</v>
      </c>
      <c r="BS25" s="15">
        <f t="shared" si="70"/>
        <v>3938768.4541714289</v>
      </c>
      <c r="BT25" s="15">
        <f t="shared" si="70"/>
        <v>3938768.4541714289</v>
      </c>
      <c r="BU25" s="15">
        <f t="shared" si="70"/>
        <v>3938768.4541714289</v>
      </c>
      <c r="BV25" s="15">
        <f t="shared" si="70"/>
        <v>3938768.4541714289</v>
      </c>
      <c r="BW25" s="15">
        <f t="shared" si="70"/>
        <v>3938768.4541714289</v>
      </c>
      <c r="BX25" s="15">
        <f t="shared" si="70"/>
        <v>3938768.4541714289</v>
      </c>
      <c r="BY25" s="15">
        <f t="shared" si="70"/>
        <v>3938768.4541714289</v>
      </c>
      <c r="BZ25" s="15">
        <f t="shared" si="70"/>
        <v>3938768.4541714289</v>
      </c>
      <c r="CA25" s="15">
        <f t="shared" si="70"/>
        <v>3938768.4541714289</v>
      </c>
      <c r="CB25" s="15">
        <f t="shared" si="70"/>
        <v>3938768.4541714289</v>
      </c>
      <c r="CC25" s="269"/>
      <c r="CD25" s="269"/>
      <c r="CE25" s="269"/>
      <c r="CF25" s="269"/>
      <c r="CG25" s="269"/>
      <c r="CH25" s="269"/>
      <c r="CI25" s="269"/>
      <c r="CJ25" s="269"/>
      <c r="CK25" s="269"/>
      <c r="CL25" s="269"/>
    </row>
    <row r="26" spans="1:90">
      <c r="A26" s="1" t="s">
        <v>56</v>
      </c>
      <c r="B26" s="73" t="s">
        <v>42</v>
      </c>
      <c r="C26" s="11">
        <v>667937</v>
      </c>
      <c r="D26" s="11">
        <v>912979</v>
      </c>
      <c r="E26" s="11">
        <v>1111504</v>
      </c>
      <c r="F26" s="11">
        <v>1149312</v>
      </c>
      <c r="G26" s="26">
        <v>1087788</v>
      </c>
      <c r="H26" s="26">
        <v>1119704</v>
      </c>
      <c r="I26" s="74">
        <v>693974</v>
      </c>
      <c r="J26" s="74">
        <v>402910</v>
      </c>
      <c r="K26" s="74">
        <f>K25*1.07</f>
        <v>308962.5</v>
      </c>
      <c r="L26" s="74"/>
      <c r="M26" s="26">
        <v>1436263</v>
      </c>
      <c r="N26" s="74">
        <v>355131</v>
      </c>
      <c r="O26" s="74">
        <v>332359</v>
      </c>
      <c r="P26" s="74">
        <v>371956</v>
      </c>
      <c r="Q26" s="74">
        <f>+R26-P26-O26-N26</f>
        <v>422916</v>
      </c>
      <c r="R26" s="26">
        <v>1482362</v>
      </c>
      <c r="S26" s="74">
        <v>474273</v>
      </c>
      <c r="T26" s="74"/>
      <c r="U26" s="74"/>
      <c r="V26" s="74"/>
      <c r="W26" s="26">
        <v>1812333</v>
      </c>
      <c r="X26" s="74">
        <v>520514</v>
      </c>
      <c r="Y26" s="74">
        <v>526018</v>
      </c>
      <c r="Z26" s="74">
        <v>510460</v>
      </c>
      <c r="AA26" s="74">
        <f>+AB26-Z26-Y26-X26</f>
        <v>568593</v>
      </c>
      <c r="AB26" s="26">
        <v>2125585</v>
      </c>
      <c r="AC26" s="74">
        <v>563651</v>
      </c>
      <c r="AD26" s="74">
        <v>607563</v>
      </c>
      <c r="AE26" s="74">
        <v>609019</v>
      </c>
      <c r="AF26" s="74">
        <f>+AF152</f>
        <v>715231.05008203082</v>
      </c>
      <c r="AG26" s="26">
        <f>+AG152</f>
        <v>2542603</v>
      </c>
      <c r="AH26" s="74">
        <v>952267</v>
      </c>
      <c r="AI26" s="74">
        <f t="shared" ref="AI26:AT26" si="71">+AI152</f>
        <v>972823.62666666659</v>
      </c>
      <c r="AJ26" s="74">
        <f t="shared" si="71"/>
        <v>1175619.3333333335</v>
      </c>
      <c r="AK26" s="74">
        <f t="shared" si="71"/>
        <v>1163897.8666666665</v>
      </c>
      <c r="AL26" s="26">
        <f>+AL152</f>
        <v>4227767</v>
      </c>
      <c r="AM26" s="74">
        <f t="shared" si="71"/>
        <v>935752</v>
      </c>
      <c r="AN26" s="74">
        <f>+AN152</f>
        <v>735211.37813333329</v>
      </c>
      <c r="AO26" s="74">
        <f>+AO152</f>
        <v>1026837</v>
      </c>
      <c r="AP26" s="74">
        <f>+AP152</f>
        <v>1172174.6886666666</v>
      </c>
      <c r="AQ26" s="26">
        <f t="shared" si="71"/>
        <v>3877296</v>
      </c>
      <c r="AR26" s="15">
        <f>+AR152</f>
        <v>1026294.8083013333</v>
      </c>
      <c r="AS26" s="15">
        <f>+AS152</f>
        <v>1134124.3775891997</v>
      </c>
      <c r="AT26" s="26">
        <f t="shared" si="71"/>
        <v>4908593</v>
      </c>
      <c r="AU26" s="26">
        <v>973077</v>
      </c>
      <c r="AV26" s="26">
        <v>1061605</v>
      </c>
      <c r="AW26" s="26">
        <v>1002385</v>
      </c>
      <c r="AX26" s="26">
        <v>1180221</v>
      </c>
      <c r="AY26" s="15">
        <f>AY152</f>
        <v>5156046.4206666676</v>
      </c>
      <c r="AZ26" s="622">
        <v>954860</v>
      </c>
      <c r="BA26" s="622">
        <f>1927129-AZ26</f>
        <v>972269</v>
      </c>
      <c r="BB26" s="622">
        <f>2939087-AZ26-BA26</f>
        <v>1011958</v>
      </c>
      <c r="BC26" s="622">
        <f>BC32</f>
        <v>1041856</v>
      </c>
      <c r="BD26" s="15">
        <v>4004458</v>
      </c>
      <c r="BE26" s="622">
        <v>972331</v>
      </c>
      <c r="BF26" s="622">
        <f>1905193-BE26</f>
        <v>932862</v>
      </c>
      <c r="BG26" s="622">
        <f t="shared" ref="BG26:BM26" si="72">BG32</f>
        <v>995046</v>
      </c>
      <c r="BH26" s="622">
        <f t="shared" si="72"/>
        <v>1070268</v>
      </c>
      <c r="BI26" s="15">
        <f t="shared" si="72"/>
        <v>3992913</v>
      </c>
      <c r="BJ26" s="622">
        <v>897171</v>
      </c>
      <c r="BK26" s="622">
        <f t="shared" si="72"/>
        <v>950655</v>
      </c>
      <c r="BL26" s="622">
        <f t="shared" si="72"/>
        <v>1088826.2</v>
      </c>
      <c r="BM26" s="622">
        <f t="shared" si="72"/>
        <v>1013527</v>
      </c>
      <c r="BN26" s="15">
        <f t="shared" ref="BN26:CB26" si="73">BN32</f>
        <v>3956479.2</v>
      </c>
      <c r="BO26" s="15">
        <f>BO32</f>
        <v>896716</v>
      </c>
      <c r="BP26" s="668">
        <f>BP32</f>
        <v>869497</v>
      </c>
      <c r="BQ26" s="668">
        <f>BQ32</f>
        <v>1007090</v>
      </c>
      <c r="BR26" s="668">
        <f t="shared" si="73"/>
        <v>4044768.6960000005</v>
      </c>
      <c r="BS26" s="15">
        <f t="shared" si="73"/>
        <v>4135706.8768800003</v>
      </c>
      <c r="BT26" s="15">
        <f t="shared" si="73"/>
        <v>4135706.8768800003</v>
      </c>
      <c r="BU26" s="15">
        <f t="shared" si="73"/>
        <v>4135706.8768800003</v>
      </c>
      <c r="BV26" s="15">
        <f t="shared" si="73"/>
        <v>4135706.8768800003</v>
      </c>
      <c r="BW26" s="15">
        <f t="shared" si="73"/>
        <v>4135706.8768800003</v>
      </c>
      <c r="BX26" s="15">
        <f t="shared" si="73"/>
        <v>4135706.8768800003</v>
      </c>
      <c r="BY26" s="15">
        <f t="shared" si="73"/>
        <v>4135706.8768800003</v>
      </c>
      <c r="BZ26" s="15">
        <f t="shared" si="73"/>
        <v>4135706.8768800003</v>
      </c>
      <c r="CA26" s="15">
        <f t="shared" si="73"/>
        <v>4135706.8768800003</v>
      </c>
      <c r="CB26" s="15">
        <f t="shared" si="73"/>
        <v>4135706.8768800003</v>
      </c>
      <c r="CC26" s="269"/>
      <c r="CD26" s="269"/>
      <c r="CE26" s="269"/>
      <c r="CF26" s="269"/>
      <c r="CG26" s="269"/>
      <c r="CH26" s="269"/>
      <c r="CI26" s="269"/>
      <c r="CJ26" s="269"/>
      <c r="CK26" s="269"/>
      <c r="CL26" s="269"/>
    </row>
    <row r="27" spans="1:90">
      <c r="B27" s="73"/>
      <c r="C27" s="11"/>
      <c r="D27" s="11"/>
      <c r="E27" s="11"/>
      <c r="F27" s="11"/>
      <c r="G27" s="26"/>
      <c r="H27" s="26"/>
      <c r="I27" s="74"/>
      <c r="J27" s="74"/>
      <c r="K27" s="74"/>
      <c r="L27" s="74"/>
      <c r="M27" s="26"/>
      <c r="N27" s="74"/>
      <c r="O27" s="74"/>
      <c r="P27" s="74"/>
      <c r="Q27" s="74"/>
      <c r="R27" s="26"/>
      <c r="S27" s="74"/>
      <c r="T27" s="74"/>
      <c r="U27" s="74"/>
      <c r="V27" s="74"/>
      <c r="W27" s="26"/>
      <c r="X27" s="74"/>
      <c r="Y27" s="74"/>
      <c r="Z27" s="74"/>
      <c r="AA27" s="74"/>
      <c r="AB27" s="26"/>
      <c r="AC27" s="74"/>
      <c r="AD27" s="74"/>
      <c r="AE27" s="74"/>
      <c r="AF27" s="74"/>
      <c r="AG27" s="26"/>
      <c r="AH27" s="74"/>
      <c r="AI27" s="74"/>
      <c r="AJ27" s="74"/>
      <c r="AK27" s="74"/>
      <c r="AL27" s="26"/>
      <c r="AM27" s="74"/>
      <c r="AN27" s="74"/>
      <c r="AO27" s="74"/>
      <c r="AP27" s="74"/>
      <c r="AQ27" s="26"/>
      <c r="AR27" s="15"/>
      <c r="AS27" s="15"/>
      <c r="AT27" s="26"/>
      <c r="AU27" s="26"/>
      <c r="AV27" s="26"/>
      <c r="AW27" s="26">
        <f>AV26*1.01</f>
        <v>1072221.05</v>
      </c>
      <c r="AX27" s="26"/>
      <c r="AY27" s="15"/>
      <c r="AZ27" s="622"/>
      <c r="BA27" s="622"/>
      <c r="BB27" s="622"/>
      <c r="BC27" s="622"/>
      <c r="BD27" s="15"/>
      <c r="BE27" s="622"/>
      <c r="BF27" s="622">
        <v>733577</v>
      </c>
      <c r="BG27" s="622"/>
      <c r="BH27" s="622"/>
      <c r="BI27" s="15"/>
      <c r="BJ27" s="622"/>
      <c r="BK27" s="622"/>
      <c r="BL27" s="622"/>
      <c r="BM27" s="622"/>
      <c r="BN27" s="15"/>
      <c r="BO27" s="15"/>
      <c r="BP27" s="668"/>
      <c r="BQ27" s="668"/>
      <c r="BR27" s="668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269"/>
      <c r="CD27" s="269"/>
      <c r="CE27" s="269"/>
      <c r="CF27" s="269"/>
      <c r="CG27" s="269"/>
      <c r="CH27" s="269"/>
      <c r="CI27" s="269"/>
      <c r="CJ27" s="269"/>
      <c r="CK27" s="269"/>
      <c r="CL27" s="269"/>
    </row>
    <row r="28" spans="1:90" s="34" customFormat="1">
      <c r="A28" s="34" t="s">
        <v>382</v>
      </c>
      <c r="B28" s="298" t="s">
        <v>50</v>
      </c>
      <c r="G28" s="260"/>
      <c r="H28" s="260">
        <f>+H33/H13</f>
        <v>0.63005079365079364</v>
      </c>
      <c r="I28" s="188"/>
      <c r="J28" s="188"/>
      <c r="K28" s="188"/>
      <c r="L28" s="188"/>
      <c r="M28" s="260">
        <f>+M33/M13</f>
        <v>0.80350072150072149</v>
      </c>
      <c r="N28" s="188">
        <f t="shared" ref="N28:AB28" si="74">+N33/N13</f>
        <v>0.80047492063492065</v>
      </c>
      <c r="O28" s="188">
        <f t="shared" si="74"/>
        <v>0.75234793650793652</v>
      </c>
      <c r="P28" s="188">
        <f t="shared" si="74"/>
        <v>0</v>
      </c>
      <c r="Q28" s="188">
        <f t="shared" si="74"/>
        <v>0</v>
      </c>
      <c r="R28" s="260">
        <f t="shared" si="74"/>
        <v>0.37327472527472527</v>
      </c>
      <c r="S28" s="188">
        <f t="shared" si="74"/>
        <v>0</v>
      </c>
      <c r="T28" s="188">
        <f t="shared" si="74"/>
        <v>0</v>
      </c>
      <c r="U28" s="188">
        <f t="shared" si="74"/>
        <v>0</v>
      </c>
      <c r="V28" s="188">
        <f t="shared" si="74"/>
        <v>0</v>
      </c>
      <c r="W28" s="260">
        <f t="shared" si="74"/>
        <v>0.8653229313211408</v>
      </c>
      <c r="X28" s="188">
        <f t="shared" si="74"/>
        <v>0.97523387999736544</v>
      </c>
      <c r="Y28" s="188">
        <f t="shared" si="74"/>
        <v>0.90846682478866392</v>
      </c>
      <c r="Z28" s="188">
        <f t="shared" si="74"/>
        <v>0.93696576050599034</v>
      </c>
      <c r="AA28" s="188">
        <f>+AA33/AA13</f>
        <v>1.0151276531046647</v>
      </c>
      <c r="AB28" s="260">
        <f t="shared" si="74"/>
        <v>0.94026588821991119</v>
      </c>
      <c r="AC28" s="188">
        <f t="shared" ref="AC28:AI28" si="75">+AC33/AC13</f>
        <v>1.0049222161406068</v>
      </c>
      <c r="AD28" s="188">
        <f t="shared" si="75"/>
        <v>1.0739464581852642</v>
      </c>
      <c r="AE28" s="188">
        <f t="shared" si="75"/>
        <v>1.1118047855958304</v>
      </c>
      <c r="AF28" s="188">
        <f t="shared" si="75"/>
        <v>1.2611684434968018</v>
      </c>
      <c r="AG28" s="260">
        <f t="shared" si="75"/>
        <v>1.1129253731343283</v>
      </c>
      <c r="AH28" s="188">
        <f t="shared" si="75"/>
        <v>0.78635110163468369</v>
      </c>
      <c r="AI28" s="188">
        <f t="shared" si="75"/>
        <v>0.81939635157545609</v>
      </c>
      <c r="AJ28" s="188">
        <f>+AJ33/AJ13</f>
        <v>0.95315422885572143</v>
      </c>
      <c r="AK28" s="188">
        <f>+AK33/AK13</f>
        <v>0.8164709784411277</v>
      </c>
      <c r="AL28" s="299">
        <f>AL33/AL13</f>
        <v>0.84626344468135517</v>
      </c>
      <c r="AM28" s="188">
        <f>+AM33/AM13</f>
        <v>0.62055342335939356</v>
      </c>
      <c r="AN28" s="188">
        <f>+AN33/AN13</f>
        <v>0.52446972755271259</v>
      </c>
      <c r="AO28" s="188">
        <f>+AO33/AO13</f>
        <v>0.50799098791755504</v>
      </c>
      <c r="AP28" s="188">
        <f>+AP33/AP13</f>
        <v>0.56321131485429987</v>
      </c>
      <c r="AQ28" s="299">
        <f>AQ33/AQ13</f>
        <v>0.67072139303482592</v>
      </c>
      <c r="AR28" s="300">
        <f>AR33/AR13</f>
        <v>0.12390648926794598</v>
      </c>
      <c r="AS28" s="300">
        <f>AS33/AS13</f>
        <v>0.14249246265813786</v>
      </c>
      <c r="AT28" s="299">
        <f>AT33/AT13</f>
        <v>0.97224851930822076</v>
      </c>
      <c r="AU28" s="299"/>
      <c r="AV28" s="299"/>
      <c r="AW28" s="299"/>
      <c r="AX28" s="299"/>
      <c r="AY28" s="300">
        <f>AY33/AY13</f>
        <v>0.67775290215588724</v>
      </c>
      <c r="AZ28" s="669"/>
      <c r="BA28" s="669"/>
      <c r="BB28" s="669"/>
      <c r="BC28" s="669"/>
      <c r="BD28" s="300">
        <f>BD33/BD13</f>
        <v>0.65518455342335935</v>
      </c>
      <c r="BE28" s="669"/>
      <c r="BF28" s="671">
        <v>221156</v>
      </c>
      <c r="BG28" s="669"/>
      <c r="BH28" s="669"/>
      <c r="BI28" s="300">
        <f>BI33/BI13</f>
        <v>0.68684150675195454</v>
      </c>
      <c r="BJ28" s="669"/>
      <c r="BK28" s="669"/>
      <c r="BL28" s="669"/>
      <c r="BM28" s="669"/>
      <c r="BN28" s="300">
        <f t="shared" ref="BN28:CB28" si="76">BN33/BN13</f>
        <v>0.69722416488983663</v>
      </c>
      <c r="BO28" s="1335"/>
      <c r="BP28" s="668"/>
      <c r="BQ28" s="668"/>
      <c r="BR28" s="668">
        <f t="shared" si="76"/>
        <v>0.71814088983653168</v>
      </c>
      <c r="BS28" s="300">
        <f t="shared" si="76"/>
        <v>0.73968511653162761</v>
      </c>
      <c r="BT28" s="300">
        <f t="shared" si="76"/>
        <v>0.73968511653162761</v>
      </c>
      <c r="BU28" s="300">
        <f t="shared" si="76"/>
        <v>0.73968511653162761</v>
      </c>
      <c r="BV28" s="300">
        <f t="shared" si="76"/>
        <v>0.73968511653162761</v>
      </c>
      <c r="BW28" s="300">
        <f t="shared" si="76"/>
        <v>0.73968511653162761</v>
      </c>
      <c r="BX28" s="300">
        <f t="shared" si="76"/>
        <v>0.73968511653162761</v>
      </c>
      <c r="BY28" s="300">
        <f t="shared" si="76"/>
        <v>0.73968511653162761</v>
      </c>
      <c r="BZ28" s="300">
        <f t="shared" si="76"/>
        <v>0.73968511653162761</v>
      </c>
      <c r="CA28" s="300">
        <f t="shared" si="76"/>
        <v>0.73968511653162761</v>
      </c>
      <c r="CB28" s="300">
        <f t="shared" si="76"/>
        <v>0.73968511653162761</v>
      </c>
      <c r="CC28" s="753"/>
      <c r="CD28" s="753"/>
      <c r="CE28" s="753"/>
      <c r="CF28" s="753"/>
      <c r="CG28" s="753"/>
      <c r="CH28" s="753"/>
      <c r="CI28" s="753"/>
      <c r="CJ28" s="753"/>
      <c r="CK28" s="753"/>
      <c r="CL28" s="753"/>
    </row>
    <row r="29" spans="1:90" s="32" customFormat="1">
      <c r="B29" s="227"/>
      <c r="C29" s="301"/>
      <c r="D29" s="301"/>
      <c r="E29" s="301"/>
      <c r="F29" s="301"/>
      <c r="G29" s="302"/>
      <c r="H29" s="302"/>
      <c r="I29" s="303"/>
      <c r="J29" s="303"/>
      <c r="K29" s="303"/>
      <c r="L29" s="75"/>
      <c r="M29" s="302"/>
      <c r="N29" s="75"/>
      <c r="O29" s="75"/>
      <c r="P29" s="75"/>
      <c r="Q29" s="75"/>
      <c r="R29" s="45"/>
      <c r="S29" s="75"/>
      <c r="T29" s="75"/>
      <c r="U29" s="75"/>
      <c r="V29" s="75"/>
      <c r="W29" s="45"/>
      <c r="X29" s="75"/>
      <c r="Y29" s="75"/>
      <c r="Z29" s="75"/>
      <c r="AA29" s="75"/>
      <c r="AB29" s="45"/>
      <c r="AC29" s="75"/>
      <c r="AD29" s="75">
        <f>+AD35/Y35-1</f>
        <v>0.14879893715044901</v>
      </c>
      <c r="AE29" s="304"/>
      <c r="AF29" s="304" t="e">
        <f>+AF30/AA30-1</f>
        <v>#DIV/0!</v>
      </c>
      <c r="AG29" s="45"/>
      <c r="AH29" s="304" t="e">
        <f>+AH30/AC30-1</f>
        <v>#DIV/0!</v>
      </c>
      <c r="AI29" s="304"/>
      <c r="AJ29" s="304"/>
      <c r="AK29" s="304">
        <f>+AK30/AF30-1</f>
        <v>0.7661397884512442</v>
      </c>
      <c r="AL29" s="305"/>
      <c r="AM29" s="304"/>
      <c r="AN29" s="304"/>
      <c r="AO29" s="75"/>
      <c r="AP29" s="75">
        <f>AP32/AO32-1</f>
        <v>0.17177998077940337</v>
      </c>
      <c r="AQ29" s="305">
        <f>AQ32/AQ13</f>
        <v>0.91327860696517416</v>
      </c>
      <c r="AR29" s="306">
        <f>AR32/AR13</f>
        <v>0.24885767003079839</v>
      </c>
      <c r="AS29" s="306">
        <f>AS32/AS13</f>
        <v>0.27423446846244959</v>
      </c>
      <c r="AT29" s="305">
        <f>AT32/AT13</f>
        <v>1.162985548448235</v>
      </c>
      <c r="AU29" s="305"/>
      <c r="AV29" s="305"/>
      <c r="AW29" s="305"/>
      <c r="AX29" s="305"/>
      <c r="AY29" s="306">
        <f>AY32/AY13</f>
        <v>1.2211348258706469</v>
      </c>
      <c r="AZ29" s="670"/>
      <c r="BA29" s="670"/>
      <c r="BB29" s="670"/>
      <c r="BC29" s="670"/>
      <c r="BD29" s="306">
        <f>BD32/BD13</f>
        <v>0.95213361762615489</v>
      </c>
      <c r="BE29" s="670">
        <f>BE32/BC32-1</f>
        <v>-4.4335301615578304E-2</v>
      </c>
      <c r="BF29" s="670">
        <f>BF32/BE32-1</f>
        <v>-6.4008476746696963E-2</v>
      </c>
      <c r="BG29" s="670">
        <f>BG32/BF32-1</f>
        <v>6.7721533928368327E-2</v>
      </c>
      <c r="BH29" s="670">
        <f>BH32/BG32-1</f>
        <v>7.5596505086197086E-2</v>
      </c>
      <c r="BI29" s="306">
        <f>BI32/BI13</f>
        <v>0.94596375266524524</v>
      </c>
      <c r="BJ29" s="670">
        <f>BJ32/BI32-1</f>
        <v>-0.77373135853448349</v>
      </c>
      <c r="BK29" s="670">
        <f>BK32/BJ32-1</f>
        <v>5.2225251280893392E-2</v>
      </c>
      <c r="BL29" s="670">
        <f>BL32/BK32-1</f>
        <v>0.1453431581383362</v>
      </c>
      <c r="BM29" s="670">
        <f>BM32/BL32-1</f>
        <v>-6.9156307958056051E-2</v>
      </c>
      <c r="BN29" s="306">
        <f t="shared" ref="BN29:CB29" si="77">BN32/BN13</f>
        <v>0.93733219616204699</v>
      </c>
      <c r="BO29" s="1335">
        <f>BO32/BM32-1</f>
        <v>-0.11525198638023459</v>
      </c>
      <c r="BP29" s="668"/>
      <c r="BQ29" s="668"/>
      <c r="BR29" s="668">
        <f t="shared" si="77"/>
        <v>0.95824892110874216</v>
      </c>
      <c r="BS29" s="306">
        <f t="shared" si="77"/>
        <v>0.97979314780383808</v>
      </c>
      <c r="BT29" s="306">
        <f t="shared" si="77"/>
        <v>0.97979314780383808</v>
      </c>
      <c r="BU29" s="306">
        <f t="shared" si="77"/>
        <v>0.97979314780383808</v>
      </c>
      <c r="BV29" s="306">
        <f t="shared" si="77"/>
        <v>0.97979314780383808</v>
      </c>
      <c r="BW29" s="306">
        <f t="shared" si="77"/>
        <v>0.97979314780383808</v>
      </c>
      <c r="BX29" s="306">
        <f t="shared" si="77"/>
        <v>0.97979314780383808</v>
      </c>
      <c r="BY29" s="306">
        <f t="shared" si="77"/>
        <v>0.97979314780383808</v>
      </c>
      <c r="BZ29" s="306">
        <f t="shared" si="77"/>
        <v>0.97979314780383808</v>
      </c>
      <c r="CA29" s="306">
        <f t="shared" si="77"/>
        <v>0.97979314780383808</v>
      </c>
      <c r="CB29" s="306">
        <f t="shared" si="77"/>
        <v>0.97979314780383808</v>
      </c>
      <c r="CC29" s="725"/>
      <c r="CD29" s="725"/>
      <c r="CE29" s="725"/>
      <c r="CF29" s="725"/>
      <c r="CG29" s="725"/>
      <c r="CH29" s="725"/>
      <c r="CI29" s="725"/>
      <c r="CJ29" s="725"/>
      <c r="CK29" s="725"/>
      <c r="CL29" s="725"/>
    </row>
    <row r="30" spans="1:90" s="11" customFormat="1">
      <c r="B30" s="113"/>
      <c r="C30" s="307"/>
      <c r="D30" s="307"/>
      <c r="E30" s="307"/>
      <c r="F30" s="307"/>
      <c r="G30" s="308"/>
      <c r="H30" s="308"/>
      <c r="I30" s="309"/>
      <c r="J30" s="309"/>
      <c r="K30" s="309"/>
      <c r="L30" s="74"/>
      <c r="M30" s="308"/>
      <c r="N30" s="74"/>
      <c r="O30" s="74"/>
      <c r="P30" s="74"/>
      <c r="Q30" s="74"/>
      <c r="R30" s="26"/>
      <c r="S30" s="74"/>
      <c r="T30" s="74"/>
      <c r="U30" s="74"/>
      <c r="V30" s="74"/>
      <c r="W30" s="26"/>
      <c r="X30" s="74"/>
      <c r="Y30" s="74"/>
      <c r="Z30" s="74"/>
      <c r="AA30" s="74"/>
      <c r="AB30" s="26"/>
      <c r="AC30" s="74"/>
      <c r="AD30" s="74"/>
      <c r="AE30" s="74"/>
      <c r="AF30" s="74">
        <f>+AF32+AE32</f>
        <v>1337564</v>
      </c>
      <c r="AG30" s="26"/>
      <c r="AH30" s="74"/>
      <c r="AI30" s="74"/>
      <c r="AJ30" s="74"/>
      <c r="AK30" s="74">
        <f>+AK32+AJ32</f>
        <v>2362325</v>
      </c>
      <c r="AL30" s="310"/>
      <c r="AM30" s="74"/>
      <c r="AN30" s="75"/>
      <c r="AO30" s="75"/>
      <c r="AP30" s="75">
        <f>AP33/AO33-1</f>
        <v>0.10870335941020048</v>
      </c>
      <c r="AQ30" s="310"/>
      <c r="AR30" s="311"/>
      <c r="AS30" s="311"/>
      <c r="AT30" s="310"/>
      <c r="AU30" s="310"/>
      <c r="AV30" s="26"/>
      <c r="AW30" s="310"/>
      <c r="AX30" s="310"/>
      <c r="AY30" s="311"/>
      <c r="AZ30" s="671"/>
      <c r="BA30" s="697"/>
      <c r="BB30" s="670"/>
      <c r="BC30" s="670"/>
      <c r="BD30" s="311"/>
      <c r="BE30" s="670">
        <f>BE33/BC33-1</f>
        <v>-0.14869446140498555</v>
      </c>
      <c r="BF30" s="670">
        <f t="shared" ref="BF30:BM31" si="78">BF33/BE33-1</f>
        <v>0.17956237959688326</v>
      </c>
      <c r="BG30" s="670">
        <f t="shared" si="78"/>
        <v>2.6475017334026685E-2</v>
      </c>
      <c r="BH30" s="670">
        <f t="shared" si="78"/>
        <v>2.472354224770501E-2</v>
      </c>
      <c r="BI30" s="311"/>
      <c r="BJ30" s="670">
        <f t="shared" si="78"/>
        <v>-0.78581160461071797</v>
      </c>
      <c r="BK30" s="670">
        <f t="shared" si="78"/>
        <v>0.18073292257547102</v>
      </c>
      <c r="BL30" s="670">
        <f t="shared" si="78"/>
        <v>4.730010433786358E-2</v>
      </c>
      <c r="BM30" s="670">
        <f t="shared" si="78"/>
        <v>6.9115137459837328E-2</v>
      </c>
      <c r="BN30" s="311"/>
      <c r="BO30" s="1335">
        <f t="shared" ref="BO30:BO31" si="79">BO33/BM33-1</f>
        <v>-0.16593154003851651</v>
      </c>
      <c r="BP30" s="668"/>
      <c r="BQ30" s="668"/>
      <c r="BR30" s="668"/>
      <c r="BS30" s="311"/>
      <c r="BT30" s="311"/>
      <c r="BU30" s="311"/>
      <c r="BV30" s="311"/>
      <c r="BW30" s="311"/>
      <c r="BX30" s="311"/>
      <c r="BY30" s="311"/>
      <c r="BZ30" s="311"/>
      <c r="CA30" s="311"/>
      <c r="CB30" s="311"/>
      <c r="CC30" s="593"/>
      <c r="CD30" s="593"/>
      <c r="CE30" s="593"/>
      <c r="CF30" s="593"/>
      <c r="CG30" s="593"/>
      <c r="CH30" s="593"/>
      <c r="CI30" s="593"/>
      <c r="CJ30" s="593"/>
      <c r="CK30" s="593"/>
      <c r="CL30" s="593"/>
    </row>
    <row r="31" spans="1:90">
      <c r="A31" s="266" t="s">
        <v>359</v>
      </c>
      <c r="B31" s="73"/>
      <c r="C31" s="11"/>
      <c r="D31" s="11"/>
      <c r="E31" s="11"/>
      <c r="F31" s="286"/>
      <c r="G31" s="26"/>
      <c r="H31" s="26"/>
      <c r="I31" s="74"/>
      <c r="J31" s="74"/>
      <c r="K31" s="74"/>
      <c r="L31" s="74"/>
      <c r="M31" s="26"/>
      <c r="N31" s="74"/>
      <c r="O31" s="74"/>
      <c r="P31" s="74"/>
      <c r="Q31" s="74"/>
      <c r="R31" s="26"/>
      <c r="S31" s="74"/>
      <c r="T31" s="74"/>
      <c r="U31" s="74"/>
      <c r="V31" s="74"/>
      <c r="W31" s="26">
        <f>+IS!W12*$A$3/W32</f>
        <v>2912.7867651358915</v>
      </c>
      <c r="X31" s="134">
        <f>+IS!X12*$A$3/X32</f>
        <v>3563.1858715543035</v>
      </c>
      <c r="Y31" s="134">
        <f>+IS!Y12*$A$3/Y32</f>
        <v>3685.6246369782216</v>
      </c>
      <c r="Z31" s="134">
        <f>+IS!Z12*$A$3/Z32</f>
        <v>3624.2310128338336</v>
      </c>
      <c r="AA31" s="134">
        <f>+IS!AA12*$A$3/AA32</f>
        <v>4250.0926043566087</v>
      </c>
      <c r="AB31" s="26"/>
      <c r="AC31" s="134">
        <f>+IS!AC12*$A$3/AC32</f>
        <v>3299.1236705257975</v>
      </c>
      <c r="AD31" s="134">
        <f>+IS!AD12*$A$3/AD32</f>
        <v>2367.8160140557998</v>
      </c>
      <c r="AE31" s="134"/>
      <c r="AF31" s="134"/>
      <c r="AG31" s="26">
        <f>AG34/AG32</f>
        <v>6.1334225310573524E-2</v>
      </c>
      <c r="AH31" s="134">
        <f>IS!AH12/Assumptions!AH32*$A$3</f>
        <v>2394.2822834413514</v>
      </c>
      <c r="AI31" s="75">
        <f>+AI32/AH32-1</f>
        <v>3.2930745190117072E-2</v>
      </c>
      <c r="AJ31" s="134"/>
      <c r="AK31" s="312"/>
      <c r="AL31" s="260">
        <f>AL34/AL32</f>
        <v>0.1563255425839635</v>
      </c>
      <c r="AM31" s="75"/>
      <c r="AN31" s="313"/>
      <c r="AO31" s="75"/>
      <c r="AP31" s="75">
        <f>AP34/AO34-1</f>
        <v>0.24522452995760058</v>
      </c>
      <c r="AQ31" s="260">
        <f>AQ34/AQ32</f>
        <v>0.26558950585338481</v>
      </c>
      <c r="AR31" s="261">
        <f>AR34/AR32</f>
        <v>0.50209897387285096</v>
      </c>
      <c r="AS31" s="261">
        <f>AS34/AS32</f>
        <v>0.48039915092712326</v>
      </c>
      <c r="AT31" s="260">
        <f>AT34/AT32</f>
        <v>0.16400636224114182</v>
      </c>
      <c r="AU31" s="260"/>
      <c r="AV31" s="355"/>
      <c r="AW31" s="260"/>
      <c r="AX31" s="260"/>
      <c r="AY31" s="261">
        <f>AY34/AY32</f>
        <v>0.25462545170784912</v>
      </c>
      <c r="AZ31" s="672"/>
      <c r="BA31" s="697"/>
      <c r="BB31" s="670"/>
      <c r="BC31" s="670">
        <f>BC32/BB32-1</f>
        <v>3.5536123041080225E-2</v>
      </c>
      <c r="BD31" s="261">
        <f>BD34/BD32</f>
        <v>0.31187751246841222</v>
      </c>
      <c r="BE31" s="670">
        <f>BE34/BC34-1</f>
        <v>0.20605633481136354</v>
      </c>
      <c r="BF31" s="670">
        <f t="shared" si="78"/>
        <v>-0.47651653081486733</v>
      </c>
      <c r="BG31" s="670">
        <f t="shared" si="78"/>
        <v>0.22512428812105312</v>
      </c>
      <c r="BH31" s="670">
        <f t="shared" si="78"/>
        <v>0.23825633584179795</v>
      </c>
      <c r="BI31" s="261">
        <f>BI34/BI32</f>
        <v>0.27392407497984556</v>
      </c>
      <c r="BJ31" s="670">
        <f t="shared" si="78"/>
        <v>-0.74171089503590837</v>
      </c>
      <c r="BK31" s="670">
        <f t="shared" si="78"/>
        <v>-0.23024371250066367</v>
      </c>
      <c r="BL31" s="670">
        <f t="shared" si="78"/>
        <v>0.47590821300469055</v>
      </c>
      <c r="BM31" s="670">
        <f t="shared" si="78"/>
        <v>-0.39997071204015566</v>
      </c>
      <c r="BN31" s="261">
        <f t="shared" ref="BN31:CB31" si="80">BN34/BN32</f>
        <v>0.25616108382422431</v>
      </c>
      <c r="BO31" s="1335">
        <f t="shared" si="79"/>
        <v>0.10078928237615536</v>
      </c>
      <c r="BP31" s="668"/>
      <c r="BQ31" s="668"/>
      <c r="BR31" s="668">
        <f t="shared" si="80"/>
        <v>0.25056958164314269</v>
      </c>
      <c r="BS31" s="261">
        <f t="shared" si="80"/>
        <v>0.24505992087248379</v>
      </c>
      <c r="BT31" s="261">
        <f t="shared" si="80"/>
        <v>0.24505992087248379</v>
      </c>
      <c r="BU31" s="261">
        <f t="shared" si="80"/>
        <v>0.24505992087248379</v>
      </c>
      <c r="BV31" s="261">
        <f t="shared" si="80"/>
        <v>0.24505992087248379</v>
      </c>
      <c r="BW31" s="261">
        <f t="shared" si="80"/>
        <v>0.24505992087248379</v>
      </c>
      <c r="BX31" s="261">
        <f t="shared" si="80"/>
        <v>0.24505992087248379</v>
      </c>
      <c r="BY31" s="261">
        <f t="shared" si="80"/>
        <v>0.24505992087248379</v>
      </c>
      <c r="BZ31" s="261">
        <f t="shared" si="80"/>
        <v>0.24505992087248379</v>
      </c>
      <c r="CA31" s="261">
        <f t="shared" si="80"/>
        <v>0.24505992087248379</v>
      </c>
      <c r="CB31" s="261">
        <f t="shared" si="80"/>
        <v>0.24505992087248379</v>
      </c>
      <c r="CC31" s="269"/>
      <c r="CD31" s="269"/>
      <c r="CE31" s="269"/>
      <c r="CF31" s="269"/>
      <c r="CG31" s="269"/>
      <c r="CH31" s="269"/>
      <c r="CI31" s="269"/>
      <c r="CJ31" s="269"/>
      <c r="CK31" s="269"/>
      <c r="CL31" s="269"/>
    </row>
    <row r="32" spans="1:90">
      <c r="A32" s="2" t="s">
        <v>58</v>
      </c>
      <c r="B32" s="284" t="s">
        <v>42</v>
      </c>
      <c r="C32" s="18">
        <v>671417</v>
      </c>
      <c r="D32" s="18">
        <v>900010</v>
      </c>
      <c r="E32" s="18">
        <v>1115288</v>
      </c>
      <c r="F32" s="18">
        <f>(1157426+41438)</f>
        <v>1198864</v>
      </c>
      <c r="G32" s="25">
        <v>1094438</v>
      </c>
      <c r="H32" s="25">
        <f>H154</f>
        <v>1101371.1189041336</v>
      </c>
      <c r="I32" s="38">
        <f>I154</f>
        <v>707982</v>
      </c>
      <c r="J32" s="38">
        <f>J154</f>
        <v>413268</v>
      </c>
      <c r="K32" s="38">
        <f>K154</f>
        <v>312301</v>
      </c>
      <c r="L32" s="38"/>
      <c r="M32" s="25">
        <f>+M34+M33</f>
        <v>1433551</v>
      </c>
      <c r="N32" s="38">
        <f>+N34+N33</f>
        <v>354156</v>
      </c>
      <c r="O32" s="38">
        <f>+O34+O33</f>
        <v>333934</v>
      </c>
      <c r="P32" s="38">
        <f>+P154</f>
        <v>372330.03548266669</v>
      </c>
      <c r="Q32" s="38">
        <f>+Q154</f>
        <v>419931.57855999999</v>
      </c>
      <c r="R32" s="25">
        <f>+R34+R33</f>
        <v>779452</v>
      </c>
      <c r="S32" s="38"/>
      <c r="T32" s="38"/>
      <c r="U32" s="38"/>
      <c r="V32" s="38"/>
      <c r="W32" s="25">
        <f t="shared" ref="W32:AB32" si="81">+W34+W33</f>
        <v>1812546</v>
      </c>
      <c r="X32" s="38">
        <f t="shared" si="81"/>
        <v>516405</v>
      </c>
      <c r="Y32" s="38">
        <f>+Y34+Y33</f>
        <v>501003</v>
      </c>
      <c r="Z32" s="38">
        <f>+Z34+Z33</f>
        <v>522603</v>
      </c>
      <c r="AA32" s="38">
        <f t="shared" si="81"/>
        <v>558829</v>
      </c>
      <c r="AB32" s="25">
        <f t="shared" si="81"/>
        <v>2098840</v>
      </c>
      <c r="AC32" s="38">
        <f>+AC34+AC33</f>
        <v>560748</v>
      </c>
      <c r="AD32" s="38">
        <f>+AD34+AD33</f>
        <v>590219</v>
      </c>
      <c r="AE32" s="38">
        <f>+AE34+AE33</f>
        <v>618196</v>
      </c>
      <c r="AF32" s="38">
        <f>+AF34+AF33</f>
        <v>719368</v>
      </c>
      <c r="AG32" s="25">
        <f>+AG33+AG34</f>
        <v>2502306</v>
      </c>
      <c r="AH32" s="38">
        <f>+AH34+AH33</f>
        <v>932715</v>
      </c>
      <c r="AI32" s="38">
        <f>+AI34+AI33</f>
        <v>963430</v>
      </c>
      <c r="AJ32" s="38">
        <f>+AJ34+AJ33</f>
        <v>1182620</v>
      </c>
      <c r="AK32" s="38">
        <f>+AK34+AK33</f>
        <v>1179705</v>
      </c>
      <c r="AL32" s="26">
        <f>+AL33+AL34</f>
        <v>4233953</v>
      </c>
      <c r="AM32" s="38">
        <f>+AM34+AM33</f>
        <v>915249</v>
      </c>
      <c r="AN32" s="38">
        <f>+AN34+AN33</f>
        <v>739887.67999999993</v>
      </c>
      <c r="AO32" s="38">
        <f>+AO34+AO33</f>
        <v>996441.49</v>
      </c>
      <c r="AP32" s="38">
        <f>+AP34+AP33</f>
        <v>1167610.19</v>
      </c>
      <c r="AQ32" s="25">
        <f>+AQ33+AQ34</f>
        <v>3854949</v>
      </c>
      <c r="AR32" s="265">
        <f>+AR33+AR34</f>
        <v>1050428.2252</v>
      </c>
      <c r="AS32" s="265">
        <f>+AS33+AS34</f>
        <v>1157543.6913799997</v>
      </c>
      <c r="AT32" s="25">
        <f>+AT33+AT34</f>
        <v>4908962</v>
      </c>
      <c r="AU32" s="25">
        <f>AU33+AU34</f>
        <v>920631</v>
      </c>
      <c r="AV32" s="25">
        <f>AV33+AV34</f>
        <v>1100237</v>
      </c>
      <c r="AW32" s="25">
        <f>AW33+AW34</f>
        <v>1015328</v>
      </c>
      <c r="AX32" s="25">
        <f>AX33+AX34</f>
        <v>1137043</v>
      </c>
      <c r="AY32" s="265">
        <f>AT32*1.05</f>
        <v>5154410.1000000006</v>
      </c>
      <c r="AZ32" s="626">
        <f>AZ33+AZ34</f>
        <v>970071</v>
      </c>
      <c r="BA32" s="626">
        <f>BA33+BA34</f>
        <v>984304</v>
      </c>
      <c r="BB32" s="626">
        <f>BB33+BB34</f>
        <v>1006103</v>
      </c>
      <c r="BC32" s="626">
        <f>BC33+BC34</f>
        <v>1041856</v>
      </c>
      <c r="BD32" s="265">
        <f>+BD33+BD34</f>
        <v>4018956</v>
      </c>
      <c r="BE32" s="626">
        <f>BE33+BE34</f>
        <v>995665</v>
      </c>
      <c r="BF32" s="626">
        <f>BF33+BF34</f>
        <v>931934</v>
      </c>
      <c r="BG32" s="626">
        <f>BG33+BG34</f>
        <v>995046</v>
      </c>
      <c r="BH32" s="626">
        <f>BH33+BH34</f>
        <v>1070268</v>
      </c>
      <c r="BI32" s="265">
        <f>+BI33+BI34</f>
        <v>3992913</v>
      </c>
      <c r="BJ32" s="626">
        <f>BJ33+BJ34</f>
        <v>903471</v>
      </c>
      <c r="BK32" s="626">
        <f>BK33+BK34</f>
        <v>950655</v>
      </c>
      <c r="BL32" s="626">
        <f>BL33+BL34</f>
        <v>1088826.2</v>
      </c>
      <c r="BM32" s="626">
        <f>BM33+BM34</f>
        <v>1013527</v>
      </c>
      <c r="BN32" s="265">
        <f t="shared" ref="BN32:CB32" si="82">+BN33+BN34</f>
        <v>3956479.2</v>
      </c>
      <c r="BO32" s="265">
        <f>BO33+BO34</f>
        <v>896716</v>
      </c>
      <c r="BP32" s="668">
        <f>BP33+BP34</f>
        <v>869497</v>
      </c>
      <c r="BQ32" s="668">
        <v>1007090</v>
      </c>
      <c r="BR32" s="668">
        <f t="shared" si="82"/>
        <v>4044768.6960000005</v>
      </c>
      <c r="BS32" s="265">
        <f t="shared" si="82"/>
        <v>4135706.8768800003</v>
      </c>
      <c r="BT32" s="265">
        <f t="shared" si="82"/>
        <v>4135706.8768800003</v>
      </c>
      <c r="BU32" s="265">
        <f t="shared" si="82"/>
        <v>4135706.8768800003</v>
      </c>
      <c r="BV32" s="265">
        <f t="shared" si="82"/>
        <v>4135706.8768800003</v>
      </c>
      <c r="BW32" s="265">
        <f t="shared" si="82"/>
        <v>4135706.8768800003</v>
      </c>
      <c r="BX32" s="265">
        <f t="shared" si="82"/>
        <v>4135706.8768800003</v>
      </c>
      <c r="BY32" s="265">
        <f t="shared" si="82"/>
        <v>4135706.8768800003</v>
      </c>
      <c r="BZ32" s="265">
        <f t="shared" si="82"/>
        <v>4135706.8768800003</v>
      </c>
      <c r="CA32" s="265">
        <f t="shared" si="82"/>
        <v>4135706.8768800003</v>
      </c>
      <c r="CB32" s="265">
        <f t="shared" si="82"/>
        <v>4135706.8768800003</v>
      </c>
      <c r="CC32" s="269"/>
      <c r="CD32" s="269"/>
      <c r="CE32" s="269"/>
      <c r="CF32" s="269"/>
      <c r="CG32" s="269"/>
      <c r="CH32" s="269"/>
      <c r="CI32" s="269"/>
      <c r="CJ32" s="269"/>
      <c r="CK32" s="269"/>
      <c r="CL32" s="269"/>
    </row>
    <row r="33" spans="1:90">
      <c r="A33" s="1" t="s">
        <v>47</v>
      </c>
      <c r="B33" s="73"/>
      <c r="C33" s="11"/>
      <c r="D33" s="11"/>
      <c r="E33" s="11"/>
      <c r="F33" s="286"/>
      <c r="G33" s="26"/>
      <c r="H33" s="26">
        <f>1098425-6862</f>
        <v>1091563</v>
      </c>
      <c r="I33" s="74">
        <f>+I38-I67</f>
        <v>0</v>
      </c>
      <c r="J33" s="74">
        <f>+J38-J67</f>
        <v>0</v>
      </c>
      <c r="K33" s="74">
        <f>+K38-K67</f>
        <v>0</v>
      </c>
      <c r="L33" s="74"/>
      <c r="M33" s="26">
        <v>1392065</v>
      </c>
      <c r="N33" s="74">
        <v>315187</v>
      </c>
      <c r="O33" s="74">
        <v>296237</v>
      </c>
      <c r="P33" s="74">
        <f>+P38-P67</f>
        <v>0</v>
      </c>
      <c r="Q33" s="74">
        <f>+Q38-Q67</f>
        <v>0</v>
      </c>
      <c r="R33" s="26">
        <f>+SUM(N33:Q33)</f>
        <v>611424</v>
      </c>
      <c r="S33" s="74"/>
      <c r="T33" s="74"/>
      <c r="U33" s="74"/>
      <c r="V33" s="74"/>
      <c r="W33" s="26">
        <v>1522341</v>
      </c>
      <c r="X33" s="74">
        <v>462718</v>
      </c>
      <c r="Y33" s="74">
        <v>466810</v>
      </c>
      <c r="Z33" s="74">
        <v>481454</v>
      </c>
      <c r="AA33" s="74">
        <f>+AB33-Z33-Y33-X33</f>
        <v>521617</v>
      </c>
      <c r="AB33" s="26">
        <v>1932599</v>
      </c>
      <c r="AC33" s="74">
        <f>520758-4385</f>
        <v>516373</v>
      </c>
      <c r="AD33" s="74">
        <f>568502-1861</f>
        <v>566641</v>
      </c>
      <c r="AE33" s="74">
        <f>589883-3267</f>
        <v>586616</v>
      </c>
      <c r="AF33" s="74">
        <v>665424</v>
      </c>
      <c r="AG33" s="26">
        <v>2348829</v>
      </c>
      <c r="AH33" s="74">
        <v>829797</v>
      </c>
      <c r="AI33" s="74">
        <v>864668</v>
      </c>
      <c r="AJ33" s="74">
        <v>1005816</v>
      </c>
      <c r="AK33" s="74">
        <v>861581</v>
      </c>
      <c r="AL33" s="26">
        <v>3572078</v>
      </c>
      <c r="AM33" s="74">
        <v>654839</v>
      </c>
      <c r="AN33" s="74">
        <f>SUM([31]LOCAL!$I$19:$K$21)</f>
        <v>553446.67999999993</v>
      </c>
      <c r="AO33" s="74">
        <f>SUM([32]LOCAL!$L$19:$N$19)+SUM([32]LOCAL!$L$21:$N$21)</f>
        <v>536057.49</v>
      </c>
      <c r="AP33" s="74">
        <f>SUM([33]LOCAL!$O$19:$Q$19)+SUM([33]LOCAL!$O$21:$Q$21)</f>
        <v>594328.74</v>
      </c>
      <c r="AQ33" s="26">
        <v>2831115</v>
      </c>
      <c r="AR33" s="15">
        <f>AP33*0.88</f>
        <v>523009.29119999998</v>
      </c>
      <c r="AS33" s="15">
        <f>AR33*1.15</f>
        <v>601460.68487999996</v>
      </c>
      <c r="AT33" s="26">
        <v>4103861</v>
      </c>
      <c r="AU33" s="26">
        <v>710168</v>
      </c>
      <c r="AV33" s="26">
        <f>1425291-AU33</f>
        <v>715123</v>
      </c>
      <c r="AW33" s="26">
        <f>2146860-AU33-AV33</f>
        <v>721569</v>
      </c>
      <c r="AX33" s="26">
        <f>AY33-SUM(AU33:AW33)</f>
        <v>713935</v>
      </c>
      <c r="AY33" s="15">
        <v>2860795</v>
      </c>
      <c r="AZ33" s="622">
        <v>625586</v>
      </c>
      <c r="BA33" s="622">
        <f>1289525-AZ33</f>
        <v>663939</v>
      </c>
      <c r="BB33" s="622">
        <f>2013545-SUM(AZ33:BA33)</f>
        <v>724020</v>
      </c>
      <c r="BC33" s="622">
        <f>SUM([34]Sheet1!O35:Q35)+SUM([34]Sheet1!O39:Q39)</f>
        <v>735367</v>
      </c>
      <c r="BD33" s="15">
        <v>2765534</v>
      </c>
      <c r="BE33" s="622">
        <v>626022</v>
      </c>
      <c r="BF33" s="622">
        <f>1364454-BE33</f>
        <v>738432</v>
      </c>
      <c r="BG33" s="622">
        <f>2122436-BE33-BF33</f>
        <v>757982</v>
      </c>
      <c r="BH33" s="622">
        <v>776722</v>
      </c>
      <c r="BI33" s="15">
        <f>SUM(BE33:BH33)</f>
        <v>2899158</v>
      </c>
      <c r="BJ33" s="622">
        <v>620966</v>
      </c>
      <c r="BK33" s="622">
        <v>733195</v>
      </c>
      <c r="BL33" s="622">
        <v>767875.2</v>
      </c>
      <c r="BM33" s="622">
        <v>820947</v>
      </c>
      <c r="BN33" s="15">
        <f>SUM(BJ33:BM33)</f>
        <v>2942983.2</v>
      </c>
      <c r="BO33" s="15">
        <v>684726</v>
      </c>
      <c r="BP33" s="668">
        <v>675775</v>
      </c>
      <c r="BQ33" s="668">
        <v>805005</v>
      </c>
      <c r="BR33" s="668">
        <f>BN33*(1+BR36)</f>
        <v>3031272.6960000005</v>
      </c>
      <c r="BS33" s="15">
        <f t="shared" ref="BS33:CB33" si="83">BR33*(1+BS36)</f>
        <v>3122210.8768800003</v>
      </c>
      <c r="BT33" s="15">
        <f t="shared" si="83"/>
        <v>3122210.8768800003</v>
      </c>
      <c r="BU33" s="15">
        <f t="shared" si="83"/>
        <v>3122210.8768800003</v>
      </c>
      <c r="BV33" s="15">
        <f t="shared" si="83"/>
        <v>3122210.8768800003</v>
      </c>
      <c r="BW33" s="15">
        <f t="shared" si="83"/>
        <v>3122210.8768800003</v>
      </c>
      <c r="BX33" s="15">
        <f t="shared" si="83"/>
        <v>3122210.8768800003</v>
      </c>
      <c r="BY33" s="15">
        <f t="shared" si="83"/>
        <v>3122210.8768800003</v>
      </c>
      <c r="BZ33" s="15">
        <f t="shared" si="83"/>
        <v>3122210.8768800003</v>
      </c>
      <c r="CA33" s="15">
        <f t="shared" si="83"/>
        <v>3122210.8768800003</v>
      </c>
      <c r="CB33" s="15">
        <f t="shared" si="83"/>
        <v>3122210.8768800003</v>
      </c>
      <c r="CC33" s="269"/>
      <c r="CD33" s="269"/>
      <c r="CE33" s="269"/>
      <c r="CF33" s="269"/>
      <c r="CG33" s="269"/>
      <c r="CH33" s="269"/>
      <c r="CI33" s="269"/>
      <c r="CJ33" s="269"/>
      <c r="CK33" s="269"/>
      <c r="CL33" s="269"/>
    </row>
    <row r="34" spans="1:90">
      <c r="A34" s="1" t="s">
        <v>57</v>
      </c>
      <c r="B34" s="73"/>
      <c r="C34" s="11"/>
      <c r="D34" s="11"/>
      <c r="E34" s="11"/>
      <c r="F34" s="286"/>
      <c r="G34" s="26"/>
      <c r="H34" s="26">
        <v>6862</v>
      </c>
      <c r="I34" s="74">
        <v>8264</v>
      </c>
      <c r="J34" s="74">
        <v>11608</v>
      </c>
      <c r="K34" s="74">
        <f>+M34-SUM(I34:J34)</f>
        <v>21614</v>
      </c>
      <c r="L34" s="74"/>
      <c r="M34" s="26">
        <v>41486</v>
      </c>
      <c r="N34" s="74">
        <v>38969</v>
      </c>
      <c r="O34" s="74">
        <f>21920+8065+7712</f>
        <v>37697</v>
      </c>
      <c r="P34" s="74">
        <f>8664+8354+27269</f>
        <v>44287</v>
      </c>
      <c r="Q34" s="74">
        <f>25750+6325+15000</f>
        <v>47075</v>
      </c>
      <c r="R34" s="26">
        <f>+SUM(N34:Q34)</f>
        <v>168028</v>
      </c>
      <c r="S34" s="74"/>
      <c r="T34" s="74"/>
      <c r="U34" s="74"/>
      <c r="V34" s="74"/>
      <c r="W34" s="26">
        <v>290205</v>
      </c>
      <c r="X34" s="74">
        <v>53687</v>
      </c>
      <c r="Y34" s="74">
        <v>34193</v>
      </c>
      <c r="Z34" s="74">
        <v>41149</v>
      </c>
      <c r="AA34" s="74">
        <f>+AB34-Z34-Y34-X34</f>
        <v>37212</v>
      </c>
      <c r="AB34" s="26">
        <v>166241</v>
      </c>
      <c r="AC34" s="74">
        <f>44430-55</f>
        <v>44375</v>
      </c>
      <c r="AD34" s="74">
        <v>23578</v>
      </c>
      <c r="AE34" s="74">
        <v>31580</v>
      </c>
      <c r="AF34" s="74">
        <v>53944</v>
      </c>
      <c r="AG34" s="26">
        <f>SUM(AC34:AF34)</f>
        <v>153477</v>
      </c>
      <c r="AH34" s="74">
        <v>102918</v>
      </c>
      <c r="AI34" s="74">
        <v>98762</v>
      </c>
      <c r="AJ34" s="74">
        <v>176804</v>
      </c>
      <c r="AK34" s="74">
        <v>318124</v>
      </c>
      <c r="AL34" s="26">
        <v>661875</v>
      </c>
      <c r="AM34" s="74">
        <v>260410</v>
      </c>
      <c r="AN34" s="74">
        <v>186441</v>
      </c>
      <c r="AO34" s="74">
        <f>SUM([33]EXPORT!$L$19:$N$22)</f>
        <v>460384</v>
      </c>
      <c r="AP34" s="74">
        <f>SUM([33]EXPORT!$O$19:$Q$22)</f>
        <v>573281.44999999995</v>
      </c>
      <c r="AQ34" s="26">
        <v>1023834</v>
      </c>
      <c r="AR34" s="15">
        <f>+AP34*(1+AR37)</f>
        <v>527418.93400000001</v>
      </c>
      <c r="AS34" s="15">
        <f>+AP34*(1+AS37)</f>
        <v>556083.0064999999</v>
      </c>
      <c r="AT34" s="26">
        <v>805101</v>
      </c>
      <c r="AU34" s="26">
        <v>210463</v>
      </c>
      <c r="AV34" s="26">
        <f>595577-AU34</f>
        <v>385114</v>
      </c>
      <c r="AW34" s="26">
        <f>889336-AU34-AV34</f>
        <v>293759</v>
      </c>
      <c r="AX34" s="26">
        <f>AY34-SUM(AU34:AW34)</f>
        <v>423108</v>
      </c>
      <c r="AY34" s="15">
        <v>1312444</v>
      </c>
      <c r="AZ34" s="622">
        <v>344485</v>
      </c>
      <c r="BA34" s="622">
        <f>664850-AZ34</f>
        <v>320365</v>
      </c>
      <c r="BB34" s="622">
        <f>946933-SUM(AZ34:BA34)</f>
        <v>282083</v>
      </c>
      <c r="BC34" s="622">
        <f>BD34-SUM(AZ34:BB34)</f>
        <v>306489</v>
      </c>
      <c r="BD34" s="15">
        <v>1253422</v>
      </c>
      <c r="BE34" s="622">
        <v>369643</v>
      </c>
      <c r="BF34" s="622">
        <f>557145-BE34+6000</f>
        <v>193502</v>
      </c>
      <c r="BG34" s="622">
        <f>800209-BE34-BF34</f>
        <v>237064</v>
      </c>
      <c r="BH34" s="622">
        <v>293546</v>
      </c>
      <c r="BI34" s="15">
        <f>SUM(BE34:BH34)</f>
        <v>1093755</v>
      </c>
      <c r="BJ34" s="622">
        <v>282505</v>
      </c>
      <c r="BK34" s="622">
        <v>217460</v>
      </c>
      <c r="BL34" s="622">
        <v>320951</v>
      </c>
      <c r="BM34" s="622">
        <v>192580</v>
      </c>
      <c r="BN34" s="15">
        <f>SUM(BJ34:BM34)</f>
        <v>1013496</v>
      </c>
      <c r="BO34" s="15">
        <v>211990</v>
      </c>
      <c r="BP34" s="668">
        <v>193722</v>
      </c>
      <c r="BQ34" s="668">
        <v>202085</v>
      </c>
      <c r="BR34" s="668">
        <f>+BN34*(1+BR37)</f>
        <v>1013496</v>
      </c>
      <c r="BS34" s="15">
        <f t="shared" ref="BS34:CB34" si="84">+BR34*(1+BS37)</f>
        <v>1013496</v>
      </c>
      <c r="BT34" s="15">
        <f t="shared" si="84"/>
        <v>1013496</v>
      </c>
      <c r="BU34" s="15">
        <f t="shared" si="84"/>
        <v>1013496</v>
      </c>
      <c r="BV34" s="15">
        <f t="shared" si="84"/>
        <v>1013496</v>
      </c>
      <c r="BW34" s="15">
        <f t="shared" si="84"/>
        <v>1013496</v>
      </c>
      <c r="BX34" s="15">
        <f t="shared" si="84"/>
        <v>1013496</v>
      </c>
      <c r="BY34" s="15">
        <f t="shared" si="84"/>
        <v>1013496</v>
      </c>
      <c r="BZ34" s="15">
        <f t="shared" si="84"/>
        <v>1013496</v>
      </c>
      <c r="CA34" s="15">
        <f t="shared" si="84"/>
        <v>1013496</v>
      </c>
      <c r="CB34" s="15">
        <f t="shared" si="84"/>
        <v>1013496</v>
      </c>
      <c r="CC34" s="269"/>
      <c r="CD34" s="269"/>
      <c r="CE34" s="269"/>
      <c r="CF34" s="269"/>
      <c r="CG34" s="269"/>
      <c r="CH34" s="269"/>
      <c r="CI34" s="269"/>
      <c r="CJ34" s="269"/>
      <c r="CK34" s="269"/>
      <c r="CL34" s="269"/>
    </row>
    <row r="35" spans="1:90">
      <c r="B35" s="73"/>
      <c r="C35" s="11"/>
      <c r="D35" s="11"/>
      <c r="E35" s="11"/>
      <c r="F35" s="286"/>
      <c r="G35" s="26"/>
      <c r="H35" s="26"/>
      <c r="I35" s="74"/>
      <c r="J35" s="74"/>
      <c r="K35" s="74"/>
      <c r="L35" s="74"/>
      <c r="M35" s="26"/>
      <c r="N35" s="74"/>
      <c r="O35" s="74"/>
      <c r="P35" s="74"/>
      <c r="Q35" s="74"/>
      <c r="R35" s="314">
        <f>+R32/M32-1</f>
        <v>-0.45627884881667968</v>
      </c>
      <c r="S35" s="74"/>
      <c r="T35" s="74"/>
      <c r="U35" s="74"/>
      <c r="V35" s="74"/>
      <c r="W35" s="314">
        <f>+W32/R32-1</f>
        <v>1.3254106731395905</v>
      </c>
      <c r="X35" s="74"/>
      <c r="Y35" s="74">
        <f>+Y32+X32+Z32</f>
        <v>1540011</v>
      </c>
      <c r="Z35" s="74"/>
      <c r="AA35" s="74"/>
      <c r="AB35" s="314">
        <f>+AB32/W32-1</f>
        <v>0.1579513016497236</v>
      </c>
      <c r="AC35" s="74"/>
      <c r="AD35" s="74">
        <f>+AD32+AC32+AE32</f>
        <v>1769163</v>
      </c>
      <c r="AE35" s="188">
        <f>+AD35/Y35-1</f>
        <v>0.14879893715044901</v>
      </c>
      <c r="AF35" s="188"/>
      <c r="AG35" s="314">
        <f t="shared" ref="AG35:AI36" si="85">+AG32/AB32-1</f>
        <v>0.19223285243277233</v>
      </c>
      <c r="AH35" s="188">
        <f t="shared" si="85"/>
        <v>0.66334075199554876</v>
      </c>
      <c r="AI35" s="188">
        <f t="shared" si="85"/>
        <v>0.63232630599828199</v>
      </c>
      <c r="AJ35" s="188">
        <f>+AI35/AD35-1</f>
        <v>-0.99999964258448426</v>
      </c>
      <c r="AK35" s="188">
        <f>AK32/AF32-1</f>
        <v>0.63991865081571597</v>
      </c>
      <c r="AL35" s="314">
        <f>+AL32/AG32-1</f>
        <v>0.6920204803089629</v>
      </c>
      <c r="AM35" s="315">
        <f t="shared" ref="AM35:AP36" si="86">AM32/AH32-1</f>
        <v>-1.8725977388591386E-2</v>
      </c>
      <c r="AN35" s="315">
        <f t="shared" si="86"/>
        <v>-0.23202756816790016</v>
      </c>
      <c r="AO35" s="315">
        <f t="shared" si="86"/>
        <v>-0.15742885288596509</v>
      </c>
      <c r="AP35" s="315">
        <f t="shared" si="86"/>
        <v>-1.025240208357181E-2</v>
      </c>
      <c r="AQ35" s="314">
        <f>+AQ32/AL32-1</f>
        <v>-8.9515400855890492E-2</v>
      </c>
      <c r="AR35" s="316">
        <f>+AR32/AP32-1</f>
        <v>-0.10036051912153998</v>
      </c>
      <c r="AS35" s="316">
        <f>+AS32/AP32-1</f>
        <v>-8.6214549223830872E-3</v>
      </c>
      <c r="AT35" s="314">
        <f>+AT32/AQ32-1</f>
        <v>0.27341814379386076</v>
      </c>
      <c r="AU35" s="314"/>
      <c r="AV35" s="314"/>
      <c r="AW35" s="314">
        <f t="shared" ref="AW35:AX37" si="87">AW32/AV32-1</f>
        <v>-7.7173372646075378E-2</v>
      </c>
      <c r="AX35" s="314">
        <f t="shared" si="87"/>
        <v>0.11987751741309216</v>
      </c>
      <c r="AY35" s="316">
        <f>+AY32/AT32-1</f>
        <v>5.0000000000000044E-2</v>
      </c>
      <c r="AZ35" s="649">
        <f>AZ32/AU32-1</f>
        <v>5.370229766323309E-2</v>
      </c>
      <c r="BA35" s="649">
        <f>BA32/AV32-1</f>
        <v>-0.10537093371700823</v>
      </c>
      <c r="BB35" s="649">
        <f>BB32/AW32-1</f>
        <v>-9.0857338712219127E-3</v>
      </c>
      <c r="BC35" s="649">
        <f>BC32/AX32-1</f>
        <v>-8.37145121160765E-2</v>
      </c>
      <c r="BD35" s="316">
        <f>+BD32/AY32-1</f>
        <v>-0.22028788512578779</v>
      </c>
      <c r="BE35" s="649">
        <f>BE32/AZ32-1</f>
        <v>2.6383635836964459E-2</v>
      </c>
      <c r="BF35" s="649">
        <f>BF32/BA32-1</f>
        <v>-5.3205107365204229E-2</v>
      </c>
      <c r="BG35" s="649">
        <f>BG32/BB32-1</f>
        <v>-1.0989928466568544E-2</v>
      </c>
      <c r="BH35" s="649">
        <f>BH32/BC32-1</f>
        <v>2.7270563302414175E-2</v>
      </c>
      <c r="BI35" s="316">
        <f>+BI32/BD32-1</f>
        <v>-6.4800410852967616E-3</v>
      </c>
      <c r="BJ35" s="649">
        <f>BJ32/BE32-1</f>
        <v>-9.2595401063610749E-2</v>
      </c>
      <c r="BK35" s="649">
        <f>BK32/BF32-1</f>
        <v>2.0088332435558742E-2</v>
      </c>
      <c r="BL35" s="649">
        <f>BL32/BG32-1</f>
        <v>9.4247100134064121E-2</v>
      </c>
      <c r="BM35" s="649">
        <f>BM32/BH32-1</f>
        <v>-5.3015693265611952E-2</v>
      </c>
      <c r="BN35" s="261">
        <f>BN32/BI32-1</f>
        <v>-9.1246165393535916E-3</v>
      </c>
      <c r="BO35" s="261">
        <f>BO32/BM32-1</f>
        <v>-0.11525198638023459</v>
      </c>
      <c r="BP35" s="668"/>
      <c r="BQ35" s="668">
        <f>BQ32/BO32-1</f>
        <v>0.12308690822958446</v>
      </c>
      <c r="BR35" s="668">
        <f>BR32/BN32-1</f>
        <v>2.2315167485273291E-2</v>
      </c>
      <c r="BS35" s="316">
        <f t="shared" ref="BS35:CB35" si="88">BS32/BR32-1</f>
        <v>2.248291255070578E-2</v>
      </c>
      <c r="BT35" s="316">
        <f t="shared" si="88"/>
        <v>0</v>
      </c>
      <c r="BU35" s="316">
        <f t="shared" si="88"/>
        <v>0</v>
      </c>
      <c r="BV35" s="316">
        <f t="shared" si="88"/>
        <v>0</v>
      </c>
      <c r="BW35" s="316">
        <f t="shared" si="88"/>
        <v>0</v>
      </c>
      <c r="BX35" s="316">
        <f t="shared" si="88"/>
        <v>0</v>
      </c>
      <c r="BY35" s="316">
        <f t="shared" si="88"/>
        <v>0</v>
      </c>
      <c r="BZ35" s="316">
        <f t="shared" si="88"/>
        <v>0</v>
      </c>
      <c r="CA35" s="316">
        <f t="shared" si="88"/>
        <v>0</v>
      </c>
      <c r="CB35" s="316">
        <f t="shared" si="88"/>
        <v>0</v>
      </c>
      <c r="CC35" s="269"/>
      <c r="CD35" s="269"/>
      <c r="CE35" s="269"/>
      <c r="CF35" s="269"/>
      <c r="CG35" s="269"/>
      <c r="CH35" s="269"/>
      <c r="CI35" s="269"/>
      <c r="CJ35" s="269"/>
      <c r="CK35" s="269"/>
      <c r="CL35" s="269"/>
    </row>
    <row r="36" spans="1:90">
      <c r="B36" s="73"/>
      <c r="C36" s="11"/>
      <c r="D36" s="11"/>
      <c r="E36" s="11"/>
      <c r="F36" s="286"/>
      <c r="G36" s="26"/>
      <c r="H36" s="26"/>
      <c r="I36" s="74"/>
      <c r="J36" s="74"/>
      <c r="K36" s="74"/>
      <c r="L36" s="74"/>
      <c r="M36" s="26"/>
      <c r="N36" s="74"/>
      <c r="O36" s="74"/>
      <c r="P36" s="74"/>
      <c r="Q36" s="74"/>
      <c r="R36" s="314">
        <f>+R33/M33-1</f>
        <v>-0.56077913028486459</v>
      </c>
      <c r="S36" s="74"/>
      <c r="T36" s="74"/>
      <c r="U36" s="74"/>
      <c r="V36" s="74"/>
      <c r="W36" s="314">
        <f>+W33/R33-1</f>
        <v>1.489828662270372</v>
      </c>
      <c r="X36" s="74"/>
      <c r="Y36" s="74">
        <f>+Y33+X33+Z33</f>
        <v>1410982</v>
      </c>
      <c r="Z36" s="74"/>
      <c r="AA36" s="74"/>
      <c r="AB36" s="314">
        <f>+AB33/W33-1</f>
        <v>0.26949152653708985</v>
      </c>
      <c r="AC36" s="74"/>
      <c r="AD36" s="74">
        <f>+AD33+AC33+AE33</f>
        <v>1669630</v>
      </c>
      <c r="AE36" s="188">
        <f>+AD36/Y36-1</f>
        <v>0.1833106304687091</v>
      </c>
      <c r="AF36" s="188"/>
      <c r="AG36" s="314">
        <f t="shared" si="85"/>
        <v>0.21537318398695238</v>
      </c>
      <c r="AH36" s="188">
        <f t="shared" si="85"/>
        <v>0.60697209187931978</v>
      </c>
      <c r="AI36" s="188">
        <f t="shared" si="85"/>
        <v>0.52595382261431833</v>
      </c>
      <c r="AJ36" s="188">
        <f>+AJ34/AI34-1</f>
        <v>0.79020270954415661</v>
      </c>
      <c r="AK36" s="188"/>
      <c r="AL36" s="314">
        <f>+AL33/AG33-1</f>
        <v>0.52079099840814291</v>
      </c>
      <c r="AM36" s="315">
        <f t="shared" si="86"/>
        <v>-0.21084433903713795</v>
      </c>
      <c r="AN36" s="315">
        <f t="shared" si="86"/>
        <v>-0.35993158067605147</v>
      </c>
      <c r="AO36" s="315">
        <f t="shared" si="86"/>
        <v>-0.46704219260779312</v>
      </c>
      <c r="AP36" s="315">
        <f t="shared" si="86"/>
        <v>-0.31018820052902751</v>
      </c>
      <c r="AQ36" s="314">
        <f>+AQ33/AL33-1</f>
        <v>-0.20743192057956183</v>
      </c>
      <c r="AR36" s="316">
        <f>+AR33/AP33-1</f>
        <v>-0.12</v>
      </c>
      <c r="AS36" s="316">
        <f>+AS33/AR33-1</f>
        <v>0.14999999999999991</v>
      </c>
      <c r="AT36" s="314">
        <f>+AT33/AQ33-1</f>
        <v>0.44955644684161533</v>
      </c>
      <c r="AU36" s="314" t="e">
        <f>AU32/#REF!-1</f>
        <v>#REF!</v>
      </c>
      <c r="AV36" s="314"/>
      <c r="AW36" s="314">
        <f t="shared" si="87"/>
        <v>9.0138339838041759E-3</v>
      </c>
      <c r="AX36" s="314">
        <f t="shared" si="87"/>
        <v>-1.0579722798512714E-2</v>
      </c>
      <c r="AY36" s="316">
        <f>+AY33/AT33-1</f>
        <v>-0.30290158462969385</v>
      </c>
      <c r="AZ36" s="649">
        <f t="shared" ref="AZ36:BM37" si="89">AZ33/AU33-1</f>
        <v>-0.11910139572608169</v>
      </c>
      <c r="BA36" s="649">
        <f t="shared" si="89"/>
        <v>-7.1573701307327542E-2</v>
      </c>
      <c r="BB36" s="649">
        <f t="shared" si="89"/>
        <v>3.3967645505834643E-3</v>
      </c>
      <c r="BC36" s="649">
        <f t="shared" si="89"/>
        <v>3.0019539593940658E-2</v>
      </c>
      <c r="BD36" s="316">
        <f>+BD33/AY33-1</f>
        <v>-3.3298785827016619E-2</v>
      </c>
      <c r="BE36" s="649">
        <f t="shared" si="89"/>
        <v>6.9694654292140612E-4</v>
      </c>
      <c r="BF36" s="649">
        <f t="shared" si="89"/>
        <v>0.11219856040991716</v>
      </c>
      <c r="BG36" s="649">
        <f t="shared" si="89"/>
        <v>4.6907543990497569E-2</v>
      </c>
      <c r="BH36" s="649">
        <f t="shared" si="89"/>
        <v>5.6237225766182064E-2</v>
      </c>
      <c r="BI36" s="316">
        <f>BI33/BD33-1</f>
        <v>4.8317612439406021E-2</v>
      </c>
      <c r="BJ36" s="649">
        <f t="shared" si="89"/>
        <v>-8.0763934813792293E-3</v>
      </c>
      <c r="BK36" s="649">
        <f t="shared" si="89"/>
        <v>-7.0920545155139791E-3</v>
      </c>
      <c r="BL36" s="649">
        <f t="shared" si="89"/>
        <v>1.3052024982123545E-2</v>
      </c>
      <c r="BM36" s="649">
        <f t="shared" si="89"/>
        <v>5.6938003558544725E-2</v>
      </c>
      <c r="BN36" s="20">
        <f t="shared" ref="BN36:BN37" si="90">BN33/BI33-1</f>
        <v>1.5116526936441721E-2</v>
      </c>
      <c r="BO36" s="261">
        <f>BO33/BM33-1</f>
        <v>-0.16593154003851651</v>
      </c>
      <c r="BP36" s="668"/>
      <c r="BQ36" s="668">
        <f t="shared" ref="BQ36:BQ37" si="91">BQ33/BO33-1</f>
        <v>0.17566004503991373</v>
      </c>
      <c r="BR36" s="668">
        <v>0.03</v>
      </c>
      <c r="BS36" s="316">
        <v>0.03</v>
      </c>
      <c r="BT36" s="316">
        <v>0</v>
      </c>
      <c r="BU36" s="316">
        <f t="shared" ref="BU36:CB36" si="92">BT36</f>
        <v>0</v>
      </c>
      <c r="BV36" s="316">
        <f t="shared" si="92"/>
        <v>0</v>
      </c>
      <c r="BW36" s="316">
        <f t="shared" si="92"/>
        <v>0</v>
      </c>
      <c r="BX36" s="316">
        <f t="shared" si="92"/>
        <v>0</v>
      </c>
      <c r="BY36" s="316">
        <f t="shared" si="92"/>
        <v>0</v>
      </c>
      <c r="BZ36" s="316">
        <f t="shared" si="92"/>
        <v>0</v>
      </c>
      <c r="CA36" s="316">
        <f t="shared" si="92"/>
        <v>0</v>
      </c>
      <c r="CB36" s="316">
        <f t="shared" si="92"/>
        <v>0</v>
      </c>
      <c r="CC36" s="269"/>
      <c r="CD36" s="269"/>
      <c r="CE36" s="269"/>
      <c r="CF36" s="269"/>
      <c r="CG36" s="269"/>
      <c r="CH36" s="269"/>
      <c r="CI36" s="269"/>
      <c r="CJ36" s="269"/>
      <c r="CK36" s="269"/>
      <c r="CL36" s="269"/>
    </row>
    <row r="37" spans="1:90">
      <c r="B37" s="73"/>
      <c r="C37" s="11"/>
      <c r="D37" s="11"/>
      <c r="E37" s="11"/>
      <c r="F37" s="286"/>
      <c r="G37" s="26"/>
      <c r="H37" s="26"/>
      <c r="I37" s="74"/>
      <c r="J37" s="74"/>
      <c r="K37" s="74"/>
      <c r="L37" s="74"/>
      <c r="M37" s="26"/>
      <c r="N37" s="74"/>
      <c r="O37" s="74"/>
      <c r="P37" s="74"/>
      <c r="Q37" s="74"/>
      <c r="R37" s="314">
        <f>+R34/M34-1</f>
        <v>3.0502338138167095</v>
      </c>
      <c r="S37" s="74"/>
      <c r="T37" s="74"/>
      <c r="U37" s="74"/>
      <c r="V37" s="74"/>
      <c r="W37" s="314">
        <f>+W34/R34-1</f>
        <v>0.72712286047563501</v>
      </c>
      <c r="X37" s="74"/>
      <c r="Y37" s="74">
        <f>+Y34+X34+Z34</f>
        <v>129029</v>
      </c>
      <c r="Z37" s="74"/>
      <c r="AA37" s="74"/>
      <c r="AB37" s="314">
        <f>+AB34/W34-1</f>
        <v>-0.42716011095604833</v>
      </c>
      <c r="AC37" s="74"/>
      <c r="AD37" s="74">
        <f>+AD34+AC34+AE34</f>
        <v>99533</v>
      </c>
      <c r="AE37" s="188">
        <f>+AD37/Y37-1</f>
        <v>-0.22859977214424665</v>
      </c>
      <c r="AF37" s="188"/>
      <c r="AG37" s="314">
        <v>-0.1</v>
      </c>
      <c r="AH37" s="188">
        <f>+AH34/AC34-1</f>
        <v>1.3192788732394365</v>
      </c>
      <c r="AI37" s="188">
        <f>+AI34/AD34-1</f>
        <v>3.188735261684621</v>
      </c>
      <c r="AJ37" s="188">
        <f>+AI37/AD37-1</f>
        <v>-0.99996796303475544</v>
      </c>
      <c r="AK37" s="188"/>
      <c r="AL37" s="314">
        <f>+AL34/AG34-1</f>
        <v>3.3125354287613131</v>
      </c>
      <c r="AM37" s="315">
        <f>+AM34/AH34-1</f>
        <v>1.530266814357061</v>
      </c>
      <c r="AN37" s="315">
        <f>+AN34/AI34-1</f>
        <v>0.88778072538020703</v>
      </c>
      <c r="AO37" s="315">
        <f>+AO34/AJ34-1</f>
        <v>1.6039229881676884</v>
      </c>
      <c r="AP37" s="315">
        <f>+AP34/AK34-1</f>
        <v>0.80206916171052778</v>
      </c>
      <c r="AQ37" s="314">
        <v>0.5</v>
      </c>
      <c r="AR37" s="316">
        <v>-0.08</v>
      </c>
      <c r="AS37" s="316">
        <v>-0.03</v>
      </c>
      <c r="AT37" s="314">
        <v>-0.08</v>
      </c>
      <c r="AU37" s="314" t="e">
        <f>AU33/#REF!-1</f>
        <v>#REF!</v>
      </c>
      <c r="AV37" s="314"/>
      <c r="AW37" s="314">
        <f t="shared" si="87"/>
        <v>-0.23721547385968833</v>
      </c>
      <c r="AX37" s="314">
        <f t="shared" si="87"/>
        <v>0.44032353051310769</v>
      </c>
      <c r="AY37" s="316">
        <v>-0.08</v>
      </c>
      <c r="AZ37" s="649">
        <f t="shared" si="89"/>
        <v>0.63679601640193284</v>
      </c>
      <c r="BA37" s="649">
        <f t="shared" si="89"/>
        <v>-0.16812943699787597</v>
      </c>
      <c r="BB37" s="649">
        <f t="shared" si="89"/>
        <v>-3.9746867330022195E-2</v>
      </c>
      <c r="BC37" s="649">
        <f t="shared" si="89"/>
        <v>-0.27562466320655721</v>
      </c>
      <c r="BD37" s="316">
        <f>+BD34/AY34-1</f>
        <v>-4.4971061622438802E-2</v>
      </c>
      <c r="BE37" s="649">
        <f t="shared" si="89"/>
        <v>7.3030756056141843E-2</v>
      </c>
      <c r="BF37" s="649">
        <f t="shared" si="89"/>
        <v>-0.39599519298300379</v>
      </c>
      <c r="BG37" s="649">
        <f t="shared" si="89"/>
        <v>-0.15959487101314151</v>
      </c>
      <c r="BH37" s="649">
        <f t="shared" si="89"/>
        <v>-4.222990058370768E-2</v>
      </c>
      <c r="BI37" s="316">
        <f>BI34/BD34-1</f>
        <v>-0.12738487117666675</v>
      </c>
      <c r="BJ37" s="649">
        <f t="shared" si="89"/>
        <v>-0.23573556106838223</v>
      </c>
      <c r="BK37" s="649">
        <f t="shared" si="89"/>
        <v>0.12381267377081384</v>
      </c>
      <c r="BL37" s="649">
        <f t="shared" si="89"/>
        <v>0.35385802989909898</v>
      </c>
      <c r="BM37" s="649">
        <f t="shared" si="89"/>
        <v>-0.34395290686979207</v>
      </c>
      <c r="BN37" s="20">
        <f t="shared" si="90"/>
        <v>-7.3379321694529431E-2</v>
      </c>
      <c r="BO37" s="261">
        <f>BO34/BM34-1</f>
        <v>0.10078928237615536</v>
      </c>
      <c r="BP37" s="668"/>
      <c r="BQ37" s="668">
        <f t="shared" si="91"/>
        <v>-4.6723902070852419E-2</v>
      </c>
      <c r="BR37" s="668">
        <v>0</v>
      </c>
      <c r="BS37" s="316">
        <v>0</v>
      </c>
      <c r="BT37" s="316">
        <v>0</v>
      </c>
      <c r="BU37" s="316">
        <v>0</v>
      </c>
      <c r="BV37" s="316">
        <v>0</v>
      </c>
      <c r="BW37" s="316">
        <v>0</v>
      </c>
      <c r="BX37" s="316">
        <v>0</v>
      </c>
      <c r="BY37" s="316">
        <v>0</v>
      </c>
      <c r="BZ37" s="316">
        <v>0</v>
      </c>
      <c r="CA37" s="316">
        <v>0</v>
      </c>
      <c r="CB37" s="316">
        <v>0</v>
      </c>
      <c r="CC37" s="269"/>
      <c r="CD37" s="269"/>
      <c r="CE37" s="269"/>
      <c r="CF37" s="269"/>
      <c r="CG37" s="269"/>
      <c r="CH37" s="269"/>
      <c r="CI37" s="269"/>
      <c r="CJ37" s="269"/>
      <c r="CK37" s="269"/>
      <c r="CL37" s="269"/>
    </row>
    <row r="38" spans="1:90" s="317" customFormat="1">
      <c r="A38" s="317" t="s">
        <v>12</v>
      </c>
      <c r="B38" s="318"/>
      <c r="C38" s="319"/>
      <c r="D38" s="320">
        <f>+D32/C32-1</f>
        <v>0.34046352713738259</v>
      </c>
      <c r="E38" s="320">
        <f>+E32/D32-1</f>
        <v>0.23919512005422172</v>
      </c>
      <c r="F38" s="320">
        <f>+F32/E32-1</f>
        <v>7.4936697965009902E-2</v>
      </c>
      <c r="G38" s="320">
        <f>+G32/F32-1</f>
        <v>-8.7104125238559149E-2</v>
      </c>
      <c r="H38" s="320">
        <f>+H32/G32-1</f>
        <v>6.3348667573071005E-3</v>
      </c>
      <c r="I38" s="321"/>
      <c r="J38" s="321"/>
      <c r="K38" s="321"/>
      <c r="L38" s="321"/>
      <c r="M38" s="320">
        <f>+M32/H32-1</f>
        <v>0.30160576702463926</v>
      </c>
      <c r="N38" s="321"/>
      <c r="O38" s="321"/>
      <c r="P38" s="321"/>
      <c r="Q38" s="321"/>
      <c r="R38" s="45">
        <f>+R32/M32-1</f>
        <v>-0.45627884881667968</v>
      </c>
      <c r="S38" s="321"/>
      <c r="T38" s="321"/>
      <c r="U38" s="321"/>
      <c r="V38" s="321"/>
      <c r="W38" s="45">
        <f>+W32/R32-1</f>
        <v>1.3254106731395905</v>
      </c>
      <c r="X38" s="321"/>
      <c r="Y38" s="321"/>
      <c r="Z38" s="321"/>
      <c r="AA38" s="322">
        <f>+AB34/W34-1</f>
        <v>-0.42716011095604833</v>
      </c>
      <c r="AB38" s="45">
        <f>+AB32/W32-1</f>
        <v>0.1579513016497236</v>
      </c>
      <c r="AC38" s="322"/>
      <c r="AD38" s="322"/>
      <c r="AE38" s="322"/>
      <c r="AF38" s="322"/>
      <c r="AG38" s="45">
        <f>+AG32/AB32-1</f>
        <v>0.19223285243277233</v>
      </c>
      <c r="AH38" s="322"/>
      <c r="AI38" s="322"/>
      <c r="AJ38" s="322"/>
      <c r="AK38" s="322"/>
      <c r="AL38" s="45">
        <f>+AL32/AG32-1</f>
        <v>0.6920204803089629</v>
      </c>
      <c r="AM38" s="323">
        <f>SUM(AM32:AN32)/SUM(AH32:AI32)-1</f>
        <v>-0.12710437229220339</v>
      </c>
      <c r="AN38" s="323">
        <f t="shared" ref="AN38:AP40" si="93">AN32/AM32-1</f>
        <v>-0.19159957563460883</v>
      </c>
      <c r="AO38" s="323">
        <f t="shared" si="93"/>
        <v>0.34674696840471797</v>
      </c>
      <c r="AP38" s="323">
        <f t="shared" si="93"/>
        <v>0.17177998077940337</v>
      </c>
      <c r="AQ38" s="45">
        <f>+AQ32/AL32-1</f>
        <v>-8.9515400855890492E-2</v>
      </c>
      <c r="AR38" s="20">
        <f>+AR32/AP32-1</f>
        <v>-0.10036051912153998</v>
      </c>
      <c r="AS38" s="20">
        <v>0.05</v>
      </c>
      <c r="AT38" s="45">
        <f>+AT32/AQ32-1</f>
        <v>0.27341814379386076</v>
      </c>
      <c r="AU38" s="314" t="e">
        <f>AU34/#REF!-1</f>
        <v>#REF!</v>
      </c>
      <c r="AV38" s="45"/>
      <c r="AW38" s="45"/>
      <c r="AX38" s="45"/>
      <c r="AY38" s="20"/>
      <c r="AZ38" s="629"/>
      <c r="BA38" s="629"/>
      <c r="BB38" s="629"/>
      <c r="BC38" s="629"/>
      <c r="BD38" s="20"/>
      <c r="BE38" s="629"/>
      <c r="BF38" s="629"/>
      <c r="BG38" s="629"/>
      <c r="BH38" s="629"/>
      <c r="BI38" s="20">
        <f>+BI32/BD32-1</f>
        <v>-6.4800410852967616E-3</v>
      </c>
      <c r="BJ38" s="629"/>
      <c r="BK38" s="629"/>
      <c r="BL38" s="636">
        <f>143692/BL34</f>
        <v>0.44770697084601702</v>
      </c>
      <c r="BM38" s="629"/>
      <c r="BN38" s="20">
        <f>+BN32/BI32-1</f>
        <v>-9.1246165393535916E-3</v>
      </c>
      <c r="BO38" s="20"/>
      <c r="BP38" s="668"/>
      <c r="BQ38" s="668"/>
      <c r="BR38" s="668">
        <f>+BR32/BN32-1</f>
        <v>2.2315167485273291E-2</v>
      </c>
      <c r="BS38" s="20">
        <f t="shared" ref="BS38:CB38" si="94">+BS32/BR32-1</f>
        <v>2.248291255070578E-2</v>
      </c>
      <c r="BT38" s="20">
        <f t="shared" si="94"/>
        <v>0</v>
      </c>
      <c r="BU38" s="20">
        <f t="shared" si="94"/>
        <v>0</v>
      </c>
      <c r="BV38" s="20">
        <f t="shared" si="94"/>
        <v>0</v>
      </c>
      <c r="BW38" s="20">
        <f t="shared" si="94"/>
        <v>0</v>
      </c>
      <c r="BX38" s="20">
        <f t="shared" si="94"/>
        <v>0</v>
      </c>
      <c r="BY38" s="20">
        <f t="shared" si="94"/>
        <v>0</v>
      </c>
      <c r="BZ38" s="20">
        <f t="shared" si="94"/>
        <v>0</v>
      </c>
      <c r="CA38" s="20">
        <f t="shared" si="94"/>
        <v>0</v>
      </c>
      <c r="CB38" s="20">
        <f t="shared" si="94"/>
        <v>0</v>
      </c>
      <c r="CC38" s="269"/>
      <c r="CD38" s="269"/>
      <c r="CE38" s="269"/>
      <c r="CF38" s="269"/>
      <c r="CG38" s="269"/>
      <c r="CH38" s="269"/>
      <c r="CI38" s="269"/>
      <c r="CJ38" s="780"/>
      <c r="CK38" s="780"/>
      <c r="CL38" s="780"/>
    </row>
    <row r="39" spans="1:90">
      <c r="A39" s="324" t="s">
        <v>59</v>
      </c>
      <c r="B39" s="73"/>
      <c r="C39" s="325">
        <f>+C32/C12</f>
        <v>1.017298484848485</v>
      </c>
      <c r="D39" s="325">
        <f>+D32/D12</f>
        <v>0.54546060606060609</v>
      </c>
      <c r="E39" s="325">
        <f>+E32/E12</f>
        <v>0.67593212121212121</v>
      </c>
      <c r="F39" s="325">
        <f>+F32/F12</f>
        <v>0.72658424242424247</v>
      </c>
      <c r="G39" s="325">
        <f>+G32/G12</f>
        <v>0.66329575757575754</v>
      </c>
      <c r="H39" s="325">
        <f t="shared" ref="H39:R39" si="95">+H33/H12</f>
        <v>0.66155333333333333</v>
      </c>
      <c r="I39" s="326">
        <f t="shared" si="95"/>
        <v>0</v>
      </c>
      <c r="J39" s="326">
        <f t="shared" si="95"/>
        <v>0</v>
      </c>
      <c r="K39" s="326">
        <f t="shared" si="95"/>
        <v>0</v>
      </c>
      <c r="L39" s="326" t="e">
        <f t="shared" si="95"/>
        <v>#DIV/0!</v>
      </c>
      <c r="M39" s="325">
        <f t="shared" si="95"/>
        <v>0.84367575757575752</v>
      </c>
      <c r="N39" s="186">
        <f t="shared" si="95"/>
        <v>0.84049866666666662</v>
      </c>
      <c r="O39" s="186">
        <f t="shared" si="95"/>
        <v>0.7899653333333333</v>
      </c>
      <c r="P39" s="186">
        <f t="shared" si="95"/>
        <v>0</v>
      </c>
      <c r="Q39" s="186">
        <f t="shared" si="95"/>
        <v>0</v>
      </c>
      <c r="R39" s="314">
        <f t="shared" si="95"/>
        <v>0.39193846153846151</v>
      </c>
      <c r="S39" s="186"/>
      <c r="T39" s="186"/>
      <c r="U39" s="186"/>
      <c r="V39" s="186"/>
      <c r="W39" s="314">
        <f>+W33/W12</f>
        <v>0.90858907788719789</v>
      </c>
      <c r="X39" s="186"/>
      <c r="Y39" s="186"/>
      <c r="Z39" s="186"/>
      <c r="AA39" s="322">
        <f>+AB33/W33-1</f>
        <v>0.26949152653708985</v>
      </c>
      <c r="AB39" s="314">
        <f>+AB33/AB12</f>
        <v>0.98727918263090675</v>
      </c>
      <c r="AC39" s="322"/>
      <c r="AD39" s="322"/>
      <c r="AE39" s="322"/>
      <c r="AF39" s="322"/>
      <c r="AG39" s="314"/>
      <c r="AH39" s="322">
        <f>+AH34/AH32</f>
        <v>0.11034238754603497</v>
      </c>
      <c r="AI39" s="322">
        <f>+AI34/AI32</f>
        <v>0.10251082071349242</v>
      </c>
      <c r="AJ39" s="322"/>
      <c r="AK39" s="322"/>
      <c r="AL39" s="314">
        <f>AL34/AL32</f>
        <v>0.1563255425839635</v>
      </c>
      <c r="AM39" s="323">
        <f>SUM(AM33:AN33)/SUM(AH33:AI33)-1</f>
        <v>-0.28692201963451591</v>
      </c>
      <c r="AN39" s="323">
        <f t="shared" si="93"/>
        <v>-0.15483549391529838</v>
      </c>
      <c r="AO39" s="323">
        <f t="shared" si="93"/>
        <v>-3.1419810847903129E-2</v>
      </c>
      <c r="AP39" s="323">
        <f t="shared" si="93"/>
        <v>0.10870335941020048</v>
      </c>
      <c r="AQ39" s="314"/>
      <c r="AR39" s="316"/>
      <c r="AS39" s="316"/>
      <c r="AT39" s="314"/>
      <c r="AU39" s="636">
        <f>IS!AV16/Assumptions!AU34*$A$3</f>
        <v>1552.4438975021737</v>
      </c>
      <c r="AV39" s="636">
        <f>IS!AW16/Assumptions!AV34*$A$3</f>
        <v>1148.6806504048152</v>
      </c>
      <c r="AW39" s="636">
        <f>IS!AX16/Assumptions!AW34*$A$3</f>
        <v>2566.1137190690329</v>
      </c>
      <c r="AX39" s="636">
        <f>IS!AY16/Assumptions!AX34*$A$3</f>
        <v>2239.7945678172005</v>
      </c>
      <c r="AY39" s="316" t="s">
        <v>615</v>
      </c>
      <c r="AZ39" s="636">
        <f>IS!BA16/Assumptions!AZ34*A3</f>
        <v>1845.3285338984281</v>
      </c>
      <c r="BA39" s="695">
        <f>AZ39*1.085</f>
        <v>2002.1814592797944</v>
      </c>
      <c r="BB39" s="695">
        <f>AVERAGE(AV39:AY39,BA39)</f>
        <v>1989.1925991427106</v>
      </c>
      <c r="BC39" s="695">
        <f>BA39</f>
        <v>2002.1814592797944</v>
      </c>
      <c r="BD39" s="316"/>
      <c r="BE39" s="695">
        <f>AVERAGE(AY39:BB39,BD39)</f>
        <v>1945.5675307736444</v>
      </c>
      <c r="BF39" s="695">
        <f>AVERAGE(AZ39:BC39,BE39)</f>
        <v>1956.8903164748742</v>
      </c>
      <c r="BG39" s="695">
        <f>AVERAGE(BA39:BD39,BF39)</f>
        <v>1987.6114585442936</v>
      </c>
      <c r="BH39" s="695">
        <f>AVERAGE(BB39:BE39,BG39)</f>
        <v>1981.1382619351109</v>
      </c>
      <c r="BI39" s="316"/>
      <c r="BJ39" s="695">
        <f>AVERAGE(BD39:BG39,BI39)</f>
        <v>1963.3564352642707</v>
      </c>
      <c r="BK39" s="695">
        <f>AVERAGE(BE39:BH39,BJ39)</f>
        <v>1966.9128005984385</v>
      </c>
      <c r="BL39" s="695">
        <f>AVERAGE(BF39:BH39,BJ39:BK39)</f>
        <v>1971.1818545633978</v>
      </c>
      <c r="BM39" s="695">
        <f>AVERAGE(BG39:BJ39,BL39)</f>
        <v>1975.8220025767682</v>
      </c>
      <c r="BN39" s="316"/>
      <c r="BO39" s="316">
        <f>BO32/BJ32-1</f>
        <v>-7.476720337454057E-3</v>
      </c>
      <c r="BP39" s="668"/>
      <c r="BQ39" s="668"/>
      <c r="BR39" s="668"/>
      <c r="BS39" s="316"/>
      <c r="BT39" s="316"/>
      <c r="BU39" s="316"/>
      <c r="BV39" s="316"/>
      <c r="BW39" s="316"/>
      <c r="BX39" s="316"/>
      <c r="BY39" s="316"/>
      <c r="BZ39" s="316"/>
      <c r="CA39" s="316"/>
      <c r="CB39" s="316"/>
      <c r="CC39" s="269"/>
      <c r="CD39" s="269"/>
      <c r="CE39" s="269"/>
      <c r="CF39" s="269"/>
      <c r="CG39" s="269"/>
      <c r="CH39" s="269"/>
      <c r="CI39" s="269"/>
      <c r="CJ39" s="269"/>
      <c r="CK39" s="269"/>
      <c r="CL39" s="269"/>
    </row>
    <row r="40" spans="1:90">
      <c r="A40" s="324"/>
      <c r="B40" s="73"/>
      <c r="C40" s="325"/>
      <c r="D40" s="325"/>
      <c r="E40" s="325"/>
      <c r="F40" s="325"/>
      <c r="G40" s="325"/>
      <c r="H40" s="325"/>
      <c r="I40" s="326"/>
      <c r="J40" s="326"/>
      <c r="K40" s="326"/>
      <c r="L40" s="326"/>
      <c r="M40" s="325"/>
      <c r="N40" s="186"/>
      <c r="O40" s="186"/>
      <c r="P40" s="186"/>
      <c r="Q40" s="186"/>
      <c r="R40" s="314"/>
      <c r="S40" s="186"/>
      <c r="T40" s="186"/>
      <c r="U40" s="186"/>
      <c r="V40" s="186"/>
      <c r="W40" s="314"/>
      <c r="X40" s="186"/>
      <c r="Y40" s="186"/>
      <c r="Z40" s="186"/>
      <c r="AA40" s="322"/>
      <c r="AB40" s="314"/>
      <c r="AC40" s="322"/>
      <c r="AD40" s="322"/>
      <c r="AE40" s="322"/>
      <c r="AF40" s="322"/>
      <c r="AG40" s="314"/>
      <c r="AH40" s="322"/>
      <c r="AI40" s="322">
        <f>SUM(AH34:AI34)/SUM(AH32:AI32)</f>
        <v>0.10636317370243309</v>
      </c>
      <c r="AJ40" s="322"/>
      <c r="AK40" s="322"/>
      <c r="AL40" s="314">
        <f>+AL32/AL13</f>
        <v>1.0030687040985549</v>
      </c>
      <c r="AM40" s="323">
        <f>SUM(AM34:AN34)/SUM(AH34:AI34)-1</f>
        <v>1.2156435938119792</v>
      </c>
      <c r="AN40" s="323">
        <f t="shared" si="93"/>
        <v>-0.28404823163472981</v>
      </c>
      <c r="AO40" s="323">
        <f t="shared" si="93"/>
        <v>1.4693280984332846</v>
      </c>
      <c r="AP40" s="323">
        <f t="shared" si="93"/>
        <v>0.24522452995760058</v>
      </c>
      <c r="AQ40" s="314">
        <f>+AQ32/AQ13</f>
        <v>0.91327860696517416</v>
      </c>
      <c r="AR40" s="316">
        <f>+AR32/AR13</f>
        <v>0.24885767003079839</v>
      </c>
      <c r="AS40" s="316">
        <f>+AS32/AS13</f>
        <v>0.27423446846244959</v>
      </c>
      <c r="AT40" s="314">
        <f>+AT32/AT13</f>
        <v>1.162985548448235</v>
      </c>
      <c r="AU40" s="314"/>
      <c r="AV40" s="314"/>
      <c r="AW40" s="314"/>
      <c r="AX40" s="314"/>
      <c r="AY40" s="316">
        <f>+AY32/AY13</f>
        <v>1.2211348258706469</v>
      </c>
      <c r="AZ40" s="629"/>
      <c r="BA40" s="629"/>
      <c r="BB40" s="629"/>
      <c r="BC40" s="800"/>
      <c r="BD40" s="316">
        <f>+BD32/BD13</f>
        <v>0.95213361762615489</v>
      </c>
      <c r="BE40" s="629"/>
      <c r="BF40" s="629"/>
      <c r="BG40" s="629"/>
      <c r="BH40" s="629"/>
      <c r="BI40" s="316">
        <f>+BI32/BI13</f>
        <v>0.94596375266524524</v>
      </c>
      <c r="BJ40" s="629"/>
      <c r="BK40" s="629"/>
      <c r="BL40" s="629"/>
      <c r="BM40" s="629"/>
      <c r="BN40" s="316">
        <f t="shared" ref="BN40:CB40" si="96">+BN32/BN13</f>
        <v>0.93733219616204699</v>
      </c>
      <c r="BO40" s="316"/>
      <c r="BP40" s="668"/>
      <c r="BQ40" s="668"/>
      <c r="BR40" s="668">
        <f t="shared" si="96"/>
        <v>0.95824892110874216</v>
      </c>
      <c r="BS40" s="316">
        <f t="shared" si="96"/>
        <v>0.97979314780383808</v>
      </c>
      <c r="BT40" s="316">
        <f t="shared" si="96"/>
        <v>0.97979314780383808</v>
      </c>
      <c r="BU40" s="316">
        <f t="shared" si="96"/>
        <v>0.97979314780383808</v>
      </c>
      <c r="BV40" s="316">
        <f t="shared" si="96"/>
        <v>0.97979314780383808</v>
      </c>
      <c r="BW40" s="316">
        <f t="shared" si="96"/>
        <v>0.97979314780383808</v>
      </c>
      <c r="BX40" s="316">
        <f t="shared" si="96"/>
        <v>0.97979314780383808</v>
      </c>
      <c r="BY40" s="316">
        <f t="shared" si="96"/>
        <v>0.97979314780383808</v>
      </c>
      <c r="BZ40" s="316">
        <f t="shared" si="96"/>
        <v>0.97979314780383808</v>
      </c>
      <c r="CA40" s="316">
        <f t="shared" si="96"/>
        <v>0.97979314780383808</v>
      </c>
      <c r="CB40" s="316">
        <f t="shared" si="96"/>
        <v>0.97979314780383808</v>
      </c>
      <c r="CC40" s="780"/>
      <c r="CD40" s="780"/>
      <c r="CE40" s="780"/>
      <c r="CF40" s="780"/>
      <c r="CG40" s="780"/>
      <c r="CH40" s="780"/>
      <c r="CI40" s="780"/>
      <c r="CJ40" s="269"/>
      <c r="CK40" s="269"/>
      <c r="CL40" s="269"/>
    </row>
    <row r="41" spans="1:90">
      <c r="B41" s="73"/>
      <c r="C41" s="11"/>
      <c r="D41" s="11"/>
      <c r="E41" s="11"/>
      <c r="F41" s="286"/>
      <c r="G41" s="26"/>
      <c r="H41" s="26"/>
      <c r="I41" s="74"/>
      <c r="J41" s="74"/>
      <c r="K41" s="74"/>
      <c r="L41" s="74"/>
      <c r="M41" s="26"/>
      <c r="N41" s="74"/>
      <c r="O41" s="74"/>
      <c r="P41" s="74"/>
      <c r="Q41" s="74"/>
      <c r="R41" s="26"/>
      <c r="S41" s="74"/>
      <c r="T41" s="74"/>
      <c r="U41" s="74"/>
      <c r="V41" s="74"/>
      <c r="W41" s="92"/>
      <c r="X41" s="134"/>
      <c r="Y41" s="134"/>
      <c r="Z41" s="134"/>
      <c r="AA41" s="134"/>
      <c r="AB41" s="92"/>
      <c r="AC41" s="134"/>
      <c r="AD41" s="134"/>
      <c r="AE41" s="134"/>
      <c r="AF41" s="134"/>
      <c r="AG41" s="134"/>
      <c r="AH41" s="134"/>
      <c r="AI41" s="134"/>
      <c r="AJ41" s="134"/>
      <c r="AK41" s="134"/>
      <c r="AL41" s="22"/>
      <c r="AM41" s="134"/>
      <c r="AN41" s="75"/>
      <c r="AO41" s="75"/>
      <c r="AP41" s="75"/>
      <c r="AR41" s="4"/>
      <c r="AS41" s="4"/>
      <c r="AY41" s="4"/>
      <c r="AZ41" s="622"/>
      <c r="BA41" s="622"/>
      <c r="BB41" s="622"/>
      <c r="BC41" s="622"/>
      <c r="BD41" s="4"/>
      <c r="BE41" s="622"/>
      <c r="BF41" s="622">
        <v>749233.1399999999</v>
      </c>
      <c r="BG41" s="622"/>
      <c r="BH41" s="622"/>
      <c r="BI41" s="4"/>
      <c r="BJ41" s="622"/>
      <c r="BK41" s="649">
        <f>SUM(BJ32:BK32)/SUM(BE32:BF32)-1</f>
        <v>-3.8116330211833471E-2</v>
      </c>
      <c r="BL41" s="622"/>
      <c r="BM41" s="622"/>
      <c r="BN41" s="4"/>
      <c r="BO41" s="4"/>
      <c r="BP41" s="668"/>
      <c r="BQ41" s="668"/>
      <c r="BR41" s="668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269"/>
      <c r="CD41" s="269"/>
      <c r="CE41" s="269"/>
      <c r="CF41" s="269"/>
      <c r="CG41" s="269"/>
      <c r="CH41" s="269"/>
      <c r="CI41" s="269"/>
      <c r="CJ41" s="269"/>
      <c r="CK41" s="269"/>
      <c r="CL41" s="269"/>
    </row>
    <row r="42" spans="1:90">
      <c r="B42" s="73"/>
      <c r="C42" s="11"/>
      <c r="D42" s="11"/>
      <c r="E42" s="11"/>
      <c r="F42" s="286"/>
      <c r="G42" s="26"/>
      <c r="H42" s="26"/>
      <c r="I42" s="287"/>
      <c r="J42" s="287"/>
      <c r="K42" s="287"/>
      <c r="L42" s="74"/>
      <c r="M42" s="26"/>
      <c r="N42" s="74"/>
      <c r="O42" s="74"/>
      <c r="P42" s="74"/>
      <c r="Q42" s="74"/>
      <c r="R42" s="26"/>
      <c r="S42" s="74"/>
      <c r="T42" s="74"/>
      <c r="U42" s="74"/>
      <c r="V42" s="74"/>
      <c r="W42" s="26"/>
      <c r="X42" s="74"/>
      <c r="Y42" s="74"/>
      <c r="Z42" s="74"/>
      <c r="AA42" s="74"/>
      <c r="AB42" s="26"/>
      <c r="AC42" s="74"/>
      <c r="AD42" s="74"/>
      <c r="AE42" s="74"/>
      <c r="AF42" s="74"/>
      <c r="AG42" s="26"/>
      <c r="AH42" s="74"/>
      <c r="AI42" s="75"/>
      <c r="AJ42" s="74"/>
      <c r="AK42" s="74"/>
      <c r="AL42" s="26"/>
      <c r="AM42" s="88"/>
      <c r="AN42" s="75"/>
      <c r="AO42" s="74"/>
      <c r="AP42" s="74"/>
      <c r="AQ42" s="26"/>
      <c r="AR42" s="15"/>
      <c r="AS42" s="15"/>
      <c r="AT42" s="26"/>
      <c r="AU42" s="26"/>
      <c r="AV42" s="26"/>
      <c r="AW42" s="26"/>
      <c r="AX42" s="26"/>
      <c r="AY42" s="15"/>
      <c r="AZ42" s="622"/>
      <c r="BA42" s="622"/>
      <c r="BB42" s="622"/>
      <c r="BC42" s="622"/>
      <c r="BD42" s="15"/>
      <c r="BE42" s="622"/>
      <c r="BF42" s="622">
        <v>197647</v>
      </c>
      <c r="BG42" s="622"/>
      <c r="BH42" s="622"/>
      <c r="BI42" s="15"/>
      <c r="BJ42" s="622"/>
      <c r="BK42" s="649">
        <f t="shared" ref="BK42:BK43" si="97">SUM(BJ33:BK33)/SUM(BE33:BF33)-1</f>
        <v>-7.5436768113839037E-3</v>
      </c>
      <c r="BL42" s="622"/>
      <c r="BM42" s="622"/>
      <c r="BN42" s="15"/>
      <c r="BO42" s="20">
        <f>BO32/BM32-1</f>
        <v>-0.11525198638023459</v>
      </c>
      <c r="BP42" s="668"/>
      <c r="BQ42" s="668"/>
      <c r="BR42" s="668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269"/>
      <c r="CD42" s="269"/>
      <c r="CE42" s="269"/>
      <c r="CF42" s="269"/>
      <c r="CG42" s="269"/>
      <c r="CH42" s="269"/>
      <c r="CI42" s="269"/>
      <c r="CJ42" s="269"/>
      <c r="CK42" s="269"/>
      <c r="CL42" s="269"/>
    </row>
    <row r="43" spans="1:90">
      <c r="B43" s="73"/>
      <c r="C43" s="301"/>
      <c r="D43" s="301"/>
      <c r="E43" s="301"/>
      <c r="F43" s="301"/>
      <c r="G43" s="302"/>
      <c r="H43" s="302"/>
      <c r="I43" s="303"/>
      <c r="J43" s="303"/>
      <c r="K43" s="303"/>
      <c r="L43" s="74"/>
      <c r="M43" s="302"/>
      <c r="N43" s="186"/>
      <c r="O43" s="186"/>
      <c r="P43" s="186"/>
      <c r="Q43" s="186"/>
      <c r="R43" s="45"/>
      <c r="S43" s="186"/>
      <c r="T43" s="186"/>
      <c r="U43" s="186"/>
      <c r="V43" s="186"/>
      <c r="W43" s="45"/>
      <c r="X43" s="186"/>
      <c r="Y43" s="186"/>
      <c r="Z43" s="186"/>
      <c r="AA43" s="186"/>
      <c r="AB43" s="20">
        <f>+AB34/AB32</f>
        <v>7.920613291151303E-2</v>
      </c>
      <c r="AC43" s="186"/>
      <c r="AD43" s="186"/>
      <c r="AE43" s="186"/>
      <c r="AF43" s="186"/>
      <c r="AG43" s="20">
        <f>+AG34/AG32</f>
        <v>6.1334225310573524E-2</v>
      </c>
      <c r="AH43" s="186"/>
      <c r="AI43" s="186"/>
      <c r="AJ43" s="186"/>
      <c r="AK43" s="186"/>
      <c r="AL43" s="45">
        <f>+AL34/AL32</f>
        <v>0.1563255425839635</v>
      </c>
      <c r="AM43" s="186"/>
      <c r="AN43" s="186"/>
      <c r="AO43" s="186"/>
      <c r="AP43" s="186"/>
      <c r="AQ43" s="45"/>
      <c r="AR43" s="20"/>
      <c r="AS43" s="20"/>
      <c r="AT43" s="45"/>
      <c r="AU43" s="45"/>
      <c r="AV43" s="45"/>
      <c r="AW43" s="45"/>
      <c r="AX43" s="45"/>
      <c r="AY43" s="20"/>
      <c r="AZ43" s="629"/>
      <c r="BA43" s="629"/>
      <c r="BB43" s="629"/>
      <c r="BC43" s="800">
        <f>BC42-BB42</f>
        <v>0</v>
      </c>
      <c r="BD43" s="20"/>
      <c r="BE43" s="629"/>
      <c r="BF43" s="629"/>
      <c r="BG43" s="629"/>
      <c r="BH43" s="629"/>
      <c r="BI43" s="20"/>
      <c r="BJ43" s="629"/>
      <c r="BK43" s="649">
        <f t="shared" si="97"/>
        <v>-0.11219135391417845</v>
      </c>
      <c r="BL43" s="629"/>
      <c r="BM43" s="629"/>
      <c r="BN43" s="20"/>
      <c r="BO43" s="20">
        <f>BO32/BJ32-1</f>
        <v>-7.476720337454057E-3</v>
      </c>
      <c r="BP43" s="668"/>
      <c r="BQ43" s="668"/>
      <c r="BR43" s="668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69"/>
      <c r="CD43" s="269"/>
      <c r="CE43" s="269"/>
      <c r="CF43" s="269"/>
      <c r="CG43" s="269"/>
      <c r="CH43" s="269"/>
      <c r="CI43" s="269"/>
      <c r="CJ43" s="269"/>
      <c r="CK43" s="269"/>
      <c r="CL43" s="269"/>
    </row>
    <row r="44" spans="1:90" s="27" customFormat="1">
      <c r="A44" s="266" t="s">
        <v>60</v>
      </c>
      <c r="B44" s="327"/>
      <c r="G44" s="328"/>
      <c r="H44" s="328"/>
      <c r="I44" s="329"/>
      <c r="J44" s="329"/>
      <c r="K44" s="329"/>
      <c r="L44" s="329"/>
      <c r="M44" s="328"/>
      <c r="N44" s="329"/>
      <c r="O44" s="329"/>
      <c r="P44" s="329"/>
      <c r="Q44" s="329"/>
      <c r="R44" s="328"/>
      <c r="S44" s="329"/>
      <c r="T44" s="329"/>
      <c r="U44" s="329"/>
      <c r="V44" s="329"/>
      <c r="W44" s="328"/>
      <c r="X44" s="329"/>
      <c r="Y44" s="329"/>
      <c r="Z44" s="329"/>
      <c r="AA44" s="329"/>
      <c r="AB44" s="328"/>
      <c r="AC44" s="329"/>
      <c r="AD44" s="329"/>
      <c r="AE44" s="329"/>
      <c r="AF44" s="329"/>
      <c r="AG44" s="328"/>
      <c r="AH44" s="329"/>
      <c r="AI44" s="329"/>
      <c r="AJ44" s="329"/>
      <c r="AK44" s="329"/>
      <c r="AL44" s="328"/>
      <c r="AM44" s="329"/>
      <c r="AN44" s="75"/>
      <c r="AO44" s="329"/>
      <c r="AP44" s="329"/>
      <c r="AQ44" s="328"/>
      <c r="AR44" s="330"/>
      <c r="AS44" s="330"/>
      <c r="AT44" s="328"/>
      <c r="AU44" s="328"/>
      <c r="AV44" s="328"/>
      <c r="AW44" s="328"/>
      <c r="AX44" s="328"/>
      <c r="AY44" s="330"/>
      <c r="AZ44" s="673"/>
      <c r="BA44" s="673"/>
      <c r="BB44" s="673"/>
      <c r="BC44" s="673"/>
      <c r="BD44" s="330"/>
      <c r="BE44" s="673"/>
      <c r="BF44" s="673"/>
      <c r="BG44" s="673"/>
      <c r="BH44" s="673"/>
      <c r="BI44" s="20">
        <v>0.04</v>
      </c>
      <c r="BJ44" s="673"/>
      <c r="BK44" s="673"/>
      <c r="BL44" s="673"/>
      <c r="BM44" s="673"/>
      <c r="BN44" s="20"/>
      <c r="BO44" s="20">
        <f>BO34/BJ34-1</f>
        <v>-0.24960620166014758</v>
      </c>
      <c r="BP44" s="668"/>
      <c r="BQ44" s="668"/>
      <c r="BR44" s="668">
        <v>0.03</v>
      </c>
      <c r="BS44" s="20">
        <f>BR44-1%</f>
        <v>1.9999999999999997E-2</v>
      </c>
      <c r="BT44" s="20">
        <f>BS44-1%</f>
        <v>9.9999999999999967E-3</v>
      </c>
      <c r="BU44" s="330"/>
      <c r="BV44" s="330"/>
      <c r="BW44" s="330"/>
      <c r="BX44" s="330"/>
      <c r="BY44" s="330"/>
      <c r="BZ44" s="330"/>
      <c r="CA44" s="330"/>
      <c r="CB44" s="330"/>
      <c r="CC44" s="781"/>
      <c r="CD44" s="713"/>
      <c r="CE44" s="781"/>
      <c r="CF44" s="713"/>
      <c r="CG44" s="713"/>
      <c r="CH44" s="713"/>
      <c r="CI44" s="713"/>
      <c r="CJ44" s="713"/>
      <c r="CK44" s="713"/>
      <c r="CL44" s="713"/>
    </row>
    <row r="45" spans="1:90" s="11" customFormat="1">
      <c r="B45" s="338"/>
      <c r="G45" s="26"/>
      <c r="H45" s="26"/>
      <c r="I45" s="74"/>
      <c r="J45" s="74"/>
      <c r="K45" s="74"/>
      <c r="L45" s="74"/>
      <c r="M45" s="26"/>
      <c r="N45" s="74"/>
      <c r="O45" s="74"/>
      <c r="P45" s="74"/>
      <c r="Q45" s="74"/>
      <c r="R45" s="15">
        <f>IS!R11/Assumptions!R34*$A$3</f>
        <v>1816.3103768419548</v>
      </c>
      <c r="S45" s="74"/>
      <c r="T45" s="74"/>
      <c r="U45" s="74"/>
      <c r="V45" s="74"/>
      <c r="W45" s="15">
        <f>IS!W11/Assumptions!W34*$A$3</f>
        <v>2209.9929360279802</v>
      </c>
      <c r="X45" s="74">
        <f>X7*X46</f>
        <v>3540</v>
      </c>
      <c r="Y45" s="74">
        <f>Y7*Y46</f>
        <v>3660</v>
      </c>
      <c r="Z45" s="74">
        <f>Z7*Z46</f>
        <v>3420</v>
      </c>
      <c r="AA45" s="74">
        <f>AA7*AA46</f>
        <v>4200</v>
      </c>
      <c r="AB45" s="15">
        <f>IS!AB11/Assumptions!AB34*$A$3</f>
        <v>3656.2400370546375</v>
      </c>
      <c r="AC45" s="74">
        <f>AC7*AC46</f>
        <v>3600</v>
      </c>
      <c r="AD45" s="74">
        <f>AD7*AD46</f>
        <v>2734.2</v>
      </c>
      <c r="AE45" s="74">
        <f>AE7*AE46</f>
        <v>3463.3199999999997</v>
      </c>
      <c r="AF45" s="74">
        <f>AF7*AF46</f>
        <v>3281.04</v>
      </c>
      <c r="AG45" s="15">
        <f>IS!AG11/Assumptions!AG34*$A$3</f>
        <v>3334.8710230197362</v>
      </c>
      <c r="AH45" s="74">
        <f>AH7*AH46</f>
        <v>3660</v>
      </c>
      <c r="AI45" s="74">
        <f>AI7*AI46</f>
        <v>4323.7650000000003</v>
      </c>
      <c r="AJ45" s="74">
        <f>AJ7*AJ46</f>
        <v>4375</v>
      </c>
      <c r="AK45" s="74">
        <f>AK7*AK46</f>
        <v>3641.7414000000003</v>
      </c>
      <c r="AL45" s="15">
        <f>IS!AL11/Assumptions!AL34*$A$3</f>
        <v>4141.4330500472142</v>
      </c>
      <c r="AM45" s="74">
        <f>AM7*AM46</f>
        <v>5184.7516000000005</v>
      </c>
      <c r="AN45" s="74">
        <f>AN7*AN46</f>
        <v>5769.2001600000003</v>
      </c>
      <c r="AO45" s="74">
        <f>AO7*AO46</f>
        <v>4711.1777300000003</v>
      </c>
      <c r="AP45" s="74">
        <f>AP7*AP46</f>
        <v>4444.0340999999999</v>
      </c>
      <c r="AQ45" s="15">
        <f>IS!AQ11/Assumptions!AQ34*$A$3</f>
        <v>5666.9284278506084</v>
      </c>
      <c r="AR45" s="15"/>
      <c r="AS45" s="15"/>
      <c r="AT45" s="15">
        <f>IS!AU11/Assumptions!AT34*$A$3</f>
        <v>4594.0521748203018</v>
      </c>
      <c r="AU45" s="26"/>
      <c r="AV45" s="26"/>
      <c r="AW45" s="26"/>
      <c r="AX45" s="26"/>
      <c r="AY45" s="15">
        <f>IS!AZ11/Assumptions!AY34*$A$3</f>
        <v>4942.4592592141071</v>
      </c>
      <c r="AZ45" s="622"/>
      <c r="BA45" s="622"/>
      <c r="BB45" s="622"/>
      <c r="BC45" s="622"/>
      <c r="BD45" s="15">
        <f>IS!BE11/Assumptions!BD34*$A$3</f>
        <v>5701.6096733582144</v>
      </c>
      <c r="BE45" s="622">
        <f>BE7*BE46</f>
        <v>5670</v>
      </c>
      <c r="BF45" s="622">
        <f>BF7*BF46</f>
        <v>6553.84</v>
      </c>
      <c r="BG45" s="622">
        <f>BG7*BG46</f>
        <v>6651.7192000000005</v>
      </c>
      <c r="BH45" s="622">
        <f>BH7*BH46</f>
        <v>6698</v>
      </c>
      <c r="BI45" s="15">
        <f t="shared" ref="BI45:CB45" si="98">BI7*BI46</f>
        <v>5807.07</v>
      </c>
      <c r="BJ45" s="622">
        <f>BJ7*BJ46</f>
        <v>6688.5</v>
      </c>
      <c r="BK45" s="622">
        <f>BK7*BK46</f>
        <v>7272.6</v>
      </c>
      <c r="BL45" s="622">
        <f>BL7*BL46</f>
        <v>7082.88</v>
      </c>
      <c r="BM45" s="622">
        <f>BM7*BM46</f>
        <v>6683.72</v>
      </c>
      <c r="BN45" s="15">
        <f t="shared" si="98"/>
        <v>6699.875</v>
      </c>
      <c r="BO45" s="1336">
        <f>BO7*BO46</f>
        <v>6834</v>
      </c>
      <c r="BP45" s="668"/>
      <c r="BQ45" s="668">
        <f>BQ7*BQ46</f>
        <v>6834</v>
      </c>
      <c r="BR45" s="668">
        <f t="shared" si="98"/>
        <v>7245.9148125000011</v>
      </c>
      <c r="BS45" s="15">
        <f t="shared" si="98"/>
        <v>7760.3747641875007</v>
      </c>
      <c r="BT45" s="15">
        <f t="shared" si="98"/>
        <v>8229.877437420846</v>
      </c>
      <c r="BU45" s="15">
        <f t="shared" si="98"/>
        <v>8641.3713092918879</v>
      </c>
      <c r="BV45" s="15">
        <f t="shared" si="98"/>
        <v>9073.4398747564828</v>
      </c>
      <c r="BW45" s="15">
        <f t="shared" si="98"/>
        <v>9527.1118684943067</v>
      </c>
      <c r="BX45" s="15">
        <f t="shared" si="98"/>
        <v>10003.467461919023</v>
      </c>
      <c r="BY45" s="15">
        <f t="shared" si="98"/>
        <v>10503.640835014972</v>
      </c>
      <c r="BZ45" s="15">
        <f t="shared" si="98"/>
        <v>11028.822876765722</v>
      </c>
      <c r="CA45" s="15">
        <f t="shared" si="98"/>
        <v>11580.264020604009</v>
      </c>
      <c r="CB45" s="15">
        <f t="shared" si="98"/>
        <v>12159.277221634211</v>
      </c>
      <c r="CC45" s="782"/>
      <c r="CD45" s="593"/>
      <c r="CE45" s="782"/>
      <c r="CF45" s="593"/>
      <c r="CG45" s="593"/>
      <c r="CH45" s="593"/>
      <c r="CI45" s="593"/>
      <c r="CJ45" s="593"/>
      <c r="CK45" s="593"/>
      <c r="CL45" s="593"/>
    </row>
    <row r="46" spans="1:90" s="100" customFormat="1">
      <c r="A46" s="36" t="s">
        <v>360</v>
      </c>
      <c r="B46" s="341" t="s">
        <v>362</v>
      </c>
      <c r="G46" s="101"/>
      <c r="H46" s="101"/>
      <c r="I46" s="39"/>
      <c r="J46" s="39"/>
      <c r="K46" s="39"/>
      <c r="L46" s="39"/>
      <c r="M46" s="101"/>
      <c r="N46" s="39"/>
      <c r="O46" s="39"/>
      <c r="P46" s="39"/>
      <c r="Q46" s="39"/>
      <c r="R46" s="265">
        <f>R45/R7</f>
        <v>31.588006553773127</v>
      </c>
      <c r="S46" s="39"/>
      <c r="T46" s="39"/>
      <c r="U46" s="39"/>
      <c r="V46" s="39"/>
      <c r="W46" s="265">
        <f>W45/W7</f>
        <v>37.681038977459167</v>
      </c>
      <c r="X46" s="39">
        <v>59</v>
      </c>
      <c r="Y46" s="39">
        <v>61</v>
      </c>
      <c r="Z46" s="39">
        <v>57</v>
      </c>
      <c r="AA46" s="39">
        <v>70</v>
      </c>
      <c r="AB46" s="265">
        <f>AB45/AB7</f>
        <v>61.117630962249258</v>
      </c>
      <c r="AC46" s="39">
        <v>60</v>
      </c>
      <c r="AD46" s="39">
        <v>45</v>
      </c>
      <c r="AE46" s="39">
        <v>57</v>
      </c>
      <c r="AF46" s="39">
        <v>54</v>
      </c>
      <c r="AG46" s="265">
        <f>AG45/AG7</f>
        <v>54.670016770815344</v>
      </c>
      <c r="AH46" s="39">
        <v>60</v>
      </c>
      <c r="AI46" s="39">
        <v>70.5</v>
      </c>
      <c r="AJ46" s="39">
        <v>70</v>
      </c>
      <c r="AK46" s="38">
        <v>55</v>
      </c>
      <c r="AL46" s="265">
        <f>AL45/AL7</f>
        <v>66.164148373799279</v>
      </c>
      <c r="AM46" s="38">
        <v>70</v>
      </c>
      <c r="AN46" s="38">
        <v>72</v>
      </c>
      <c r="AO46" s="38">
        <v>59</v>
      </c>
      <c r="AP46" s="38">
        <v>55</v>
      </c>
      <c r="AQ46" s="265">
        <f>AQ45/AQ7</f>
        <v>72.428550947065858</v>
      </c>
      <c r="AR46" s="25"/>
      <c r="AS46" s="265"/>
      <c r="AT46" s="265">
        <f>AT45/AT7</f>
        <v>55.920197037583023</v>
      </c>
      <c r="AU46" s="25"/>
      <c r="AV46" s="25"/>
      <c r="AW46" s="25"/>
      <c r="AX46" s="25"/>
      <c r="AY46" s="265">
        <f>AY45/AY7</f>
        <v>57.769311931306341</v>
      </c>
      <c r="AZ46" s="626"/>
      <c r="BA46" s="626"/>
      <c r="BB46" s="626"/>
      <c r="BC46" s="626"/>
      <c r="BD46" s="265">
        <f>BD45/BD7</f>
        <v>63.469091273545907</v>
      </c>
      <c r="BE46" s="626">
        <v>60</v>
      </c>
      <c r="BF46" s="626">
        <v>68</v>
      </c>
      <c r="BG46" s="626">
        <f>BF46</f>
        <v>68</v>
      </c>
      <c r="BH46" s="626">
        <f>BG46</f>
        <v>68</v>
      </c>
      <c r="BI46" s="265">
        <v>60</v>
      </c>
      <c r="BJ46" s="626">
        <v>65</v>
      </c>
      <c r="BK46" s="626">
        <v>68</v>
      </c>
      <c r="BL46" s="626">
        <f>BK46</f>
        <v>68</v>
      </c>
      <c r="BM46" s="626">
        <f>BL46</f>
        <v>68</v>
      </c>
      <c r="BN46" s="265">
        <v>65</v>
      </c>
      <c r="BO46" s="265">
        <f>BM46</f>
        <v>68</v>
      </c>
      <c r="BP46" s="668"/>
      <c r="BQ46" s="668">
        <v>67</v>
      </c>
      <c r="BR46" s="668">
        <f>BN46*(1+BR44)</f>
        <v>66.95</v>
      </c>
      <c r="BS46" s="265">
        <f>BR46*(1+BS44)</f>
        <v>68.289000000000001</v>
      </c>
      <c r="BT46" s="265">
        <f>BS46*(1+BT44)</f>
        <v>68.971890000000002</v>
      </c>
      <c r="BU46" s="265">
        <f>BT46*(1+BU44)</f>
        <v>68.971890000000002</v>
      </c>
      <c r="BV46" s="265">
        <f t="shared" ref="BV46:CB46" si="99">BU46</f>
        <v>68.971890000000002</v>
      </c>
      <c r="BW46" s="265">
        <f t="shared" si="99"/>
        <v>68.971890000000002</v>
      </c>
      <c r="BX46" s="265">
        <f t="shared" si="99"/>
        <v>68.971890000000002</v>
      </c>
      <c r="BY46" s="265">
        <f t="shared" si="99"/>
        <v>68.971890000000002</v>
      </c>
      <c r="BZ46" s="265">
        <f t="shared" si="99"/>
        <v>68.971890000000002</v>
      </c>
      <c r="CA46" s="265">
        <f t="shared" si="99"/>
        <v>68.971890000000002</v>
      </c>
      <c r="CB46" s="265">
        <f t="shared" si="99"/>
        <v>68.971890000000002</v>
      </c>
      <c r="CC46" s="759"/>
      <c r="CD46" s="749"/>
      <c r="CE46" s="759"/>
      <c r="CF46" s="749"/>
      <c r="CG46" s="749"/>
      <c r="CH46" s="749"/>
      <c r="CI46" s="749"/>
      <c r="CJ46" s="749"/>
      <c r="CK46" s="749"/>
      <c r="CL46" s="749"/>
    </row>
    <row r="47" spans="1:90" s="342" customFormat="1">
      <c r="B47" s="343"/>
      <c r="G47" s="344"/>
      <c r="H47" s="344"/>
      <c r="I47" s="345"/>
      <c r="J47" s="345"/>
      <c r="K47" s="345"/>
      <c r="L47" s="345"/>
      <c r="M47" s="344"/>
      <c r="N47" s="345"/>
      <c r="O47" s="345"/>
      <c r="P47" s="345"/>
      <c r="Q47" s="345"/>
      <c r="R47" s="344"/>
      <c r="S47" s="345"/>
      <c r="T47" s="345"/>
      <c r="U47" s="345"/>
      <c r="V47" s="345"/>
      <c r="W47" s="344"/>
      <c r="X47" s="346"/>
      <c r="Y47" s="345"/>
      <c r="Z47" s="345"/>
      <c r="AA47" s="345"/>
      <c r="AB47" s="344"/>
      <c r="AC47" s="345"/>
      <c r="AD47" s="345"/>
      <c r="AE47" s="345"/>
      <c r="AF47" s="345"/>
      <c r="AG47" s="344"/>
      <c r="AH47" s="345"/>
      <c r="AI47" s="345"/>
      <c r="AJ47" s="345"/>
      <c r="AK47" s="345"/>
      <c r="AL47" s="344"/>
      <c r="AM47" s="345"/>
      <c r="AN47" s="345"/>
      <c r="AO47" s="345"/>
      <c r="AP47" s="345"/>
      <c r="AQ47" s="344"/>
      <c r="AR47" s="347"/>
      <c r="AS47" s="347"/>
      <c r="AT47" s="344"/>
      <c r="AU47" s="344"/>
      <c r="AV47" s="344"/>
      <c r="AW47" s="344"/>
      <c r="AX47" s="344"/>
      <c r="AY47" s="347"/>
      <c r="AZ47" s="674"/>
      <c r="BA47" s="674"/>
      <c r="BB47" s="674"/>
      <c r="BC47" s="674"/>
      <c r="BD47" s="347">
        <f>BD46/AY46-1</f>
        <v>9.8664483818280413E-2</v>
      </c>
      <c r="BE47" s="674"/>
      <c r="BF47" s="674"/>
      <c r="BG47" s="674"/>
      <c r="BH47" s="674"/>
      <c r="BI47" s="347"/>
      <c r="BJ47" s="674"/>
      <c r="BK47" s="674"/>
      <c r="BL47" s="674"/>
      <c r="BM47" s="674"/>
      <c r="BN47" s="347"/>
      <c r="BO47" s="347">
        <f>BO45/BJ45-1</f>
        <v>2.1753756447633998E-2</v>
      </c>
      <c r="BP47" s="668"/>
      <c r="BQ47" s="668"/>
      <c r="BR47" s="668"/>
      <c r="BS47" s="347"/>
      <c r="BT47" s="347"/>
      <c r="BU47" s="347"/>
      <c r="BV47" s="347"/>
      <c r="BW47" s="347"/>
      <c r="BX47" s="347"/>
      <c r="BY47" s="347"/>
      <c r="BZ47" s="347"/>
      <c r="CA47" s="347"/>
      <c r="CB47" s="347"/>
      <c r="CC47" s="783"/>
      <c r="CD47" s="783"/>
      <c r="CE47" s="783"/>
      <c r="CF47" s="783"/>
      <c r="CG47" s="783"/>
      <c r="CH47" s="783"/>
      <c r="CI47" s="783"/>
      <c r="CJ47" s="783"/>
      <c r="CK47" s="783"/>
      <c r="CL47" s="783"/>
    </row>
    <row r="48" spans="1:90" s="23" customFormat="1">
      <c r="B48" s="340"/>
      <c r="G48" s="348"/>
      <c r="H48" s="348"/>
      <c r="I48" s="349"/>
      <c r="J48" s="349"/>
      <c r="K48" s="349"/>
      <c r="L48" s="349"/>
      <c r="M48" s="348"/>
      <c r="N48" s="349"/>
      <c r="O48" s="349"/>
      <c r="P48" s="349"/>
      <c r="Q48" s="349"/>
      <c r="R48" s="348"/>
      <c r="S48" s="349"/>
      <c r="T48" s="349"/>
      <c r="U48" s="349"/>
      <c r="V48" s="349"/>
      <c r="W48" s="348"/>
      <c r="X48" s="88"/>
      <c r="Y48" s="88"/>
      <c r="Z48" s="88"/>
      <c r="AA48" s="88"/>
      <c r="AB48" s="348"/>
      <c r="AC48" s="88"/>
      <c r="AD48" s="88"/>
      <c r="AE48" s="88"/>
      <c r="AF48" s="88"/>
      <c r="AG48" s="348"/>
      <c r="AH48" s="88"/>
      <c r="AI48" s="88"/>
      <c r="AJ48" s="88"/>
      <c r="AK48" s="88"/>
      <c r="AL48" s="348"/>
      <c r="AM48" s="88"/>
      <c r="AN48" s="88"/>
      <c r="AO48" s="88"/>
      <c r="AP48" s="88"/>
      <c r="AQ48" s="348"/>
      <c r="AR48" s="350"/>
      <c r="AS48" s="350"/>
      <c r="AT48" s="348"/>
      <c r="AU48" s="348"/>
      <c r="AV48" s="348"/>
      <c r="AW48" s="348"/>
      <c r="AX48" s="348"/>
      <c r="AY48" s="350"/>
      <c r="AZ48" s="675"/>
      <c r="BA48" s="675"/>
      <c r="BB48" s="675"/>
      <c r="BC48" s="675"/>
      <c r="BD48" s="350"/>
      <c r="BE48" s="675"/>
      <c r="BF48" s="675"/>
      <c r="BG48" s="675"/>
      <c r="BH48" s="675"/>
      <c r="BI48" s="350"/>
      <c r="BJ48" s="675"/>
      <c r="BK48" s="675"/>
      <c r="BL48" s="675"/>
      <c r="BM48" s="675"/>
      <c r="BN48" s="350"/>
      <c r="BO48" s="350"/>
      <c r="BP48" s="668"/>
      <c r="BQ48" s="668"/>
      <c r="BR48" s="668"/>
      <c r="BS48" s="350"/>
      <c r="BT48" s="350"/>
      <c r="BU48" s="350"/>
      <c r="BV48" s="350"/>
      <c r="BW48" s="350"/>
      <c r="BX48" s="350"/>
      <c r="BY48" s="350"/>
      <c r="BZ48" s="350"/>
      <c r="CA48" s="350"/>
      <c r="CB48" s="350"/>
      <c r="CC48" s="784"/>
      <c r="CD48" s="256"/>
      <c r="CE48" s="784"/>
      <c r="CF48" s="256"/>
      <c r="CG48" s="256"/>
      <c r="CH48" s="256"/>
      <c r="CI48" s="256"/>
      <c r="CJ48" s="256"/>
      <c r="CK48" s="256"/>
      <c r="CL48" s="256"/>
    </row>
    <row r="49" spans="1:90" s="23" customFormat="1">
      <c r="B49" s="340"/>
      <c r="G49" s="348"/>
      <c r="H49" s="348"/>
      <c r="I49" s="349"/>
      <c r="J49" s="349"/>
      <c r="K49" s="349"/>
      <c r="L49" s="349"/>
      <c r="M49" s="348"/>
      <c r="N49" s="349"/>
      <c r="O49" s="349"/>
      <c r="P49" s="349"/>
      <c r="Q49" s="349"/>
      <c r="R49" s="348"/>
      <c r="S49" s="349"/>
      <c r="T49" s="349"/>
      <c r="U49" s="349"/>
      <c r="V49" s="349"/>
      <c r="W49" s="348"/>
      <c r="X49" s="88"/>
      <c r="Y49" s="88"/>
      <c r="Z49" s="88"/>
      <c r="AA49" s="88"/>
      <c r="AB49" s="348"/>
      <c r="AC49" s="88"/>
      <c r="AD49" s="88"/>
      <c r="AE49" s="88"/>
      <c r="AF49" s="88"/>
      <c r="AG49" s="348"/>
      <c r="AH49" s="88"/>
      <c r="AI49" s="88"/>
      <c r="AJ49" s="88"/>
      <c r="AK49" s="88"/>
      <c r="AL49" s="348"/>
      <c r="AM49" s="88"/>
      <c r="AN49" s="88"/>
      <c r="AO49" s="88"/>
      <c r="AP49" s="88"/>
      <c r="AQ49" s="348"/>
      <c r="AR49" s="350"/>
      <c r="AS49" s="350"/>
      <c r="AT49" s="348"/>
      <c r="AU49" s="348"/>
      <c r="AV49" s="348"/>
      <c r="AW49" s="348"/>
      <c r="AX49" s="348"/>
      <c r="AY49" s="350"/>
      <c r="AZ49" s="675"/>
      <c r="BA49" s="675"/>
      <c r="BB49" s="675"/>
      <c r="BC49" s="675"/>
      <c r="BD49" s="350"/>
      <c r="BE49" s="675"/>
      <c r="BF49" s="675"/>
      <c r="BG49" s="675"/>
      <c r="BH49" s="675"/>
      <c r="BI49" s="350"/>
      <c r="BJ49" s="675"/>
      <c r="BK49" s="675"/>
      <c r="BL49" s="675"/>
      <c r="BM49" s="675"/>
      <c r="BN49" s="350"/>
      <c r="BO49" s="350"/>
      <c r="BP49" s="668"/>
      <c r="BQ49" s="668"/>
      <c r="BR49" s="668"/>
      <c r="BS49" s="350"/>
      <c r="BT49" s="350"/>
      <c r="BU49" s="350"/>
      <c r="BV49" s="350"/>
      <c r="BW49" s="350"/>
      <c r="BX49" s="350"/>
      <c r="BY49" s="350"/>
      <c r="BZ49" s="350"/>
      <c r="CA49" s="350"/>
      <c r="CB49" s="350"/>
      <c r="CC49" s="784"/>
      <c r="CD49" s="256"/>
      <c r="CE49" s="784"/>
      <c r="CF49" s="256"/>
      <c r="CG49" s="256"/>
      <c r="CH49" s="256"/>
      <c r="CI49" s="256"/>
      <c r="CJ49" s="256"/>
      <c r="CK49" s="256"/>
      <c r="CL49" s="256"/>
    </row>
    <row r="50" spans="1:90" s="36" customFormat="1">
      <c r="B50" s="332"/>
      <c r="G50" s="92"/>
      <c r="H50" s="92"/>
      <c r="I50" s="88"/>
      <c r="J50" s="88"/>
      <c r="K50" s="88"/>
      <c r="L50" s="88"/>
      <c r="M50" s="92"/>
      <c r="N50" s="88"/>
      <c r="O50" s="88"/>
      <c r="P50" s="88"/>
      <c r="Q50" s="88"/>
      <c r="R50" s="92"/>
      <c r="S50" s="88"/>
      <c r="T50" s="88"/>
      <c r="U50" s="88"/>
      <c r="V50" s="88"/>
      <c r="W50" s="92"/>
      <c r="X50" s="88"/>
      <c r="Y50" s="88"/>
      <c r="Z50" s="88"/>
      <c r="AA50" s="88"/>
      <c r="AB50" s="92"/>
      <c r="AC50" s="88"/>
      <c r="AD50" s="88"/>
      <c r="AE50" s="88"/>
      <c r="AF50" s="88"/>
      <c r="AG50" s="92"/>
      <c r="AH50" s="88"/>
      <c r="AI50" s="88"/>
      <c r="AJ50" s="88"/>
      <c r="AK50" s="88"/>
      <c r="AL50" s="92"/>
      <c r="AM50" s="88"/>
      <c r="AN50" s="88"/>
      <c r="AO50" s="88"/>
      <c r="AP50" s="88"/>
      <c r="AQ50" s="92"/>
      <c r="AR50" s="333"/>
      <c r="AS50" s="333"/>
      <c r="AT50" s="92"/>
      <c r="AU50" s="92"/>
      <c r="AV50" s="92"/>
      <c r="AW50" s="92"/>
      <c r="AX50" s="92"/>
      <c r="AY50" s="333"/>
      <c r="AZ50" s="636"/>
      <c r="BA50" s="636"/>
      <c r="BB50" s="636"/>
      <c r="BC50" s="636"/>
      <c r="BD50" s="333"/>
      <c r="BE50" s="636"/>
      <c r="BF50" s="636"/>
      <c r="BG50" s="636"/>
      <c r="BH50" s="636"/>
      <c r="BI50" s="333"/>
      <c r="BJ50" s="636">
        <v>504.06</v>
      </c>
      <c r="BK50" s="636">
        <v>508.05</v>
      </c>
      <c r="BL50" s="636">
        <v>512.53</v>
      </c>
      <c r="BM50" s="636">
        <v>513.15</v>
      </c>
      <c r="BN50" s="333"/>
      <c r="BO50" s="333">
        <v>519</v>
      </c>
      <c r="BP50" s="668"/>
      <c r="BQ50" s="668">
        <v>518</v>
      </c>
      <c r="BR50" s="668"/>
      <c r="BS50" s="333"/>
      <c r="BT50" s="333"/>
      <c r="BU50" s="333"/>
      <c r="BV50" s="333"/>
      <c r="BW50" s="333"/>
      <c r="BX50" s="333"/>
      <c r="BY50" s="333"/>
      <c r="BZ50" s="333"/>
      <c r="CA50" s="333"/>
      <c r="CB50" s="333"/>
      <c r="CC50" s="740"/>
      <c r="CD50" s="213"/>
      <c r="CE50" s="740"/>
      <c r="CF50" s="213"/>
      <c r="CG50" s="213"/>
      <c r="CH50" s="213"/>
      <c r="CI50" s="213"/>
      <c r="CJ50" s="213"/>
      <c r="CK50" s="213"/>
      <c r="CL50" s="213"/>
    </row>
    <row r="51" spans="1:90" s="36" customFormat="1">
      <c r="A51" s="23"/>
      <c r="B51" s="340"/>
      <c r="G51" s="92"/>
      <c r="H51" s="92"/>
      <c r="I51" s="88"/>
      <c r="J51" s="88"/>
      <c r="K51" s="88"/>
      <c r="L51" s="88"/>
      <c r="M51" s="92"/>
      <c r="N51" s="88"/>
      <c r="O51" s="88"/>
      <c r="P51" s="88"/>
      <c r="Q51" s="88"/>
      <c r="R51" s="92"/>
      <c r="S51" s="88"/>
      <c r="T51" s="88"/>
      <c r="U51" s="88"/>
      <c r="V51" s="88"/>
      <c r="W51" s="92"/>
      <c r="X51" s="88"/>
      <c r="Y51" s="88"/>
      <c r="Z51" s="88"/>
      <c r="AA51" s="88"/>
      <c r="AB51" s="92"/>
      <c r="AC51" s="88"/>
      <c r="AD51" s="88"/>
      <c r="AE51" s="88"/>
      <c r="AF51" s="88"/>
      <c r="AG51" s="92"/>
      <c r="AH51" s="88"/>
      <c r="AI51" s="88"/>
      <c r="AJ51" s="88"/>
      <c r="AK51" s="88"/>
      <c r="AL51" s="92"/>
      <c r="AM51" s="88"/>
      <c r="AN51" s="88"/>
      <c r="AO51" s="88"/>
      <c r="AP51" s="88"/>
      <c r="AQ51" s="92"/>
      <c r="AR51" s="333"/>
      <c r="AS51" s="333"/>
      <c r="AT51" s="92"/>
      <c r="AU51" s="92"/>
      <c r="AV51" s="92"/>
      <c r="AW51" s="92"/>
      <c r="AX51" s="92"/>
      <c r="AY51" s="333"/>
      <c r="AZ51" s="636"/>
      <c r="BA51" s="636"/>
      <c r="BB51" s="636"/>
      <c r="BC51" s="636"/>
      <c r="BD51" s="333"/>
      <c r="BE51" s="636"/>
      <c r="BF51" s="636"/>
      <c r="BG51" s="636"/>
      <c r="BH51" s="636"/>
      <c r="BI51" s="333"/>
      <c r="BJ51" s="636">
        <f>BJ53/BJ50</f>
        <v>0.82331468475975078</v>
      </c>
      <c r="BK51" s="636">
        <f>BK53/BK50</f>
        <v>0.86211987009152635</v>
      </c>
      <c r="BL51" s="636">
        <f>BL53/BL50</f>
        <v>0.86238854310967172</v>
      </c>
      <c r="BM51" s="636"/>
      <c r="BN51" s="333"/>
      <c r="BO51" s="333"/>
      <c r="BP51" s="668"/>
      <c r="BQ51" s="668"/>
      <c r="BR51" s="668"/>
      <c r="BS51" s="333"/>
      <c r="BT51" s="1209">
        <f>RATE(4,,-BI53,BT53)</f>
        <v>6.4027810653952577E-2</v>
      </c>
      <c r="BU51" s="333"/>
      <c r="BV51" s="333"/>
      <c r="BW51" s="333"/>
      <c r="BX51" s="333"/>
      <c r="BY51" s="333"/>
      <c r="BZ51" s="333"/>
      <c r="CA51" s="333"/>
      <c r="CB51" s="333"/>
      <c r="CC51" s="740"/>
      <c r="CD51" s="213"/>
      <c r="CE51" s="740"/>
      <c r="CF51" s="213"/>
      <c r="CG51" s="213"/>
      <c r="CH51" s="213"/>
      <c r="CI51" s="213"/>
      <c r="CJ51" s="213"/>
      <c r="CK51" s="213"/>
      <c r="CL51" s="213"/>
    </row>
    <row r="52" spans="1:90" s="353" customFormat="1">
      <c r="B52" s="354"/>
      <c r="C52" s="11"/>
      <c r="D52" s="11"/>
      <c r="E52" s="11"/>
      <c r="F52" s="11"/>
      <c r="G52" s="26"/>
      <c r="H52" s="26"/>
      <c r="I52" s="74"/>
      <c r="J52" s="74"/>
      <c r="K52" s="74"/>
      <c r="L52" s="74"/>
      <c r="M52" s="45"/>
      <c r="N52" s="75"/>
      <c r="O52" s="75"/>
      <c r="P52" s="75"/>
      <c r="Q52" s="75"/>
      <c r="R52" s="355"/>
      <c r="S52" s="74"/>
      <c r="T52" s="74"/>
      <c r="U52" s="74"/>
      <c r="V52" s="74"/>
      <c r="W52" s="314"/>
      <c r="X52" s="74"/>
      <c r="Y52" s="74"/>
      <c r="Z52" s="74"/>
      <c r="AA52" s="74"/>
      <c r="AB52" s="356"/>
      <c r="AC52" s="75"/>
      <c r="AD52" s="75"/>
      <c r="AE52" s="75"/>
      <c r="AF52" s="75"/>
      <c r="AG52" s="356"/>
      <c r="AH52" s="134"/>
      <c r="AI52" s="134"/>
      <c r="AJ52" s="75"/>
      <c r="AK52" s="75"/>
      <c r="AL52" s="45"/>
      <c r="AM52" s="75"/>
      <c r="AN52" s="75"/>
      <c r="AO52" s="75"/>
      <c r="AP52" s="75"/>
      <c r="AQ52" s="92">
        <v>10</v>
      </c>
      <c r="AR52" s="20"/>
      <c r="AS52" s="20"/>
      <c r="AT52" s="45"/>
      <c r="AU52" s="45"/>
      <c r="AV52" s="26">
        <v>6100</v>
      </c>
      <c r="AW52" s="45"/>
      <c r="AX52" s="45"/>
      <c r="AY52" s="20"/>
      <c r="AZ52" s="629"/>
      <c r="BA52" s="629"/>
      <c r="BB52" s="629"/>
      <c r="BC52" s="629"/>
      <c r="BD52" s="20">
        <f>BD53/AY53-1</f>
        <v>0.2336551386671204</v>
      </c>
      <c r="BE52" s="629"/>
      <c r="BF52" s="629"/>
      <c r="BG52" s="629"/>
      <c r="BH52" s="629"/>
      <c r="BI52" s="20">
        <f>BI53/BD53-1</f>
        <v>7.0480146306913793E-2</v>
      </c>
      <c r="BJ52" s="629"/>
      <c r="BK52" s="629"/>
      <c r="BL52" s="800">
        <f>BL53-BK53</f>
        <v>4</v>
      </c>
      <c r="BM52" s="629"/>
      <c r="BN52" s="20">
        <f>BN53/BI53-1</f>
        <v>0.13949362392127695</v>
      </c>
      <c r="BO52" s="20">
        <f>BO53/BJ53-1</f>
        <v>7.8505190057637675E-2</v>
      </c>
      <c r="BP52" s="668"/>
      <c r="BQ52" s="668"/>
      <c r="BR52" s="668">
        <v>0.05</v>
      </c>
      <c r="BS52" s="20">
        <f>BR52</f>
        <v>0.05</v>
      </c>
      <c r="BT52" s="20">
        <f t="shared" ref="BT52:CB52" si="100">BS52</f>
        <v>0.05</v>
      </c>
      <c r="BU52" s="20">
        <f t="shared" si="100"/>
        <v>0.05</v>
      </c>
      <c r="BV52" s="20">
        <f t="shared" si="100"/>
        <v>0.05</v>
      </c>
      <c r="BW52" s="20">
        <f t="shared" si="100"/>
        <v>0.05</v>
      </c>
      <c r="BX52" s="20">
        <f t="shared" si="100"/>
        <v>0.05</v>
      </c>
      <c r="BY52" s="20">
        <f t="shared" si="100"/>
        <v>0.05</v>
      </c>
      <c r="BZ52" s="20">
        <f t="shared" si="100"/>
        <v>0.05</v>
      </c>
      <c r="CA52" s="20">
        <f t="shared" si="100"/>
        <v>0.05</v>
      </c>
      <c r="CB52" s="20">
        <f t="shared" si="100"/>
        <v>0.05</v>
      </c>
      <c r="CC52" s="782"/>
      <c r="CD52" s="785"/>
      <c r="CE52" s="782"/>
      <c r="CF52" s="786"/>
      <c r="CG52" s="785"/>
      <c r="CH52" s="785"/>
      <c r="CI52" s="785"/>
      <c r="CJ52" s="785"/>
      <c r="CK52" s="785"/>
      <c r="CL52" s="785"/>
    </row>
    <row r="53" spans="1:90" s="36" customFormat="1">
      <c r="A53" s="102"/>
      <c r="B53" s="109" t="s">
        <v>61</v>
      </c>
      <c r="F53" s="131"/>
      <c r="G53" s="357">
        <f>+G54/20</f>
        <v>193.86054760525494</v>
      </c>
      <c r="H53" s="357">
        <f>+H54/20</f>
        <v>205.67012623183456</v>
      </c>
      <c r="I53" s="358">
        <f>+I54/20</f>
        <v>188.75</v>
      </c>
      <c r="J53" s="358">
        <f>+J54/20</f>
        <v>164.5</v>
      </c>
      <c r="K53" s="358">
        <f>+K54/20</f>
        <v>185</v>
      </c>
      <c r="L53" s="358"/>
      <c r="M53" s="357">
        <f t="shared" ref="M53:R53" si="101">+M54/20</f>
        <v>182.53896190192268</v>
      </c>
      <c r="N53" s="88">
        <f t="shared" si="101"/>
        <v>202.5</v>
      </c>
      <c r="O53" s="88">
        <f t="shared" si="101"/>
        <v>203.75</v>
      </c>
      <c r="P53" s="88">
        <f t="shared" si="101"/>
        <v>202.5</v>
      </c>
      <c r="Q53" s="88">
        <f t="shared" si="101"/>
        <v>204.52500000000001</v>
      </c>
      <c r="R53" s="92">
        <f t="shared" si="101"/>
        <v>440.97001426178883</v>
      </c>
      <c r="S53" s="88"/>
      <c r="T53" s="88"/>
      <c r="U53" s="88"/>
      <c r="V53" s="88"/>
      <c r="W53" s="92">
        <f>+W54/20</f>
        <v>221.06597667671039</v>
      </c>
      <c r="X53" s="88">
        <v>251.5</v>
      </c>
      <c r="Y53" s="88">
        <v>255.2</v>
      </c>
      <c r="Z53" s="88">
        <v>253.2</v>
      </c>
      <c r="AA53" s="88">
        <v>300</v>
      </c>
      <c r="AB53" s="92">
        <f>+AB54/20</f>
        <v>267.72545675538481</v>
      </c>
      <c r="AC53" s="88">
        <v>235.7</v>
      </c>
      <c r="AD53" s="88">
        <v>183</v>
      </c>
      <c r="AE53" s="88">
        <v>189.5</v>
      </c>
      <c r="AF53" s="88">
        <v>173</v>
      </c>
      <c r="AG53" s="92">
        <f>+AG54/20</f>
        <v>189.18588794671729</v>
      </c>
      <c r="AH53" s="88">
        <v>177.05</v>
      </c>
      <c r="AI53" s="88">
        <f>177.05+15</f>
        <v>192.05</v>
      </c>
      <c r="AJ53" s="88">
        <f>+AI53+15</f>
        <v>207.05</v>
      </c>
      <c r="AK53" s="88">
        <v>270</v>
      </c>
      <c r="AL53" s="26">
        <f>AL54/20</f>
        <v>205.55367212026167</v>
      </c>
      <c r="AM53" s="74">
        <v>321</v>
      </c>
      <c r="AN53" s="74">
        <v>330</v>
      </c>
      <c r="AO53" s="74">
        <v>311</v>
      </c>
      <c r="AP53" s="74">
        <v>305</v>
      </c>
      <c r="AQ53" s="26">
        <f>AQ54/20</f>
        <v>310.6695241980633</v>
      </c>
      <c r="AR53" s="265">
        <v>265</v>
      </c>
      <c r="AS53" s="265">
        <v>270</v>
      </c>
      <c r="AT53" s="26">
        <v>255</v>
      </c>
      <c r="AU53" s="26"/>
      <c r="AW53" s="26">
        <f>'[35]July-June-11'!$L$172</f>
        <v>316.55759465074487</v>
      </c>
      <c r="AX53" s="26">
        <v>330</v>
      </c>
      <c r="AY53" s="265">
        <f>AY54/20</f>
        <v>296.89007775810569</v>
      </c>
      <c r="AZ53" s="622">
        <v>370</v>
      </c>
      <c r="BA53" s="622">
        <v>360</v>
      </c>
      <c r="BB53" s="622">
        <v>381.5</v>
      </c>
      <c r="BC53" s="622">
        <v>380</v>
      </c>
      <c r="BD53" s="265">
        <f>BD54/20</f>
        <v>366.25997004556802</v>
      </c>
      <c r="BE53" s="622">
        <v>380</v>
      </c>
      <c r="BF53" s="622">
        <v>395</v>
      </c>
      <c r="BG53" s="622">
        <v>400</v>
      </c>
      <c r="BH53" s="622">
        <f>BG53</f>
        <v>400</v>
      </c>
      <c r="BI53" s="265">
        <f>BI54/20</f>
        <v>392.07402632074553</v>
      </c>
      <c r="BJ53" s="622">
        <v>415</v>
      </c>
      <c r="BK53" s="622">
        <v>438</v>
      </c>
      <c r="BL53" s="622">
        <v>442</v>
      </c>
      <c r="BM53" s="622">
        <f>BM50*BL51</f>
        <v>442.53468089672805</v>
      </c>
      <c r="BN53" s="265">
        <f>BN54/20</f>
        <v>446.76585309763243</v>
      </c>
      <c r="BO53" s="265">
        <f>BO50*BL51</f>
        <v>447.5796538739196</v>
      </c>
      <c r="BP53" s="668"/>
      <c r="BQ53" s="668">
        <f>BQ50*BL51</f>
        <v>446.71726533080994</v>
      </c>
      <c r="BR53" s="668">
        <f>BN53*(1+BR62)</f>
        <v>464.63648722153772</v>
      </c>
      <c r="BS53" s="265">
        <f t="shared" ref="BS53:CB53" si="102">BR53*(1+BS62)</f>
        <v>483.22194671039927</v>
      </c>
      <c r="BT53" s="265">
        <f t="shared" si="102"/>
        <v>502.55082457881525</v>
      </c>
      <c r="BU53" s="265">
        <f t="shared" si="102"/>
        <v>522.65285756196783</v>
      </c>
      <c r="BV53" s="265">
        <f t="shared" si="102"/>
        <v>543.55897186444656</v>
      </c>
      <c r="BW53" s="265">
        <f t="shared" si="102"/>
        <v>565.30133073902448</v>
      </c>
      <c r="BX53" s="265">
        <f t="shared" si="102"/>
        <v>587.91338396858544</v>
      </c>
      <c r="BY53" s="265">
        <f t="shared" si="102"/>
        <v>611.42991932732889</v>
      </c>
      <c r="BZ53" s="265">
        <f t="shared" si="102"/>
        <v>635.88711610042208</v>
      </c>
      <c r="CA53" s="265">
        <f t="shared" si="102"/>
        <v>661.322600744439</v>
      </c>
      <c r="CB53" s="265">
        <f t="shared" si="102"/>
        <v>687.77550477421653</v>
      </c>
      <c r="CC53" s="213"/>
      <c r="CD53" s="213"/>
      <c r="CE53" s="213"/>
      <c r="CF53" s="213"/>
      <c r="CG53" s="213"/>
      <c r="CH53" s="213"/>
      <c r="CI53" s="213"/>
      <c r="CJ53" s="213"/>
      <c r="CK53" s="213"/>
      <c r="CL53" s="213"/>
    </row>
    <row r="54" spans="1:90">
      <c r="A54" s="1" t="s">
        <v>62</v>
      </c>
      <c r="B54" s="73" t="s">
        <v>63</v>
      </c>
      <c r="C54" s="18">
        <f>IS!C6*1000000/C32</f>
        <v>3718.149823433127</v>
      </c>
      <c r="D54" s="18">
        <f>IS!D6*1000000/D32</f>
        <v>2459.098232241864</v>
      </c>
      <c r="E54" s="18">
        <f>IS!E6*1000000/E32</f>
        <v>3503.5506523875447</v>
      </c>
      <c r="F54" s="18">
        <f>4513.379*1000000/1157426</f>
        <v>3899.4968144831723</v>
      </c>
      <c r="G54" s="25">
        <f>IS!G6*1000000/G32</f>
        <v>3877.2109521050988</v>
      </c>
      <c r="H54" s="25">
        <f>IS!H6*1000000/H33</f>
        <v>4113.4025246366909</v>
      </c>
      <c r="I54" s="38">
        <v>3775</v>
      </c>
      <c r="J54" s="38">
        <v>3290</v>
      </c>
      <c r="K54" s="359">
        <v>3700</v>
      </c>
      <c r="L54" s="38"/>
      <c r="M54" s="25">
        <f>IS!M6*1000000/M33</f>
        <v>3650.7792380384535</v>
      </c>
      <c r="N54" s="38">
        <v>4050</v>
      </c>
      <c r="O54" s="38">
        <v>4075</v>
      </c>
      <c r="P54" s="38">
        <v>4050</v>
      </c>
      <c r="Q54" s="38">
        <f>P54*(1+Q62)</f>
        <v>4090.5</v>
      </c>
      <c r="R54" s="25">
        <f>IS!R6*$A$3/R33</f>
        <v>8819.4002852357771</v>
      </c>
      <c r="S54" s="38"/>
      <c r="T54" s="38"/>
      <c r="U54" s="38"/>
      <c r="V54" s="38"/>
      <c r="W54" s="25">
        <f>IS!W6*$A$3/W33</f>
        <v>4421.3195335342079</v>
      </c>
      <c r="X54" s="38">
        <f>+X53*20</f>
        <v>5030</v>
      </c>
      <c r="Y54" s="38">
        <f>+Y53*20</f>
        <v>5104</v>
      </c>
      <c r="Z54" s="38">
        <f>+Z53*20</f>
        <v>5064</v>
      </c>
      <c r="AA54" s="38">
        <f>+AA53*20</f>
        <v>6000</v>
      </c>
      <c r="AB54" s="25">
        <f>IS!AB6*$A$3/AB33</f>
        <v>5354.5091351076962</v>
      </c>
      <c r="AC54" s="38">
        <f>+AC53*20</f>
        <v>4714</v>
      </c>
      <c r="AD54" s="38">
        <f>+AD53*20</f>
        <v>3660</v>
      </c>
      <c r="AE54" s="38">
        <f>+AE53*20</f>
        <v>3790</v>
      </c>
      <c r="AF54" s="38">
        <f>+AF53*20</f>
        <v>3460</v>
      </c>
      <c r="AG54" s="25">
        <f>IS!AG6*$A$3/AG33</f>
        <v>3783.7177589343455</v>
      </c>
      <c r="AH54" s="38">
        <f>+AH53*20</f>
        <v>3541</v>
      </c>
      <c r="AI54" s="38">
        <f>+AI53*20</f>
        <v>3841</v>
      </c>
      <c r="AJ54" s="38">
        <f>+AJ53*20</f>
        <v>4141</v>
      </c>
      <c r="AK54" s="38">
        <f>+AK53*20</f>
        <v>5400</v>
      </c>
      <c r="AL54" s="25">
        <f>IS!AL6*$A$3/AL33</f>
        <v>4111.0734424052334</v>
      </c>
      <c r="AM54" s="38">
        <f>+AM53*20</f>
        <v>6420</v>
      </c>
      <c r="AN54" s="38">
        <f>+AN53*20</f>
        <v>6600</v>
      </c>
      <c r="AO54" s="38">
        <f>+AO53*20</f>
        <v>6220</v>
      </c>
      <c r="AP54" s="38">
        <f>+AP53*20</f>
        <v>6100</v>
      </c>
      <c r="AQ54" s="25">
        <f>IS!AQ6*$A$3/AQ33</f>
        <v>6213.390483961266</v>
      </c>
      <c r="AR54" s="265">
        <f>+AR53*20</f>
        <v>5300</v>
      </c>
      <c r="AS54" s="265">
        <f>+AS53*20</f>
        <v>5400</v>
      </c>
      <c r="AT54" s="25">
        <f>+AT53*20</f>
        <v>5100</v>
      </c>
      <c r="AU54" s="25"/>
      <c r="AV54" s="25"/>
      <c r="AW54" s="25">
        <f>AW53*20</f>
        <v>6331.1518930148977</v>
      </c>
      <c r="AX54" s="25">
        <f>AX53*20</f>
        <v>6600</v>
      </c>
      <c r="AY54" s="265">
        <f>IS!AZ6/Assumptions!AY33*$A$3</f>
        <v>5937.8015551621138</v>
      </c>
      <c r="AZ54" s="626">
        <f>AZ53*20</f>
        <v>7400</v>
      </c>
      <c r="BA54" s="626">
        <f>BA53*20</f>
        <v>7200</v>
      </c>
      <c r="BB54" s="626">
        <f>BB53*20</f>
        <v>7630</v>
      </c>
      <c r="BC54" s="626">
        <f>BC53*20</f>
        <v>7600</v>
      </c>
      <c r="BD54" s="265">
        <f>IS!BE6/Assumptions!BD33*$A$3</f>
        <v>7325.1994009113605</v>
      </c>
      <c r="BE54" s="626">
        <f>BE53*20</f>
        <v>7600</v>
      </c>
      <c r="BF54" s="626">
        <f>BF53*20</f>
        <v>7900</v>
      </c>
      <c r="BG54" s="626">
        <f>BG53*20</f>
        <v>8000</v>
      </c>
      <c r="BH54" s="626">
        <f>BH53*20</f>
        <v>8000</v>
      </c>
      <c r="BI54" s="265">
        <f>IS!BJ6/Assumptions!BI33*$A$3</f>
        <v>7841.4805264149109</v>
      </c>
      <c r="BJ54" s="626">
        <f>BJ53*20</f>
        <v>8300</v>
      </c>
      <c r="BK54" s="626">
        <f>BK53*20</f>
        <v>8760</v>
      </c>
      <c r="BL54" s="626">
        <f>BL53*20</f>
        <v>8840</v>
      </c>
      <c r="BM54" s="626">
        <f>BM53*20</f>
        <v>8850.6936179345612</v>
      </c>
      <c r="BN54" s="265">
        <f>IS!BP6/Assumptions!BN33*$A$3</f>
        <v>8935.3170619526481</v>
      </c>
      <c r="BO54" s="265">
        <f>BO53*20</f>
        <v>8951.5930774783919</v>
      </c>
      <c r="BP54" s="668"/>
      <c r="BQ54" s="668">
        <f>BQ53*20</f>
        <v>8934.3453066161983</v>
      </c>
      <c r="BR54" s="668">
        <f t="shared" ref="BR54:CB54" si="103">+BR53*20</f>
        <v>9292.7297444307551</v>
      </c>
      <c r="BS54" s="265">
        <f t="shared" si="103"/>
        <v>9664.4389342079849</v>
      </c>
      <c r="BT54" s="265">
        <f t="shared" si="103"/>
        <v>10051.016491576305</v>
      </c>
      <c r="BU54" s="265">
        <f t="shared" si="103"/>
        <v>10453.057151239356</v>
      </c>
      <c r="BV54" s="265">
        <f t="shared" si="103"/>
        <v>10871.179437288931</v>
      </c>
      <c r="BW54" s="265">
        <f t="shared" si="103"/>
        <v>11306.02661478049</v>
      </c>
      <c r="BX54" s="265">
        <f t="shared" si="103"/>
        <v>11758.267679371709</v>
      </c>
      <c r="BY54" s="265">
        <f t="shared" si="103"/>
        <v>12228.598386546579</v>
      </c>
      <c r="BZ54" s="265">
        <f t="shared" si="103"/>
        <v>12717.742322008442</v>
      </c>
      <c r="CA54" s="265">
        <f t="shared" si="103"/>
        <v>13226.45201488878</v>
      </c>
      <c r="CB54" s="265">
        <f t="shared" si="103"/>
        <v>13755.510095484331</v>
      </c>
      <c r="CC54" s="269"/>
      <c r="CD54" s="269"/>
      <c r="CE54" s="269"/>
      <c r="CF54" s="269"/>
      <c r="CG54" s="269"/>
      <c r="CH54" s="269"/>
      <c r="CI54" s="269"/>
      <c r="CJ54" s="269"/>
      <c r="CK54" s="269"/>
      <c r="CL54" s="269"/>
    </row>
    <row r="55" spans="1:90">
      <c r="A55" s="1" t="s">
        <v>64</v>
      </c>
      <c r="B55" s="73"/>
      <c r="C55" s="11">
        <f>IS!C7*1000000/C32</f>
        <v>534.83304712272695</v>
      </c>
      <c r="D55" s="11">
        <f>IS!D7*1000000/D32</f>
        <v>0</v>
      </c>
      <c r="E55" s="11">
        <f>IS!E7*1000000/E32</f>
        <v>0</v>
      </c>
      <c r="F55" s="11">
        <f>IS!F7*1000000/F32</f>
        <v>0</v>
      </c>
      <c r="G55" s="26">
        <f>IS!G7*1000000/G32</f>
        <v>432.57361312381335</v>
      </c>
      <c r="H55" s="26">
        <f>IS!H7*1000000/H33</f>
        <v>591.62595287674651</v>
      </c>
      <c r="I55" s="74" t="e">
        <f>IS!I7*1000000/I33</f>
        <v>#DIV/0!</v>
      </c>
      <c r="J55" s="74" t="e">
        <f>IS!J7*1000000/J33</f>
        <v>#DIV/0!</v>
      </c>
      <c r="K55" s="360">
        <v>625</v>
      </c>
      <c r="L55" s="74">
        <f>4100-4100/(1.18)</f>
        <v>625.42372881355914</v>
      </c>
      <c r="M55" s="26">
        <f>IS!M7*1000000/M33</f>
        <v>522.80963891772296</v>
      </c>
      <c r="N55" s="74">
        <f>+IS!N7*1000000/Assumptions!N33</f>
        <v>573.60515021459253</v>
      </c>
      <c r="O55" s="74">
        <f>+IS!O7*1000000/Assumptions!O33</f>
        <v>577.14592274678125</v>
      </c>
      <c r="P55" s="74" t="e">
        <f>+IS!P7*1000000/Assumptions!P33</f>
        <v>#DIV/0!</v>
      </c>
      <c r="Q55" s="74" t="e">
        <f>+IS!Q7*1000000/Assumptions!Q33</f>
        <v>#DIV/0!</v>
      </c>
      <c r="R55" s="26">
        <f>+IS!R7*1000000/Assumptions!R33</f>
        <v>1253.6259616894331</v>
      </c>
      <c r="S55" s="74"/>
      <c r="T55" s="74"/>
      <c r="U55" s="74"/>
      <c r="V55" s="74"/>
      <c r="W55" s="26">
        <f>+IS!W7*$A$3/Assumptions!W33</f>
        <v>576.69339523799204</v>
      </c>
      <c r="X55" s="74">
        <f>+X54*X56</f>
        <v>655.91199999999992</v>
      </c>
      <c r="Y55" s="74">
        <f>+Y54*Y56</f>
        <v>665.56159999999988</v>
      </c>
      <c r="Z55" s="74">
        <f>+Z54*Z56</f>
        <v>660.34559999999999</v>
      </c>
      <c r="AA55" s="74">
        <f>+AA54*AA56</f>
        <v>782.4</v>
      </c>
      <c r="AB55" s="26">
        <f>+IS!AB7*$A$3/Assumptions!AB33</f>
        <v>698.4144149924532</v>
      </c>
      <c r="AC55" s="74">
        <f>+AC54*AC56</f>
        <v>615.17700000000002</v>
      </c>
      <c r="AD55" s="74">
        <f>+AD54*AD56</f>
        <v>477.63</v>
      </c>
      <c r="AE55" s="74">
        <f>+AE54*AE56</f>
        <v>494.59500000000003</v>
      </c>
      <c r="AF55" s="74">
        <f>+AF54*AF56</f>
        <v>451.53000000000003</v>
      </c>
      <c r="AG55" s="26">
        <f>+IS!AG7*$A$3/Assumptions!AG33</f>
        <v>493.52847738170806</v>
      </c>
      <c r="AH55" s="74">
        <f t="shared" ref="AH55:BI55" si="104">+AH54*AH56</f>
        <v>462.10050000000001</v>
      </c>
      <c r="AI55" s="74">
        <f t="shared" si="104"/>
        <v>501.25050000000005</v>
      </c>
      <c r="AJ55" s="74">
        <f t="shared" si="104"/>
        <v>540.40049999999997</v>
      </c>
      <c r="AK55" s="74">
        <f t="shared" si="104"/>
        <v>704.7</v>
      </c>
      <c r="AL55" s="26">
        <f>+IS!AL7*$A$3/Assumptions!AL33</f>
        <v>532.64598365433233</v>
      </c>
      <c r="AM55" s="74">
        <f t="shared" si="104"/>
        <v>885.31799999999998</v>
      </c>
      <c r="AN55" s="74">
        <f t="shared" si="104"/>
        <v>910.14</v>
      </c>
      <c r="AO55" s="74">
        <f t="shared" si="104"/>
        <v>857.73799999999994</v>
      </c>
      <c r="AP55" s="74">
        <f t="shared" si="104"/>
        <v>841.18999999999994</v>
      </c>
      <c r="AQ55" s="26">
        <f>+IS!AQ7*$A$3/Assumptions!AQ33</f>
        <v>856.2052086898625</v>
      </c>
      <c r="AR55" s="15">
        <f>+AR54*AR56</f>
        <v>730.87</v>
      </c>
      <c r="AS55" s="15">
        <f>+AS54*AS56</f>
        <v>744.66</v>
      </c>
      <c r="AT55" s="26">
        <f>+AT54*AT56</f>
        <v>816</v>
      </c>
      <c r="AU55" s="26"/>
      <c r="AV55" s="26"/>
      <c r="AW55" s="26">
        <f>+AW54*AW56</f>
        <v>1012.9843028823836</v>
      </c>
      <c r="AX55" s="26">
        <f>+AX54*AX56</f>
        <v>1056</v>
      </c>
      <c r="AY55" s="15">
        <f>IS!AZ7/Assumptions!AY33*$A$3</f>
        <v>852.14110063810938</v>
      </c>
      <c r="AZ55" s="622">
        <f t="shared" si="104"/>
        <v>1184</v>
      </c>
      <c r="BA55" s="622">
        <f>+BA54*BA56</f>
        <v>993.60000000000014</v>
      </c>
      <c r="BB55" s="622">
        <f>+BB54*BB56</f>
        <v>1052.94</v>
      </c>
      <c r="BC55" s="622">
        <f>+BC54*BC56</f>
        <v>1048.8000000000002</v>
      </c>
      <c r="BD55" s="15">
        <f>IS!BE7/Assumptions!BD33*$A$3</f>
        <v>1009.57681229014</v>
      </c>
      <c r="BE55" s="622">
        <f t="shared" si="104"/>
        <v>1048.8000000000002</v>
      </c>
      <c r="BF55" s="622">
        <f t="shared" si="104"/>
        <v>1090.2</v>
      </c>
      <c r="BG55" s="622">
        <f t="shared" si="104"/>
        <v>1104</v>
      </c>
      <c r="BH55" s="622">
        <f t="shared" si="104"/>
        <v>1104</v>
      </c>
      <c r="BI55" s="15">
        <f t="shared" si="104"/>
        <v>1082.1243126452578</v>
      </c>
      <c r="BJ55" s="622">
        <f>480/117*17*20</f>
        <v>1394.8717948717947</v>
      </c>
      <c r="BK55" s="622">
        <f t="shared" ref="BK55" si="105">+BK54*BK56</f>
        <v>1472.1779425393881</v>
      </c>
      <c r="BL55" s="622">
        <f t="shared" ref="BL55:BQ55" si="106">+BL54*BL56</f>
        <v>1485.6224899598392</v>
      </c>
      <c r="BM55" s="622">
        <f t="shared" si="106"/>
        <v>1487.4196256275566</v>
      </c>
      <c r="BN55" s="15">
        <f>BN56*BN54</f>
        <v>1501.6411744523448</v>
      </c>
      <c r="BO55" s="15">
        <f t="shared" si="106"/>
        <v>1504.376470234243</v>
      </c>
      <c r="BP55" s="668"/>
      <c r="BQ55" s="668">
        <f t="shared" si="106"/>
        <v>1501.47786431857</v>
      </c>
      <c r="BR55" s="668">
        <f>BR56*BR54</f>
        <v>1561.7068214304388</v>
      </c>
      <c r="BS55" s="15">
        <f t="shared" ref="BS55:CB55" si="107">BS56*BS54</f>
        <v>1624.1750942876563</v>
      </c>
      <c r="BT55" s="15">
        <f t="shared" si="107"/>
        <v>1689.1420980591627</v>
      </c>
      <c r="BU55" s="15">
        <f t="shared" si="107"/>
        <v>1756.707781981529</v>
      </c>
      <c r="BV55" s="15">
        <f t="shared" si="107"/>
        <v>1826.9760932607903</v>
      </c>
      <c r="BW55" s="15">
        <f t="shared" si="107"/>
        <v>1900.0551369912223</v>
      </c>
      <c r="BX55" s="15">
        <f t="shared" si="107"/>
        <v>1976.0573424708709</v>
      </c>
      <c r="BY55" s="15">
        <f t="shared" si="107"/>
        <v>2055.0996361697062</v>
      </c>
      <c r="BZ55" s="15">
        <f t="shared" si="107"/>
        <v>2137.3036216164942</v>
      </c>
      <c r="CA55" s="15">
        <f t="shared" si="107"/>
        <v>2222.7957664811543</v>
      </c>
      <c r="CB55" s="15">
        <f t="shared" si="107"/>
        <v>2311.7075971404001</v>
      </c>
      <c r="CC55" s="269"/>
      <c r="CD55" s="269"/>
      <c r="CE55" s="269"/>
      <c r="CF55" s="269"/>
      <c r="CG55" s="269"/>
      <c r="CH55" s="269"/>
      <c r="CI55" s="269"/>
      <c r="CJ55" s="269"/>
      <c r="CK55" s="269"/>
      <c r="CL55" s="269"/>
    </row>
    <row r="56" spans="1:90" s="342" customFormat="1">
      <c r="B56" s="361"/>
      <c r="G56" s="344"/>
      <c r="H56" s="344"/>
      <c r="I56" s="345"/>
      <c r="J56" s="345"/>
      <c r="K56" s="345"/>
      <c r="L56" s="345"/>
      <c r="M56" s="344"/>
      <c r="N56" s="345"/>
      <c r="O56" s="345"/>
      <c r="P56" s="345"/>
      <c r="Q56" s="345"/>
      <c r="R56" s="344">
        <f>+R55/R54</f>
        <v>0.14214412784824845</v>
      </c>
      <c r="S56" s="345"/>
      <c r="T56" s="345"/>
      <c r="U56" s="345"/>
      <c r="V56" s="345"/>
      <c r="W56" s="344">
        <f>+W55/W54</f>
        <v>0.13043467925445523</v>
      </c>
      <c r="X56" s="345">
        <v>0.13039999999999999</v>
      </c>
      <c r="Y56" s="345">
        <v>0.13039999999999999</v>
      </c>
      <c r="Z56" s="345">
        <v>0.13039999999999999</v>
      </c>
      <c r="AA56" s="345">
        <v>0.13039999999999999</v>
      </c>
      <c r="AB56" s="344">
        <f>+AB55/AB54</f>
        <v>0.1304348162211896</v>
      </c>
      <c r="AC56" s="345">
        <v>0.1305</v>
      </c>
      <c r="AD56" s="345">
        <v>0.1305</v>
      </c>
      <c r="AE56" s="345">
        <v>0.1305</v>
      </c>
      <c r="AF56" s="345">
        <v>0.1305</v>
      </c>
      <c r="AG56" s="344">
        <f>+AG55/AG54</f>
        <v>0.13043480217739772</v>
      </c>
      <c r="AH56" s="345">
        <v>0.1305</v>
      </c>
      <c r="AI56" s="345">
        <v>0.1305</v>
      </c>
      <c r="AJ56" s="345">
        <v>0.1305</v>
      </c>
      <c r="AK56" s="345">
        <v>0.1305</v>
      </c>
      <c r="AL56" s="344">
        <f>+AL55/AL54</f>
        <v>0.12956372371268107</v>
      </c>
      <c r="AM56" s="345">
        <v>0.13789999999999999</v>
      </c>
      <c r="AN56" s="345">
        <v>0.13789999999999999</v>
      </c>
      <c r="AO56" s="345">
        <v>0.13789999999999999</v>
      </c>
      <c r="AP56" s="345">
        <v>0.13789999999999999</v>
      </c>
      <c r="AQ56" s="344">
        <f>+AQ55/AQ54</f>
        <v>0.13780000000000001</v>
      </c>
      <c r="AR56" s="347">
        <f>AP56</f>
        <v>0.13789999999999999</v>
      </c>
      <c r="AS56" s="347">
        <f>AP56</f>
        <v>0.13789999999999999</v>
      </c>
      <c r="AT56" s="344">
        <v>0.16</v>
      </c>
      <c r="AU56" s="344"/>
      <c r="AV56" s="344"/>
      <c r="AW56" s="344">
        <v>0.16</v>
      </c>
      <c r="AX56" s="344">
        <v>0.16</v>
      </c>
      <c r="AY56" s="347">
        <v>0.17</v>
      </c>
      <c r="AZ56" s="674">
        <v>0.16</v>
      </c>
      <c r="BA56" s="674">
        <v>0.13800000000000001</v>
      </c>
      <c r="BB56" s="674">
        <v>0.13800000000000001</v>
      </c>
      <c r="BC56" s="674">
        <v>0.13800000000000001</v>
      </c>
      <c r="BD56" s="347">
        <f>BD55/BD54</f>
        <v>0.13782243418036294</v>
      </c>
      <c r="BE56" s="674">
        <v>0.13800000000000001</v>
      </c>
      <c r="BF56" s="674">
        <v>0.13800000000000001</v>
      </c>
      <c r="BG56" s="674">
        <v>0.13800000000000001</v>
      </c>
      <c r="BH56" s="674">
        <v>0.13800000000000001</v>
      </c>
      <c r="BI56" s="347">
        <v>0.13800000000000001</v>
      </c>
      <c r="BJ56" s="674">
        <f>BJ55/BJ54</f>
        <v>0.16805684275563793</v>
      </c>
      <c r="BK56" s="674">
        <f>BJ56</f>
        <v>0.16805684275563793</v>
      </c>
      <c r="BL56" s="674">
        <f>BK56</f>
        <v>0.16805684275563793</v>
      </c>
      <c r="BM56" s="674">
        <f>BL56</f>
        <v>0.16805684275563793</v>
      </c>
      <c r="BN56" s="347">
        <f>BM56</f>
        <v>0.16805684275563793</v>
      </c>
      <c r="BO56" s="347">
        <f>BM56</f>
        <v>0.16805684275563793</v>
      </c>
      <c r="BP56" s="668"/>
      <c r="BQ56" s="668">
        <f>BO56</f>
        <v>0.16805684275563793</v>
      </c>
      <c r="BR56" s="668">
        <f>BN56</f>
        <v>0.16805684275563793</v>
      </c>
      <c r="BS56" s="347">
        <f t="shared" ref="BS56:CB57" si="108">BR56</f>
        <v>0.16805684275563793</v>
      </c>
      <c r="BT56" s="347">
        <f t="shared" si="108"/>
        <v>0.16805684275563793</v>
      </c>
      <c r="BU56" s="347">
        <f t="shared" si="108"/>
        <v>0.16805684275563793</v>
      </c>
      <c r="BV56" s="347">
        <f t="shared" si="108"/>
        <v>0.16805684275563793</v>
      </c>
      <c r="BW56" s="347">
        <f t="shared" si="108"/>
        <v>0.16805684275563793</v>
      </c>
      <c r="BX56" s="347">
        <f t="shared" si="108"/>
        <v>0.16805684275563793</v>
      </c>
      <c r="BY56" s="347">
        <f t="shared" si="108"/>
        <v>0.16805684275563793</v>
      </c>
      <c r="BZ56" s="347">
        <f t="shared" si="108"/>
        <v>0.16805684275563793</v>
      </c>
      <c r="CA56" s="347">
        <f t="shared" si="108"/>
        <v>0.16805684275563793</v>
      </c>
      <c r="CB56" s="347">
        <f t="shared" si="108"/>
        <v>0.16805684275563793</v>
      </c>
      <c r="CC56" s="783"/>
      <c r="CD56" s="783"/>
      <c r="CE56" s="783"/>
      <c r="CF56" s="783"/>
      <c r="CG56" s="783"/>
      <c r="CH56" s="783"/>
      <c r="CI56" s="783"/>
      <c r="CJ56" s="783"/>
      <c r="CK56" s="783"/>
      <c r="CL56" s="783"/>
    </row>
    <row r="57" spans="1:90" s="27" customFormat="1">
      <c r="A57" s="27" t="s">
        <v>65</v>
      </c>
      <c r="B57" s="362" t="s">
        <v>63</v>
      </c>
      <c r="C57" s="27">
        <f>(IS!C9/Assumptions!C32)*1000000</f>
        <v>1164.5549636068197</v>
      </c>
      <c r="D57" s="27">
        <f>(IS!D9/Assumptions!D32)*1000000</f>
        <v>1057.810468772569</v>
      </c>
      <c r="E57" s="27">
        <f>(IS!E9/Assumptions!E32)*1000000</f>
        <v>1450.5473025801407</v>
      </c>
      <c r="F57" s="27">
        <f>(IS!F9/1157426)*1000000</f>
        <v>1396.694907493006</v>
      </c>
      <c r="G57" s="328">
        <v>1000</v>
      </c>
      <c r="H57" s="328">
        <v>1000</v>
      </c>
      <c r="I57" s="329">
        <v>1000</v>
      </c>
      <c r="J57" s="329">
        <v>1000</v>
      </c>
      <c r="K57" s="363">
        <v>1000</v>
      </c>
      <c r="L57" s="329"/>
      <c r="M57" s="328">
        <f>+IS!M9/Assumptions!M33*1000000</f>
        <v>984.82757629852063</v>
      </c>
      <c r="N57" s="329">
        <v>750</v>
      </c>
      <c r="O57" s="329">
        <f>+N57</f>
        <v>750</v>
      </c>
      <c r="P57" s="329">
        <f>+O57</f>
        <v>750</v>
      </c>
      <c r="Q57" s="329">
        <f>+P57</f>
        <v>750</v>
      </c>
      <c r="R57" s="328">
        <v>750</v>
      </c>
      <c r="S57" s="329"/>
      <c r="T57" s="329"/>
      <c r="U57" s="329"/>
      <c r="V57" s="329"/>
      <c r="W57" s="12">
        <f>IS!W9*$A$3/Assumptions!W33</f>
        <v>750.0001642207626</v>
      </c>
      <c r="X57" s="329">
        <f>+W57</f>
        <v>750.0001642207626</v>
      </c>
      <c r="Y57" s="329">
        <f>+X57</f>
        <v>750.0001642207626</v>
      </c>
      <c r="Z57" s="329">
        <f>+Y57</f>
        <v>750.0001642207626</v>
      </c>
      <c r="AA57" s="329">
        <f>+Z57</f>
        <v>750.0001642207626</v>
      </c>
      <c r="AB57" s="12">
        <f>IS!AB9*$A$3/Assumptions!AB33</f>
        <v>781.0461456308318</v>
      </c>
      <c r="AC57" s="329">
        <v>750</v>
      </c>
      <c r="AD57" s="329">
        <v>750</v>
      </c>
      <c r="AE57" s="329">
        <v>750</v>
      </c>
      <c r="AF57" s="329">
        <v>750</v>
      </c>
      <c r="AG57" s="12">
        <f>IS!AG9*$A$3/Assumptions!AG33</f>
        <v>715.17722235207418</v>
      </c>
      <c r="AH57" s="329">
        <v>750</v>
      </c>
      <c r="AI57" s="329">
        <v>750</v>
      </c>
      <c r="AJ57" s="329">
        <v>750</v>
      </c>
      <c r="AK57" s="329">
        <v>750</v>
      </c>
      <c r="AL57" s="31">
        <f>IS!AL9*$A$3/Assumptions!AL33</f>
        <v>791.35673969045467</v>
      </c>
      <c r="AM57" s="329">
        <v>900</v>
      </c>
      <c r="AN57" s="329">
        <v>900</v>
      </c>
      <c r="AO57" s="329">
        <v>900</v>
      </c>
      <c r="AP57" s="329">
        <v>900</v>
      </c>
      <c r="AQ57" s="31">
        <f>IS!AQ9*$A$3/Assumptions!AQ33</f>
        <v>926.39719686413298</v>
      </c>
      <c r="AR57" s="330">
        <v>700</v>
      </c>
      <c r="AS57" s="330">
        <v>700</v>
      </c>
      <c r="AT57" s="328">
        <v>900</v>
      </c>
      <c r="AU57" s="328"/>
      <c r="AV57" s="328"/>
      <c r="AW57" s="328">
        <v>700</v>
      </c>
      <c r="AX57" s="328">
        <v>700</v>
      </c>
      <c r="AY57" s="364">
        <f>IS!AZ9/Assumptions!AY33*$A$3</f>
        <v>763.49196639395689</v>
      </c>
      <c r="AZ57" s="673">
        <v>500</v>
      </c>
      <c r="BA57" s="673">
        <v>500</v>
      </c>
      <c r="BB57" s="673">
        <v>500</v>
      </c>
      <c r="BC57" s="673">
        <v>500</v>
      </c>
      <c r="BD57" s="364">
        <f>IS!BE9/Assumptions!BD33*$A$3</f>
        <v>501.00269965945091</v>
      </c>
      <c r="BE57" s="673">
        <v>400</v>
      </c>
      <c r="BF57" s="673">
        <f>BE57</f>
        <v>400</v>
      </c>
      <c r="BG57" s="673">
        <f>BF57</f>
        <v>400</v>
      </c>
      <c r="BH57" s="673">
        <f>BG57</f>
        <v>400</v>
      </c>
      <c r="BI57" s="364">
        <v>400</v>
      </c>
      <c r="BJ57" s="673">
        <f>BI57</f>
        <v>400</v>
      </c>
      <c r="BK57" s="673">
        <f>BJ57</f>
        <v>400</v>
      </c>
      <c r="BL57" s="673">
        <f>BK57</f>
        <v>400</v>
      </c>
      <c r="BM57" s="673">
        <f>BL57</f>
        <v>400</v>
      </c>
      <c r="BN57" s="364">
        <f>BI57</f>
        <v>400</v>
      </c>
      <c r="BO57" s="364">
        <f>BM57</f>
        <v>400</v>
      </c>
      <c r="BP57" s="668"/>
      <c r="BQ57" s="668">
        <f>BN57</f>
        <v>400</v>
      </c>
      <c r="BR57" s="668">
        <f>BN57</f>
        <v>400</v>
      </c>
      <c r="BS57" s="364">
        <f t="shared" si="108"/>
        <v>400</v>
      </c>
      <c r="BT57" s="364">
        <f t="shared" si="108"/>
        <v>400</v>
      </c>
      <c r="BU57" s="364">
        <f t="shared" si="108"/>
        <v>400</v>
      </c>
      <c r="BV57" s="364">
        <f t="shared" si="108"/>
        <v>400</v>
      </c>
      <c r="BW57" s="364">
        <f t="shared" si="108"/>
        <v>400</v>
      </c>
      <c r="BX57" s="364">
        <f t="shared" si="108"/>
        <v>400</v>
      </c>
      <c r="BY57" s="364">
        <f t="shared" si="108"/>
        <v>400</v>
      </c>
      <c r="BZ57" s="364">
        <f t="shared" si="108"/>
        <v>400</v>
      </c>
      <c r="CA57" s="364">
        <f t="shared" si="108"/>
        <v>400</v>
      </c>
      <c r="CB57" s="364">
        <f t="shared" si="108"/>
        <v>400</v>
      </c>
      <c r="CC57" s="269"/>
      <c r="CD57" s="269"/>
      <c r="CE57" s="269"/>
      <c r="CF57" s="269"/>
      <c r="CG57" s="269"/>
      <c r="CH57" s="269"/>
      <c r="CI57" s="269"/>
      <c r="CJ57" s="713"/>
      <c r="CK57" s="713"/>
      <c r="CL57" s="713"/>
    </row>
    <row r="58" spans="1:90">
      <c r="A58" s="1" t="s">
        <v>66</v>
      </c>
      <c r="B58" s="73" t="s">
        <v>63</v>
      </c>
      <c r="C58" s="12">
        <f>IS!C10*1000000/Assumptions!C32</f>
        <v>11.672328820986063</v>
      </c>
      <c r="D58" s="12">
        <f>IS!D10*1000000/Assumptions!D32</f>
        <v>24.655281607982133</v>
      </c>
      <c r="E58" s="12">
        <f>IS!E10*1000000/Assumptions!E32</f>
        <v>26.787699679365328</v>
      </c>
      <c r="F58" s="12">
        <f>IS!F10*1000000/1157426</f>
        <v>36.8308643489951</v>
      </c>
      <c r="G58" s="12">
        <f>IS!G10*1000000/Assumptions!G32</f>
        <v>40.534045784228987</v>
      </c>
      <c r="H58" s="12">
        <f>IS!H10*1000000/Assumptions!H33</f>
        <v>42.542665883691548</v>
      </c>
      <c r="I58" s="74">
        <f>(H58)*(1+I5)</f>
        <v>42.968092542528467</v>
      </c>
      <c r="J58" s="74">
        <f>(I58)*(1+J5)</f>
        <v>43.397773467953755</v>
      </c>
      <c r="K58" s="360">
        <f>(J58)*(1+K5)</f>
        <v>43.831751202633292</v>
      </c>
      <c r="L58" s="74"/>
      <c r="M58" s="12">
        <f>IS!M10*1000000/Assumptions!M33</f>
        <v>42.311961007567895</v>
      </c>
      <c r="N58" s="74">
        <f>(M58)*(1+N5)</f>
        <v>42.523520812605732</v>
      </c>
      <c r="O58" s="74">
        <f>(N58)*(1+O5)</f>
        <v>42.736138416668759</v>
      </c>
      <c r="P58" s="74">
        <f>(O58)*(1+P5)</f>
        <v>42.949819108752095</v>
      </c>
      <c r="Q58" s="74">
        <f>(P58)*(1+Q5)</f>
        <v>43.164568204295854</v>
      </c>
      <c r="R58" s="12">
        <f>IS!R10*1000000/Assumptions!R33</f>
        <v>95.199076254775733</v>
      </c>
      <c r="S58" s="74"/>
      <c r="T58" s="74"/>
      <c r="U58" s="74"/>
      <c r="V58" s="74"/>
      <c r="W58" s="12">
        <f>IS!W10*$A$3/Assumptions!W33</f>
        <v>47.865097241682385</v>
      </c>
      <c r="X58" s="74">
        <v>55</v>
      </c>
      <c r="Y58" s="74">
        <v>70</v>
      </c>
      <c r="Z58" s="74">
        <v>70</v>
      </c>
      <c r="AA58" s="74">
        <v>70</v>
      </c>
      <c r="AB58" s="12">
        <f>IS!AB10*$A$3/Assumptions!AB33</f>
        <v>72.993414567636634</v>
      </c>
      <c r="AC58" s="74">
        <v>76</v>
      </c>
      <c r="AD58" s="74">
        <v>80</v>
      </c>
      <c r="AE58" s="74">
        <v>85</v>
      </c>
      <c r="AF58" s="74">
        <v>90</v>
      </c>
      <c r="AG58" s="12">
        <f>IS!AG10*$A$3/Assumptions!AG33</f>
        <v>59.801713960445824</v>
      </c>
      <c r="AH58" s="74">
        <v>90</v>
      </c>
      <c r="AI58" s="74">
        <v>90</v>
      </c>
      <c r="AJ58" s="74">
        <v>85</v>
      </c>
      <c r="AK58" s="74">
        <v>200</v>
      </c>
      <c r="AL58" s="31">
        <f>IS!AL10*$A$3/Assumptions!AL33</f>
        <v>70.196955385632677</v>
      </c>
      <c r="AM58" s="74">
        <f>AL58*1.1</f>
        <v>77.216650924195946</v>
      </c>
      <c r="AN58" s="74">
        <f>AL58*1.1</f>
        <v>77.216650924195946</v>
      </c>
      <c r="AO58" s="74">
        <f>AM58*1.1</f>
        <v>84.938316016615545</v>
      </c>
      <c r="AP58" s="74">
        <f>AN58*1.1</f>
        <v>84.938316016615545</v>
      </c>
      <c r="AQ58" s="31">
        <f>IS!AQ10*$A$3/Assumptions!AQ33</f>
        <v>108.73842991188984</v>
      </c>
      <c r="AR58" s="15">
        <f>+AP58*(1+AR5)</f>
        <v>94.281530778443269</v>
      </c>
      <c r="AS58" s="15">
        <f>+AP58*(1+AS5)</f>
        <v>94.281530778443269</v>
      </c>
      <c r="AT58" s="31">
        <f>IS!AU10*$A$3/Assumptions!AT33</f>
        <v>61.386582050415448</v>
      </c>
      <c r="AU58" s="31"/>
      <c r="AV58" s="31"/>
      <c r="AW58" s="31">
        <v>100</v>
      </c>
      <c r="AX58" s="31">
        <v>100</v>
      </c>
      <c r="AY58" s="15">
        <f>IS!AZ10/Assumptions!AY33*$A$3</f>
        <v>95.896769953806555</v>
      </c>
      <c r="AZ58" s="619">
        <v>94</v>
      </c>
      <c r="BA58" s="619">
        <v>94</v>
      </c>
      <c r="BB58" s="619">
        <v>100</v>
      </c>
      <c r="BC58" s="619">
        <v>100</v>
      </c>
      <c r="BD58" s="15">
        <f>IS!BE10/Assumptions!BD33*$A$3</f>
        <v>100.23344496939832</v>
      </c>
      <c r="BE58" s="619">
        <v>100</v>
      </c>
      <c r="BF58" s="619">
        <v>100</v>
      </c>
      <c r="BG58" s="619">
        <v>100</v>
      </c>
      <c r="BH58" s="619">
        <v>100</v>
      </c>
      <c r="BI58" s="15">
        <f>IS!BJ10/Assumptions!BI33*$A$3</f>
        <v>122.74908783860695</v>
      </c>
      <c r="BJ58" s="619">
        <v>100</v>
      </c>
      <c r="BK58" s="619">
        <v>100</v>
      </c>
      <c r="BL58" s="619">
        <v>100</v>
      </c>
      <c r="BM58" s="619">
        <v>100</v>
      </c>
      <c r="BN58" s="15">
        <f>+BI58*(1+BN5)</f>
        <v>130.11403310892337</v>
      </c>
      <c r="BO58" s="15">
        <f>BM58</f>
        <v>100</v>
      </c>
      <c r="BP58" s="668"/>
      <c r="BQ58" s="668">
        <f>BO58</f>
        <v>100</v>
      </c>
      <c r="BR58" s="668">
        <f>+BN58*(1+BR5)</f>
        <v>137.92087509545877</v>
      </c>
      <c r="BS58" s="15">
        <f t="shared" ref="BS58:CB58" si="109">+BR58*(1+BS5)</f>
        <v>146.1961276011863</v>
      </c>
      <c r="BT58" s="15">
        <f t="shared" si="109"/>
        <v>154.96789525725748</v>
      </c>
      <c r="BU58" s="15">
        <f t="shared" si="109"/>
        <v>164.26596897269295</v>
      </c>
      <c r="BV58" s="15">
        <f t="shared" si="109"/>
        <v>174.12192711105453</v>
      </c>
      <c r="BW58" s="15">
        <f t="shared" si="109"/>
        <v>184.56924273771781</v>
      </c>
      <c r="BX58" s="15">
        <f t="shared" si="109"/>
        <v>195.64339730198088</v>
      </c>
      <c r="BY58" s="15">
        <f t="shared" si="109"/>
        <v>207.38200114009976</v>
      </c>
      <c r="BZ58" s="15">
        <f t="shared" si="109"/>
        <v>219.82492120850577</v>
      </c>
      <c r="CA58" s="15">
        <f t="shared" si="109"/>
        <v>233.01441648101613</v>
      </c>
      <c r="CB58" s="15">
        <f t="shared" si="109"/>
        <v>246.99528146987711</v>
      </c>
      <c r="CC58" s="269"/>
      <c r="CD58" s="269"/>
      <c r="CE58" s="269"/>
      <c r="CF58" s="269"/>
      <c r="CG58" s="269"/>
      <c r="CH58" s="269"/>
      <c r="CI58" s="269"/>
      <c r="CJ58" s="269"/>
      <c r="CK58" s="269"/>
      <c r="CL58" s="269"/>
    </row>
    <row r="59" spans="1:90">
      <c r="A59" s="1" t="s">
        <v>67</v>
      </c>
      <c r="B59" s="73" t="s">
        <v>63</v>
      </c>
      <c r="C59" s="11">
        <f>(IS!C12-IS!C11)*1000000/C32</f>
        <v>2007.0894838825945</v>
      </c>
      <c r="D59" s="11">
        <f>(IS!D12-IS!D11)*1000000/D32</f>
        <v>1376.632481861313</v>
      </c>
      <c r="E59" s="11">
        <f>(IS!E12-IS!E11)*1000000/E32</f>
        <v>2026.2156501280383</v>
      </c>
      <c r="F59" s="11">
        <f>(IS!F12-IS!F11)*1000000/F32</f>
        <v>2454.8355776802041</v>
      </c>
      <c r="G59" s="26">
        <f>(IS!G12-IS!G11)*1000000/G32</f>
        <v>2331.6368766435376</v>
      </c>
      <c r="H59" s="26">
        <f>(IS!H12-IS!H11)*1000000/H32</f>
        <v>2457.1554070645266</v>
      </c>
      <c r="I59" s="74">
        <f>(IS!I12-IS!I11)*1000000/I32</f>
        <v>2241.9553039484053</v>
      </c>
      <c r="J59" s="74">
        <f>(IS!J12-IS!J11)*1000000/J32</f>
        <v>1772.7406912705558</v>
      </c>
      <c r="K59" s="287">
        <f>+[36]Assump!$L$44</f>
        <v>2252.8248587570624</v>
      </c>
      <c r="L59" s="287">
        <f>+[37]Assump!$M$52-115</f>
        <v>2146.802575107296</v>
      </c>
      <c r="M59" s="26">
        <f>(IS!M12-IS!M11)*1000000/M33</f>
        <v>2100.8300618146427</v>
      </c>
      <c r="N59" s="38">
        <f>+(905.627-IS!N11)/Assumptions!N33*1000000</f>
        <v>2873.3006120176278</v>
      </c>
      <c r="O59" s="38">
        <f>+(861.809-IS!O11)/Assumptions!O33*1000000</f>
        <v>2675.1486141163996</v>
      </c>
      <c r="P59" s="38" t="e">
        <f>+P54-P55-P57-P58</f>
        <v>#DIV/0!</v>
      </c>
      <c r="Q59" s="38" t="e">
        <f>+Q54-Q55-Q57-Q58</f>
        <v>#DIV/0!</v>
      </c>
      <c r="R59" s="25">
        <f>+R54-R55-R57-R58</f>
        <v>6720.5752472915683</v>
      </c>
      <c r="S59" s="38"/>
      <c r="T59" s="38"/>
      <c r="U59" s="38"/>
      <c r="V59" s="38"/>
      <c r="W59" s="25">
        <f t="shared" ref="W59:BN59" si="110">+W54-W55-W57-W58</f>
        <v>3046.7608768337709</v>
      </c>
      <c r="X59" s="38">
        <f t="shared" si="110"/>
        <v>3569.0878357792371</v>
      </c>
      <c r="Y59" s="38">
        <f t="shared" si="110"/>
        <v>3618.4382357792374</v>
      </c>
      <c r="Z59" s="38">
        <f t="shared" si="110"/>
        <v>3583.6542357792378</v>
      </c>
      <c r="AA59" s="38">
        <f t="shared" si="110"/>
        <v>4397.5998357792378</v>
      </c>
      <c r="AB59" s="25">
        <f t="shared" si="110"/>
        <v>3802.0551599167748</v>
      </c>
      <c r="AC59" s="38">
        <f t="shared" si="110"/>
        <v>3272.8230000000003</v>
      </c>
      <c r="AD59" s="38">
        <f t="shared" si="110"/>
        <v>2352.37</v>
      </c>
      <c r="AE59" s="38">
        <f t="shared" si="110"/>
        <v>2460.4049999999997</v>
      </c>
      <c r="AF59" s="38">
        <f t="shared" si="110"/>
        <v>2168.4699999999998</v>
      </c>
      <c r="AG59" s="25">
        <f t="shared" si="110"/>
        <v>2515.2103452401175</v>
      </c>
      <c r="AH59" s="38">
        <f t="shared" si="110"/>
        <v>2238.8995</v>
      </c>
      <c r="AI59" s="38">
        <f t="shared" si="110"/>
        <v>2499.7494999999999</v>
      </c>
      <c r="AJ59" s="38">
        <f>+AJ54-AJ55-AJ57-AJ58</f>
        <v>2765.5995000000003</v>
      </c>
      <c r="AK59" s="38">
        <f>+AK54-AK55-AK57-AK58</f>
        <v>3745.3</v>
      </c>
      <c r="AL59" s="25">
        <f t="shared" si="110"/>
        <v>2716.8737636748142</v>
      </c>
      <c r="AM59" s="38">
        <f>+AM54-AM55-AM57-AM58</f>
        <v>4557.4653490758037</v>
      </c>
      <c r="AN59" s="38">
        <f>+AN54-AN55-AN57-AN58</f>
        <v>4712.6433490758036</v>
      </c>
      <c r="AO59" s="38">
        <f>+AO54-AO55-AO57-AO58</f>
        <v>4377.3236839833844</v>
      </c>
      <c r="AP59" s="38">
        <f>+AP54-AP55-AP57-AP58</f>
        <v>4273.8716839833851</v>
      </c>
      <c r="AQ59" s="25">
        <f t="shared" si="110"/>
        <v>4322.0496484953819</v>
      </c>
      <c r="AR59" s="265">
        <f>+AR54-AR55-AR57-AR58</f>
        <v>3774.848469221557</v>
      </c>
      <c r="AS59" s="265">
        <f>+AS54-AS55-AS57-AS58</f>
        <v>3861.0584692215571</v>
      </c>
      <c r="AT59" s="25">
        <f t="shared" si="110"/>
        <v>3322.6134179495843</v>
      </c>
      <c r="AU59" s="25"/>
      <c r="AV59" s="25"/>
      <c r="AW59" s="25">
        <f t="shared" ref="AW59:BC59" si="111">+AW54-AW55-AW57-AW58</f>
        <v>4518.1675901325143</v>
      </c>
      <c r="AX59" s="25">
        <f t="shared" si="111"/>
        <v>4744</v>
      </c>
      <c r="AY59" s="265">
        <f t="shared" si="111"/>
        <v>4226.2717181762409</v>
      </c>
      <c r="AZ59" s="626">
        <f t="shared" si="111"/>
        <v>5622</v>
      </c>
      <c r="BA59" s="626">
        <f t="shared" si="111"/>
        <v>5612.4</v>
      </c>
      <c r="BB59" s="626">
        <f t="shared" si="111"/>
        <v>5977.0599999999995</v>
      </c>
      <c r="BC59" s="626">
        <f t="shared" si="111"/>
        <v>5951.2</v>
      </c>
      <c r="BD59" s="265">
        <f t="shared" si="110"/>
        <v>5714.3864439923718</v>
      </c>
      <c r="BE59" s="626">
        <f t="shared" si="110"/>
        <v>6051.2</v>
      </c>
      <c r="BF59" s="626">
        <f t="shared" si="110"/>
        <v>6309.8</v>
      </c>
      <c r="BG59" s="626">
        <f t="shared" si="110"/>
        <v>6396</v>
      </c>
      <c r="BH59" s="626">
        <f t="shared" si="110"/>
        <v>6396</v>
      </c>
      <c r="BI59" s="265">
        <f t="shared" si="110"/>
        <v>6236.6071259310465</v>
      </c>
      <c r="BJ59" s="626">
        <f>BJ54-BJ55-BJ57-BJ58</f>
        <v>6405.1282051282051</v>
      </c>
      <c r="BK59" s="626">
        <f>BK54-BK55-BK57-BK58</f>
        <v>6787.8220574606121</v>
      </c>
      <c r="BL59" s="626">
        <f t="shared" ref="BL59:BQ59" si="112">+BL54-BL55-BL57-BL58</f>
        <v>6854.3775100401608</v>
      </c>
      <c r="BM59" s="626">
        <f t="shared" si="112"/>
        <v>6863.2739923070048</v>
      </c>
      <c r="BN59" s="265">
        <f t="shared" si="110"/>
        <v>6903.5618543913797</v>
      </c>
      <c r="BO59" s="265">
        <f t="shared" si="112"/>
        <v>6947.2166072441487</v>
      </c>
      <c r="BP59" s="668"/>
      <c r="BQ59" s="668">
        <f t="shared" si="112"/>
        <v>6932.8674422976283</v>
      </c>
      <c r="BR59" s="668">
        <f t="shared" ref="BR59:CB59" si="113">+BR54-BR55-BR57-BR58</f>
        <v>7193.1020479048575</v>
      </c>
      <c r="BS59" s="265">
        <f t="shared" si="113"/>
        <v>7494.0677123191426</v>
      </c>
      <c r="BT59" s="265">
        <f t="shared" si="113"/>
        <v>7806.9064982598848</v>
      </c>
      <c r="BU59" s="265">
        <f t="shared" si="113"/>
        <v>8132.0834002851334</v>
      </c>
      <c r="BV59" s="265">
        <f t="shared" si="113"/>
        <v>8470.0814169170862</v>
      </c>
      <c r="BW59" s="265">
        <f t="shared" si="113"/>
        <v>8821.4022350515497</v>
      </c>
      <c r="BX59" s="265">
        <f t="shared" si="113"/>
        <v>9186.5669395988571</v>
      </c>
      <c r="BY59" s="265">
        <f t="shared" si="113"/>
        <v>9566.1167492367713</v>
      </c>
      <c r="BZ59" s="265">
        <f t="shared" si="113"/>
        <v>9960.6137791834408</v>
      </c>
      <c r="CA59" s="265">
        <f t="shared" si="113"/>
        <v>10370.64183192661</v>
      </c>
      <c r="CB59" s="265">
        <f t="shared" si="113"/>
        <v>10796.807216874055</v>
      </c>
      <c r="CC59" s="713"/>
      <c r="CD59" s="713"/>
      <c r="CE59" s="713"/>
      <c r="CF59" s="713"/>
      <c r="CG59" s="713"/>
      <c r="CH59" s="713"/>
      <c r="CI59" s="713"/>
      <c r="CJ59" s="269"/>
      <c r="CK59" s="269"/>
      <c r="CL59" s="269"/>
    </row>
    <row r="60" spans="1:90" s="36" customFormat="1">
      <c r="A60" s="36" t="s">
        <v>68</v>
      </c>
      <c r="B60" s="36" t="s">
        <v>69</v>
      </c>
      <c r="C60" s="36">
        <f t="shared" ref="C60:K60" si="114">C59/20</f>
        <v>100.35447419412972</v>
      </c>
      <c r="D60" s="36">
        <f t="shared" si="114"/>
        <v>68.831624093065642</v>
      </c>
      <c r="E60" s="36">
        <f t="shared" si="114"/>
        <v>101.31078250640192</v>
      </c>
      <c r="F60" s="36">
        <f t="shared" si="114"/>
        <v>122.7417788840102</v>
      </c>
      <c r="G60" s="92">
        <f t="shared" si="114"/>
        <v>116.58184383217687</v>
      </c>
      <c r="H60" s="92">
        <f t="shared" si="114"/>
        <v>122.85777035322633</v>
      </c>
      <c r="I60" s="88">
        <f t="shared" si="114"/>
        <v>112.09776519742027</v>
      </c>
      <c r="J60" s="88">
        <f t="shared" si="114"/>
        <v>88.637034563527791</v>
      </c>
      <c r="K60" s="88">
        <f t="shared" si="114"/>
        <v>112.64124293785312</v>
      </c>
      <c r="L60" s="88"/>
      <c r="M60" s="92">
        <f t="shared" ref="M60:R60" si="115">M59/20</f>
        <v>105.04150309073214</v>
      </c>
      <c r="N60" s="88">
        <f t="shared" si="115"/>
        <v>143.66503060088138</v>
      </c>
      <c r="O60" s="88">
        <f t="shared" si="115"/>
        <v>133.75743070581998</v>
      </c>
      <c r="P60" s="88" t="e">
        <f t="shared" si="115"/>
        <v>#DIV/0!</v>
      </c>
      <c r="Q60" s="88" t="e">
        <f t="shared" si="115"/>
        <v>#DIV/0!</v>
      </c>
      <c r="R60" s="92">
        <f t="shared" si="115"/>
        <v>336.02876236457843</v>
      </c>
      <c r="S60" s="88"/>
      <c r="T60" s="88"/>
      <c r="U60" s="88"/>
      <c r="V60" s="88"/>
      <c r="W60" s="92">
        <f t="shared" ref="W60:BN60" si="116">W59/20</f>
        <v>152.33804384168855</v>
      </c>
      <c r="X60" s="88">
        <f t="shared" si="116"/>
        <v>178.45439178896186</v>
      </c>
      <c r="Y60" s="88">
        <f t="shared" si="116"/>
        <v>180.92191178896186</v>
      </c>
      <c r="Z60" s="88">
        <f t="shared" si="116"/>
        <v>179.18271178896188</v>
      </c>
      <c r="AA60" s="88">
        <f t="shared" si="116"/>
        <v>219.87999178896189</v>
      </c>
      <c r="AB60" s="92">
        <f t="shared" si="116"/>
        <v>190.10275799583874</v>
      </c>
      <c r="AC60" s="88">
        <f t="shared" si="116"/>
        <v>163.64115000000001</v>
      </c>
      <c r="AD60" s="88">
        <f t="shared" si="116"/>
        <v>117.6185</v>
      </c>
      <c r="AE60" s="88">
        <f t="shared" si="116"/>
        <v>123.02024999999999</v>
      </c>
      <c r="AF60" s="88">
        <f t="shared" si="116"/>
        <v>108.42349999999999</v>
      </c>
      <c r="AG60" s="92">
        <f t="shared" si="116"/>
        <v>125.76051726200588</v>
      </c>
      <c r="AH60" s="88">
        <f t="shared" si="116"/>
        <v>111.944975</v>
      </c>
      <c r="AI60" s="88">
        <f t="shared" si="116"/>
        <v>124.98747499999999</v>
      </c>
      <c r="AJ60" s="88">
        <f t="shared" si="116"/>
        <v>138.27997500000001</v>
      </c>
      <c r="AK60" s="88">
        <f t="shared" si="116"/>
        <v>187.26500000000001</v>
      </c>
      <c r="AL60" s="92">
        <f t="shared" si="116"/>
        <v>135.84368818374071</v>
      </c>
      <c r="AM60" s="88">
        <f t="shared" si="116"/>
        <v>227.87326745379019</v>
      </c>
      <c r="AN60" s="88">
        <f t="shared" si="116"/>
        <v>235.63216745379017</v>
      </c>
      <c r="AO60" s="88">
        <f t="shared" si="116"/>
        <v>218.86618419916923</v>
      </c>
      <c r="AP60" s="88">
        <f t="shared" si="116"/>
        <v>213.69358419916927</v>
      </c>
      <c r="AQ60" s="30">
        <f t="shared" si="116"/>
        <v>216.10248242476911</v>
      </c>
      <c r="AR60" s="333">
        <f>AR59/20</f>
        <v>188.74242346107786</v>
      </c>
      <c r="AS60" s="333">
        <f>AS59/20</f>
        <v>193.05292346107785</v>
      </c>
      <c r="AT60" s="92">
        <f t="shared" si="116"/>
        <v>166.13067089747921</v>
      </c>
      <c r="AU60" s="92"/>
      <c r="AV60" s="92"/>
      <c r="AW60" s="92">
        <f>AW59/20</f>
        <v>225.90837950662572</v>
      </c>
      <c r="AX60" s="92">
        <f>AX59/20</f>
        <v>237.2</v>
      </c>
      <c r="AY60" s="333">
        <f t="shared" si="116"/>
        <v>211.31358590881206</v>
      </c>
      <c r="AZ60" s="636">
        <f>AZ59/20</f>
        <v>281.10000000000002</v>
      </c>
      <c r="BA60" s="636">
        <f>BA59/20</f>
        <v>280.62</v>
      </c>
      <c r="BB60" s="636">
        <f>BB59/20</f>
        <v>298.85299999999995</v>
      </c>
      <c r="BC60" s="636">
        <f>BC59/20</f>
        <v>297.56</v>
      </c>
      <c r="BD60" s="333">
        <f t="shared" si="116"/>
        <v>285.7193221996186</v>
      </c>
      <c r="BE60" s="636">
        <f>BE59/20</f>
        <v>302.56</v>
      </c>
      <c r="BF60" s="636">
        <f>BF59/20</f>
        <v>315.49</v>
      </c>
      <c r="BG60" s="636">
        <f>BG59/20</f>
        <v>319.8</v>
      </c>
      <c r="BH60" s="636">
        <f>BH59/20</f>
        <v>319.8</v>
      </c>
      <c r="BI60" s="333">
        <f t="shared" si="116"/>
        <v>311.83035629655234</v>
      </c>
      <c r="BJ60" s="622">
        <f>BJ59/20</f>
        <v>320.25641025641028</v>
      </c>
      <c r="BK60" s="622">
        <f>BK59/20</f>
        <v>339.3911028730306</v>
      </c>
      <c r="BL60" s="622">
        <f>BL59/20</f>
        <v>342.71887550200802</v>
      </c>
      <c r="BM60" s="622">
        <f>BM59/20</f>
        <v>343.16369961535025</v>
      </c>
      <c r="BN60" s="333">
        <f t="shared" si="116"/>
        <v>345.17809271956901</v>
      </c>
      <c r="BO60" s="333">
        <f>BO59/20</f>
        <v>347.36083036220742</v>
      </c>
      <c r="BP60" s="668"/>
      <c r="BQ60" s="668">
        <f>BQ59/20</f>
        <v>346.6433721148814</v>
      </c>
      <c r="BR60" s="668">
        <f t="shared" ref="BR60:CB60" si="117">BR59/20</f>
        <v>359.65510239524286</v>
      </c>
      <c r="BS60" s="333">
        <f t="shared" si="117"/>
        <v>374.70338561595713</v>
      </c>
      <c r="BT60" s="333">
        <f t="shared" si="117"/>
        <v>390.34532491299422</v>
      </c>
      <c r="BU60" s="333">
        <f t="shared" si="117"/>
        <v>406.60417001425668</v>
      </c>
      <c r="BV60" s="333">
        <f t="shared" si="117"/>
        <v>423.5040708458543</v>
      </c>
      <c r="BW60" s="333">
        <f t="shared" si="117"/>
        <v>441.07011175257747</v>
      </c>
      <c r="BX60" s="333">
        <f t="shared" si="117"/>
        <v>459.32834697994286</v>
      </c>
      <c r="BY60" s="333">
        <f t="shared" si="117"/>
        <v>478.30583746183856</v>
      </c>
      <c r="BZ60" s="333">
        <f t="shared" si="117"/>
        <v>498.03068895917204</v>
      </c>
      <c r="CA60" s="333">
        <f t="shared" si="117"/>
        <v>518.53209159633047</v>
      </c>
      <c r="CB60" s="333">
        <f t="shared" si="117"/>
        <v>539.84036084370268</v>
      </c>
      <c r="CC60" s="213"/>
      <c r="CD60" s="213"/>
      <c r="CE60" s="213"/>
      <c r="CF60" s="213"/>
      <c r="CG60" s="213"/>
      <c r="CH60" s="213"/>
      <c r="CI60" s="213"/>
      <c r="CJ60" s="213"/>
      <c r="CK60" s="213"/>
      <c r="CL60" s="213"/>
    </row>
    <row r="61" spans="1:90">
      <c r="C61" s="11"/>
      <c r="D61" s="11"/>
      <c r="E61" s="11"/>
      <c r="F61" s="11"/>
      <c r="G61" s="26"/>
      <c r="H61" s="26"/>
      <c r="I61" s="74"/>
      <c r="J61" s="74"/>
      <c r="K61" s="74"/>
      <c r="L61" s="74"/>
      <c r="M61" s="26"/>
      <c r="N61" s="74"/>
      <c r="O61" s="74"/>
      <c r="P61" s="74"/>
      <c r="Q61" s="74"/>
      <c r="R61" s="26"/>
      <c r="S61" s="74"/>
      <c r="T61" s="74"/>
      <c r="U61" s="74"/>
      <c r="V61" s="74"/>
      <c r="W61" s="26"/>
      <c r="X61" s="134"/>
      <c r="Y61" s="134"/>
      <c r="Z61" s="134"/>
      <c r="AA61" s="134"/>
      <c r="AB61" s="26"/>
      <c r="AC61" s="134"/>
      <c r="AD61" s="75">
        <f>+AD60/AC60-1</f>
        <v>-0.28124130146970983</v>
      </c>
      <c r="AE61" s="75">
        <f>+AE60/AD60-1</f>
        <v>4.5926023542214756E-2</v>
      </c>
      <c r="AF61" s="75">
        <f>+AF60/AE60-1</f>
        <v>-0.11865322985443449</v>
      </c>
      <c r="AG61" s="26"/>
      <c r="AH61" s="75">
        <f>+AH60/AG60-1</f>
        <v>-0.10985595926917957</v>
      </c>
      <c r="AI61" s="75">
        <f>+AI60/AH60-1</f>
        <v>0.11650813267857707</v>
      </c>
      <c r="AJ61" s="75">
        <f>+AJ60/AI60-1</f>
        <v>0.10635065633576501</v>
      </c>
      <c r="AK61" s="75">
        <f>+AK60/AJ60-1</f>
        <v>0.35424525496189885</v>
      </c>
      <c r="AL61" s="26"/>
      <c r="AM61" s="75">
        <f>+AM60/AL60-1</f>
        <v>0.67746673033178584</v>
      </c>
      <c r="AN61" s="75">
        <f>+AN60/AM60-1</f>
        <v>3.4049189212479236E-2</v>
      </c>
      <c r="AO61" s="75">
        <f>+AO60/AN60-1</f>
        <v>-7.1153202195574305E-2</v>
      </c>
      <c r="AP61" s="75">
        <f>+AP60/AO60-1</f>
        <v>-2.3633618957293434E-2</v>
      </c>
      <c r="AQ61" s="26"/>
      <c r="AR61" s="15"/>
      <c r="AS61" s="15"/>
      <c r="AT61" s="26"/>
      <c r="AU61" s="26"/>
      <c r="AV61" s="26"/>
      <c r="AW61" s="26"/>
      <c r="AX61" s="26"/>
      <c r="AY61" s="15"/>
      <c r="AZ61" s="622"/>
      <c r="BA61" s="622"/>
      <c r="BB61" s="622"/>
      <c r="BC61" s="636">
        <f>BC60-BB60</f>
        <v>-1.2929999999999495</v>
      </c>
      <c r="BD61" s="15"/>
      <c r="BE61" s="622"/>
      <c r="BF61" s="622"/>
      <c r="BG61" s="622"/>
      <c r="BH61" s="622"/>
      <c r="BI61" s="15"/>
      <c r="BJ61" s="622"/>
      <c r="BK61" s="622"/>
      <c r="BL61" s="622"/>
      <c r="BM61" s="622"/>
      <c r="BN61" s="15"/>
      <c r="BO61" s="15"/>
      <c r="BP61" s="668"/>
      <c r="BQ61" s="668"/>
      <c r="BR61" s="668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269"/>
      <c r="CD61" s="269"/>
      <c r="CE61" s="269"/>
      <c r="CF61" s="269"/>
      <c r="CG61" s="269"/>
      <c r="CH61" s="269"/>
      <c r="CI61" s="269"/>
      <c r="CJ61" s="269"/>
      <c r="CK61" s="269"/>
      <c r="CL61" s="269"/>
    </row>
    <row r="62" spans="1:90">
      <c r="A62" s="365" t="s">
        <v>70</v>
      </c>
      <c r="B62" s="258"/>
      <c r="C62" s="11"/>
      <c r="D62" s="37">
        <f t="shared" ref="D62:K62" si="118">D54/C54-1</f>
        <v>-0.3386231461831537</v>
      </c>
      <c r="E62" s="37">
        <f t="shared" si="118"/>
        <v>0.42472984871104313</v>
      </c>
      <c r="F62" s="37">
        <f t="shared" si="118"/>
        <v>0.11301282652380218</v>
      </c>
      <c r="G62" s="314">
        <f t="shared" si="118"/>
        <v>-5.7150610548779568E-3</v>
      </c>
      <c r="H62" s="314">
        <f t="shared" si="118"/>
        <v>6.0917906053926218E-2</v>
      </c>
      <c r="I62" s="274">
        <f t="shared" si="118"/>
        <v>-8.226827367608025E-2</v>
      </c>
      <c r="J62" s="274">
        <f t="shared" si="118"/>
        <v>-0.12847682119205295</v>
      </c>
      <c r="K62" s="274">
        <f t="shared" si="118"/>
        <v>0.12462006079027366</v>
      </c>
      <c r="L62" s="274"/>
      <c r="M62" s="314">
        <f>+M54/H54-1</f>
        <v>-0.11246730263508498</v>
      </c>
      <c r="N62" s="274">
        <v>0.02</v>
      </c>
      <c r="O62" s="274">
        <v>0</v>
      </c>
      <c r="P62" s="274">
        <v>0.01</v>
      </c>
      <c r="Q62" s="274">
        <v>0.01</v>
      </c>
      <c r="R62" s="314">
        <f>+R54/M54-1</f>
        <v>1.4157583108132279</v>
      </c>
      <c r="S62" s="274"/>
      <c r="T62" s="274"/>
      <c r="U62" s="274"/>
      <c r="V62" s="274"/>
      <c r="W62" s="314">
        <f>+W54/R54-1</f>
        <v>-0.49868251915770612</v>
      </c>
      <c r="X62" s="274"/>
      <c r="Y62" s="274"/>
      <c r="Z62" s="274"/>
      <c r="AA62" s="88"/>
      <c r="AB62" s="314">
        <f>+AB54/W54-1</f>
        <v>0.21106585816645063</v>
      </c>
      <c r="AC62" s="274"/>
      <c r="AD62" s="274"/>
      <c r="AE62" s="274"/>
      <c r="AF62" s="274"/>
      <c r="AG62" s="314">
        <f>+AG54/AB54-1</f>
        <v>-0.29335861356071014</v>
      </c>
      <c r="AH62" s="274"/>
      <c r="AI62" s="274"/>
      <c r="AJ62" s="274"/>
      <c r="AK62" s="274"/>
      <c r="AL62" s="314">
        <f>+AL54/AG54-1</f>
        <v>8.6516940302409084E-2</v>
      </c>
      <c r="AM62" s="274"/>
      <c r="AN62" s="274"/>
      <c r="AO62" s="274"/>
      <c r="AP62" s="274"/>
      <c r="AQ62" s="314">
        <f>+AQ54/AL54-1</f>
        <v>0.51137910110553664</v>
      </c>
      <c r="AR62" s="366">
        <v>0.05</v>
      </c>
      <c r="AS62" s="366">
        <v>0.05</v>
      </c>
      <c r="AT62" s="314">
        <f>+AT54/AP54-1</f>
        <v>-0.16393442622950816</v>
      </c>
      <c r="AU62" s="314"/>
      <c r="AV62" s="314"/>
      <c r="AW62" s="314"/>
      <c r="AX62" s="314"/>
      <c r="AY62" s="366">
        <v>0.05</v>
      </c>
      <c r="AZ62" s="649"/>
      <c r="BA62" s="649"/>
      <c r="BB62" s="636">
        <f>IS!BC12*$A$3/BB32</f>
        <v>5966.3036488311836</v>
      </c>
      <c r="BC62" s="636">
        <f>IS!BD12*$A$3/BC32</f>
        <v>5994.8092634682707</v>
      </c>
      <c r="BD62" s="366">
        <v>0.05</v>
      </c>
      <c r="BE62" s="649"/>
      <c r="BF62" s="649"/>
      <c r="BG62" s="649"/>
      <c r="BH62" s="649"/>
      <c r="BI62" s="366">
        <f>BI53/BD53-1</f>
        <v>7.0480146306913793E-2</v>
      </c>
      <c r="BJ62" s="649"/>
      <c r="BK62" s="649"/>
      <c r="BL62" s="649"/>
      <c r="BM62" s="649"/>
      <c r="BN62" s="366">
        <v>-2.5000000000000001E-2</v>
      </c>
      <c r="BO62" s="366"/>
      <c r="BP62" s="668"/>
      <c r="BQ62" s="668"/>
      <c r="BR62" s="668">
        <v>0.04</v>
      </c>
      <c r="BS62" s="366">
        <f>BR62</f>
        <v>0.04</v>
      </c>
      <c r="BT62" s="366">
        <f t="shared" ref="BT62:CB62" si="119">BS62</f>
        <v>0.04</v>
      </c>
      <c r="BU62" s="366">
        <f t="shared" si="119"/>
        <v>0.04</v>
      </c>
      <c r="BV62" s="366">
        <f t="shared" si="119"/>
        <v>0.04</v>
      </c>
      <c r="BW62" s="366">
        <f t="shared" si="119"/>
        <v>0.04</v>
      </c>
      <c r="BX62" s="366">
        <f t="shared" si="119"/>
        <v>0.04</v>
      </c>
      <c r="BY62" s="366">
        <f t="shared" si="119"/>
        <v>0.04</v>
      </c>
      <c r="BZ62" s="366">
        <f t="shared" si="119"/>
        <v>0.04</v>
      </c>
      <c r="CA62" s="366">
        <f t="shared" si="119"/>
        <v>0.04</v>
      </c>
      <c r="CB62" s="366">
        <f t="shared" si="119"/>
        <v>0.04</v>
      </c>
      <c r="CC62" s="269"/>
      <c r="CD62" s="269"/>
      <c r="CE62" s="269"/>
      <c r="CF62" s="269"/>
      <c r="CG62" s="269"/>
      <c r="CH62" s="269"/>
      <c r="CI62" s="269"/>
      <c r="CJ62" s="269"/>
      <c r="CK62" s="269"/>
      <c r="CL62" s="269"/>
    </row>
    <row r="63" spans="1:90">
      <c r="A63" s="365" t="s">
        <v>71</v>
      </c>
      <c r="E63" s="12"/>
      <c r="F63" s="28"/>
      <c r="I63" s="188"/>
      <c r="J63" s="188"/>
      <c r="K63" s="188"/>
      <c r="L63" s="188"/>
      <c r="N63" s="188">
        <f>+N59/M59-1</f>
        <v>0.36769778015064447</v>
      </c>
      <c r="O63" s="188">
        <f>+O59/N59-1</f>
        <v>-6.8963197610599547E-2</v>
      </c>
      <c r="P63" s="188" t="e">
        <f>+P59/O59-1</f>
        <v>#DIV/0!</v>
      </c>
      <c r="Q63" s="188" t="e">
        <f>+Q59/P59-1</f>
        <v>#DIV/0!</v>
      </c>
      <c r="R63" s="260">
        <f>+R59/M59-1</f>
        <v>2.1990094627104244</v>
      </c>
      <c r="S63" s="188"/>
      <c r="T63" s="188"/>
      <c r="U63" s="188"/>
      <c r="V63" s="188"/>
      <c r="W63" s="260">
        <f>+W59/R59-1</f>
        <v>-0.5466517723967701</v>
      </c>
      <c r="X63" s="188"/>
      <c r="Y63" s="188"/>
      <c r="Z63" s="188"/>
      <c r="AA63" s="188"/>
      <c r="AB63" s="260">
        <f>+AB59/W59-1</f>
        <v>0.2479007423345656</v>
      </c>
      <c r="AC63" s="188"/>
      <c r="AD63" s="188"/>
      <c r="AE63" s="188"/>
      <c r="AF63" s="188"/>
      <c r="AG63" s="260">
        <f>+AG59/AB59-1</f>
        <v>-0.33846032226024458</v>
      </c>
      <c r="AH63" s="188"/>
      <c r="AI63" s="188"/>
      <c r="AJ63" s="188"/>
      <c r="AK63" s="188"/>
      <c r="AL63" s="260">
        <f>+AL59/AG59-1</f>
        <v>8.0177556050663012E-2</v>
      </c>
      <c r="AM63" s="188"/>
      <c r="AN63" s="188"/>
      <c r="AO63" s="188"/>
      <c r="AP63" s="188"/>
      <c r="AQ63" s="260">
        <f>+AQ59/AL59-1</f>
        <v>0.59081724969415728</v>
      </c>
      <c r="AR63" s="261">
        <f>+AR59/AP59-1</f>
        <v>-0.11676139380411221</v>
      </c>
      <c r="AS63" s="261">
        <f>+AS59/AP59-1</f>
        <v>-9.6589988021604123E-2</v>
      </c>
      <c r="AT63" s="260">
        <f>+AT59/AQ59-1</f>
        <v>-0.23124126556337166</v>
      </c>
      <c r="AU63" s="260"/>
      <c r="AV63" s="260"/>
      <c r="AW63" s="260"/>
      <c r="AX63" s="260"/>
      <c r="AY63" s="261">
        <f>+AY59/AT59-1</f>
        <v>0.27197214558421678</v>
      </c>
      <c r="AZ63" s="672"/>
      <c r="BA63" s="672"/>
      <c r="BB63" s="622">
        <f>BB62/20</f>
        <v>298.31518244155916</v>
      </c>
      <c r="BC63" s="636">
        <f>BC62/20</f>
        <v>299.74046317341356</v>
      </c>
      <c r="BD63" s="261">
        <f>+BD59/AY59-1</f>
        <v>0.35211051845438268</v>
      </c>
      <c r="BE63" s="672"/>
      <c r="BF63" s="672"/>
      <c r="BG63" s="672"/>
      <c r="BH63" s="672"/>
      <c r="BI63" s="261">
        <f>+BI59/BD59-1</f>
        <v>9.1387008396622171E-2</v>
      </c>
      <c r="BJ63" s="672"/>
      <c r="BK63" s="672"/>
      <c r="BL63" s="672"/>
      <c r="BM63" s="672"/>
      <c r="BN63" s="261">
        <f>+BN59/BI59-1</f>
        <v>0.10694191809633447</v>
      </c>
      <c r="BO63" s="261"/>
      <c r="BP63" s="668"/>
      <c r="BQ63" s="668"/>
      <c r="BR63" s="668">
        <f>+BR59/BN59-1</f>
        <v>4.1940696646224795E-2</v>
      </c>
      <c r="BS63" s="261">
        <f t="shared" ref="BS63:CB63" si="120">+BS59/BR59-1</f>
        <v>4.184087232600131E-2</v>
      </c>
      <c r="BT63" s="261">
        <f t="shared" si="120"/>
        <v>4.1744857125654455E-2</v>
      </c>
      <c r="BU63" s="261">
        <f t="shared" si="120"/>
        <v>4.1652465300785702E-2</v>
      </c>
      <c r="BV63" s="261">
        <f t="shared" si="120"/>
        <v>4.1563520686482613E-2</v>
      </c>
      <c r="BW63" s="261">
        <f t="shared" si="120"/>
        <v>4.1477856096256538E-2</v>
      </c>
      <c r="BX63" s="261">
        <f t="shared" si="120"/>
        <v>4.1395312765167613E-2</v>
      </c>
      <c r="BY63" s="261">
        <f t="shared" si="120"/>
        <v>4.1315739833327481E-2</v>
      </c>
      <c r="BZ63" s="261">
        <f t="shared" si="120"/>
        <v>4.1238993866361096E-2</v>
      </c>
      <c r="CA63" s="261">
        <f t="shared" si="120"/>
        <v>4.1164938409727458E-2</v>
      </c>
      <c r="CB63" s="261">
        <f t="shared" si="120"/>
        <v>4.1093443574096833E-2</v>
      </c>
      <c r="CC63" s="269"/>
      <c r="CD63" s="269"/>
      <c r="CE63" s="269"/>
      <c r="CF63" s="269"/>
      <c r="CG63" s="269"/>
      <c r="CH63" s="269"/>
      <c r="CI63" s="269"/>
      <c r="CJ63" s="269"/>
      <c r="CK63" s="269"/>
      <c r="CL63" s="269"/>
    </row>
    <row r="64" spans="1:90">
      <c r="A64" s="365" t="s">
        <v>72</v>
      </c>
      <c r="E64" s="12"/>
      <c r="F64" s="28"/>
      <c r="I64" s="188"/>
      <c r="J64" s="188"/>
      <c r="K64" s="188"/>
      <c r="L64" s="188"/>
      <c r="M64" s="10">
        <f t="shared" ref="M64:R64" si="121">+M59/M54</f>
        <v>0.57544702783601043</v>
      </c>
      <c r="N64" s="188">
        <f t="shared" si="121"/>
        <v>0.70945694123892045</v>
      </c>
      <c r="O64" s="188">
        <f t="shared" si="121"/>
        <v>0.65647818751322684</v>
      </c>
      <c r="P64" s="188" t="e">
        <f t="shared" si="121"/>
        <v>#DIV/0!</v>
      </c>
      <c r="Q64" s="188" t="e">
        <f t="shared" si="121"/>
        <v>#DIV/0!</v>
      </c>
      <c r="R64" s="260">
        <f t="shared" si="121"/>
        <v>0.76202179626002775</v>
      </c>
      <c r="S64" s="188"/>
      <c r="T64" s="188"/>
      <c r="U64" s="188"/>
      <c r="V64" s="188"/>
      <c r="W64" s="260">
        <f>+W59/W54</f>
        <v>0.68910669172972538</v>
      </c>
      <c r="X64" s="188"/>
      <c r="Y64" s="188"/>
      <c r="Z64" s="188"/>
      <c r="AA64" s="188"/>
      <c r="AB64" s="260">
        <f>+AB59/AB54</f>
        <v>0.7100660516176901</v>
      </c>
      <c r="AC64" s="188"/>
      <c r="AD64" s="188"/>
      <c r="AE64" s="188"/>
      <c r="AF64" s="188"/>
      <c r="AG64" s="260">
        <f>+AG59/AG54</f>
        <v>0.6647457621015862</v>
      </c>
      <c r="AH64" s="188"/>
      <c r="AI64" s="188"/>
      <c r="AJ64" s="188"/>
      <c r="AK64" s="188"/>
      <c r="AL64" s="260">
        <f>+AL59/AL54</f>
        <v>0.660867241059375</v>
      </c>
      <c r="AM64" s="188"/>
      <c r="AN64" s="188"/>
      <c r="AO64" s="188"/>
      <c r="AP64" s="188"/>
      <c r="AQ64" s="260">
        <f>+AQ59/AQ54</f>
        <v>0.69560245081199457</v>
      </c>
      <c r="AR64" s="261">
        <f>+AR59/AR54</f>
        <v>0.71223556023048251</v>
      </c>
      <c r="AS64" s="261">
        <f>+AS59/AS54</f>
        <v>0.71501082763362167</v>
      </c>
      <c r="AT64" s="260">
        <f>+AT59/AT54</f>
        <v>0.65149282704893807</v>
      </c>
      <c r="AU64" s="260"/>
      <c r="AV64" s="260"/>
      <c r="AW64" s="260"/>
      <c r="AX64" s="260"/>
      <c r="AY64" s="261">
        <f>+AY59/AY54</f>
        <v>0.71175698259940501</v>
      </c>
      <c r="AZ64" s="672"/>
      <c r="BA64" s="672"/>
      <c r="BB64" s="672"/>
      <c r="BC64" s="672"/>
      <c r="BD64" s="261">
        <f>+BD59/BD54</f>
        <v>0.78009978039388517</v>
      </c>
      <c r="BE64" s="672"/>
      <c r="BF64" s="672"/>
      <c r="BG64" s="672"/>
      <c r="BH64" s="672"/>
      <c r="BI64" s="261">
        <f>+BI59/BI54</f>
        <v>0.79533540954700233</v>
      </c>
      <c r="BJ64" s="672"/>
      <c r="BK64" s="672"/>
      <c r="BL64" s="672"/>
      <c r="BM64" s="672"/>
      <c r="BN64" s="261">
        <f t="shared" ref="BN64:CB64" si="122">+BN59/BN54</f>
        <v>0.77261520845044684</v>
      </c>
      <c r="BO64" s="261"/>
      <c r="BP64" s="668"/>
      <c r="BQ64" s="668"/>
      <c r="BR64" s="668">
        <f t="shared" si="122"/>
        <v>0.77405695051185264</v>
      </c>
      <c r="BS64" s="261">
        <f t="shared" si="122"/>
        <v>0.77542708514545466</v>
      </c>
      <c r="BT64" s="261">
        <f t="shared" si="122"/>
        <v>0.77672805579443682</v>
      </c>
      <c r="BU64" s="261">
        <f t="shared" si="122"/>
        <v>0.77796220594861676</v>
      </c>
      <c r="BV64" s="261">
        <f t="shared" si="122"/>
        <v>0.77913178287390739</v>
      </c>
      <c r="BW64" s="261">
        <f t="shared" si="122"/>
        <v>0.78023894119612591</v>
      </c>
      <c r="BX64" s="261">
        <f t="shared" si="122"/>
        <v>0.78128574634471426</v>
      </c>
      <c r="BY64" s="261">
        <f t="shared" si="122"/>
        <v>0.78227417786171105</v>
      </c>
      <c r="BZ64" s="261">
        <f t="shared" si="122"/>
        <v>0.78320613258111815</v>
      </c>
      <c r="CA64" s="261">
        <f t="shared" si="122"/>
        <v>0.78408342768359685</v>
      </c>
      <c r="CB64" s="261">
        <f t="shared" si="122"/>
        <v>0.78490780363124724</v>
      </c>
      <c r="CC64" s="269"/>
      <c r="CD64" s="269"/>
      <c r="CE64" s="269"/>
      <c r="CF64" s="269"/>
      <c r="CG64" s="269"/>
      <c r="CH64" s="269"/>
      <c r="CI64" s="269"/>
      <c r="CJ64" s="269"/>
      <c r="CK64" s="269"/>
      <c r="CL64" s="269"/>
    </row>
    <row r="65" spans="1:90">
      <c r="E65" s="12"/>
      <c r="F65" s="28"/>
      <c r="I65" s="40"/>
      <c r="J65" s="40"/>
      <c r="K65" s="40"/>
      <c r="L65" s="40"/>
      <c r="N65" s="367"/>
      <c r="O65" s="367"/>
      <c r="P65" s="367"/>
      <c r="Q65" s="367"/>
      <c r="R65" s="236"/>
      <c r="S65" s="367"/>
      <c r="T65" s="367"/>
      <c r="U65" s="367"/>
      <c r="V65" s="367"/>
      <c r="W65" s="259"/>
      <c r="X65" s="367"/>
      <c r="Y65" s="367"/>
      <c r="Z65" s="367"/>
      <c r="AA65" s="367"/>
      <c r="AB65" s="259"/>
      <c r="AC65" s="367"/>
      <c r="AD65" s="367"/>
      <c r="AE65" s="367"/>
      <c r="AF65" s="367"/>
      <c r="AG65" s="259"/>
      <c r="AH65" s="367"/>
      <c r="AI65" s="367"/>
      <c r="AJ65" s="367"/>
      <c r="AK65" s="367"/>
      <c r="AL65" s="236"/>
      <c r="AM65" s="367"/>
      <c r="AN65" s="367"/>
      <c r="AO65" s="367"/>
      <c r="AP65" s="367"/>
      <c r="AQ65" s="236"/>
      <c r="AR65" s="368"/>
      <c r="AS65" s="368"/>
      <c r="AT65" s="236"/>
      <c r="AU65" s="651"/>
      <c r="AV65" s="651"/>
      <c r="AW65" s="651"/>
      <c r="AX65" s="651"/>
      <c r="AY65" s="368"/>
      <c r="AZ65" s="676"/>
      <c r="BA65" s="676"/>
      <c r="BB65" s="676"/>
      <c r="BC65" s="676"/>
      <c r="BD65" s="368"/>
      <c r="BE65" s="676"/>
      <c r="BF65" s="676"/>
      <c r="BG65" s="676"/>
      <c r="BH65" s="676"/>
      <c r="BI65" s="368"/>
      <c r="BJ65" s="676"/>
      <c r="BK65" s="676"/>
      <c r="BL65" s="676"/>
      <c r="BM65" s="676"/>
      <c r="BN65" s="368"/>
      <c r="BO65" s="368"/>
      <c r="BP65" s="668"/>
      <c r="BQ65" s="668"/>
      <c r="BR65" s="668"/>
      <c r="BS65" s="368"/>
      <c r="BT65" s="368"/>
      <c r="BU65" s="368"/>
      <c r="BV65" s="368"/>
      <c r="BW65" s="368"/>
      <c r="BX65" s="368"/>
      <c r="BY65" s="368"/>
      <c r="BZ65" s="368"/>
      <c r="CA65" s="368"/>
      <c r="CB65" s="368"/>
      <c r="CC65" s="269"/>
      <c r="CD65" s="269"/>
      <c r="CE65" s="269"/>
      <c r="CF65" s="269"/>
      <c r="CG65" s="269"/>
      <c r="CH65" s="269"/>
      <c r="CI65" s="269"/>
      <c r="CJ65" s="269"/>
      <c r="CK65" s="269"/>
      <c r="CL65" s="269"/>
    </row>
    <row r="66" spans="1:90">
      <c r="E66" s="12"/>
      <c r="F66" s="28"/>
      <c r="I66" s="40"/>
      <c r="J66" s="40"/>
      <c r="K66" s="40"/>
      <c r="L66" s="40"/>
      <c r="N66" s="369"/>
      <c r="O66" s="369"/>
      <c r="P66" s="369"/>
      <c r="Q66" s="369"/>
      <c r="R66" s="22"/>
      <c r="S66" s="369"/>
      <c r="T66" s="369"/>
      <c r="U66" s="369"/>
      <c r="V66" s="369"/>
      <c r="W66" s="22"/>
      <c r="X66" s="369"/>
      <c r="Y66" s="369"/>
      <c r="Z66" s="369"/>
      <c r="AA66" s="369"/>
      <c r="AB66" s="22"/>
      <c r="AC66" s="369"/>
      <c r="AD66" s="369"/>
      <c r="AE66" s="369"/>
      <c r="AF66" s="369"/>
      <c r="AG66" s="22"/>
      <c r="AH66" s="369"/>
      <c r="AI66" s="369"/>
      <c r="AJ66" s="369"/>
      <c r="AK66" s="369"/>
      <c r="AM66" s="369"/>
      <c r="AN66" s="369"/>
      <c r="AO66" s="369"/>
      <c r="AP66" s="369"/>
      <c r="AR66" s="4"/>
      <c r="AS66" s="4"/>
      <c r="AU66" s="22"/>
      <c r="AV66" s="22"/>
      <c r="AW66" s="22"/>
      <c r="AX66" s="22"/>
      <c r="AY66" s="4"/>
      <c r="AZ66" s="677"/>
      <c r="BA66" s="677"/>
      <c r="BB66" s="677"/>
      <c r="BC66" s="677"/>
      <c r="BD66" s="15"/>
      <c r="BE66" s="677"/>
      <c r="BF66" s="677"/>
      <c r="BG66" s="677"/>
      <c r="BH66" s="677"/>
      <c r="BI66" s="4"/>
      <c r="BJ66" s="677"/>
      <c r="BK66" s="677"/>
      <c r="BL66" s="677"/>
      <c r="BM66" s="677"/>
      <c r="BN66" s="4"/>
      <c r="BO66" s="4"/>
      <c r="BP66" s="668"/>
      <c r="BQ66" s="668"/>
      <c r="BR66" s="668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269"/>
      <c r="CD66" s="269"/>
      <c r="CE66" s="269"/>
      <c r="CF66" s="269"/>
      <c r="CG66" s="269"/>
      <c r="CH66" s="269"/>
      <c r="CI66" s="269"/>
      <c r="CJ66" s="269"/>
      <c r="CK66" s="269"/>
      <c r="CL66" s="269"/>
    </row>
    <row r="67" spans="1:90">
      <c r="A67" s="266" t="s">
        <v>10</v>
      </c>
      <c r="D67" s="12"/>
      <c r="E67" s="12"/>
      <c r="I67" s="40"/>
      <c r="J67" s="40"/>
      <c r="K67" s="40"/>
      <c r="L67" s="40"/>
      <c r="N67" s="40"/>
      <c r="O67" s="40"/>
      <c r="P67" s="40"/>
      <c r="Q67" s="40"/>
      <c r="S67" s="40"/>
      <c r="T67" s="40"/>
      <c r="U67" s="40"/>
      <c r="V67" s="40"/>
      <c r="X67" s="40"/>
      <c r="Y67" s="40"/>
      <c r="Z67" s="40"/>
      <c r="AA67" s="40"/>
      <c r="AC67" s="40"/>
      <c r="AD67" s="40"/>
      <c r="AE67" s="40"/>
      <c r="AF67" s="40"/>
      <c r="AH67" s="40"/>
      <c r="AI67" s="40"/>
      <c r="AJ67" s="40"/>
      <c r="AK67" s="40"/>
      <c r="AM67" s="40"/>
      <c r="AN67" s="40"/>
      <c r="AO67" s="40"/>
      <c r="AP67" s="40"/>
      <c r="AR67" s="4"/>
      <c r="AS67" s="4"/>
      <c r="AU67" s="31"/>
      <c r="AV67" s="31"/>
      <c r="AW67" s="31"/>
      <c r="AX67" s="31"/>
      <c r="AY67" s="229"/>
      <c r="AZ67" s="619"/>
      <c r="BA67" s="619"/>
      <c r="BB67" s="619"/>
      <c r="BC67" s="619"/>
      <c r="BD67" s="4"/>
      <c r="BE67" s="619"/>
      <c r="BF67" s="619"/>
      <c r="BG67" s="619"/>
      <c r="BH67" s="619"/>
      <c r="BI67" s="4"/>
      <c r="BJ67" s="619"/>
      <c r="BK67" s="619"/>
      <c r="BL67" s="619"/>
      <c r="BM67" s="619"/>
      <c r="BN67" s="4"/>
      <c r="BO67" s="4"/>
      <c r="BP67" s="668"/>
      <c r="BQ67" s="668"/>
      <c r="BR67" s="668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269"/>
      <c r="CD67" s="269"/>
      <c r="CE67" s="269"/>
      <c r="CF67" s="269"/>
      <c r="CG67" s="269"/>
      <c r="CH67" s="269"/>
      <c r="CI67" s="269"/>
      <c r="CJ67" s="269"/>
      <c r="CK67" s="269"/>
      <c r="CL67" s="269"/>
    </row>
    <row r="68" spans="1:90">
      <c r="A68" s="47"/>
      <c r="F68" s="12"/>
      <c r="I68" s="40"/>
      <c r="J68" s="40"/>
      <c r="K68" s="40"/>
      <c r="L68" s="40"/>
      <c r="N68" s="40"/>
      <c r="O68" s="40"/>
      <c r="P68" s="40"/>
      <c r="Q68" s="40"/>
      <c r="S68" s="40"/>
      <c r="T68" s="40"/>
      <c r="U68" s="40"/>
      <c r="V68" s="40"/>
      <c r="X68" s="40"/>
      <c r="Y68" s="40"/>
      <c r="Z68" s="40"/>
      <c r="AA68" s="40"/>
      <c r="AC68" s="40"/>
      <c r="AD68" s="40"/>
      <c r="AE68" s="40"/>
      <c r="AF68" s="40"/>
      <c r="AH68" s="40"/>
      <c r="AI68" s="40"/>
      <c r="AJ68" s="40"/>
      <c r="AK68" s="40"/>
      <c r="AM68" s="40"/>
      <c r="AN68" s="40"/>
      <c r="AO68" s="40"/>
      <c r="AP68" s="40"/>
      <c r="AR68" s="4"/>
      <c r="AS68" s="4"/>
      <c r="AY68" s="4"/>
      <c r="BD68" s="4"/>
      <c r="BE68" s="640"/>
      <c r="BF68" s="640"/>
      <c r="BG68" s="640"/>
      <c r="BH68" s="640"/>
      <c r="BI68" s="4"/>
      <c r="BJ68" s="640"/>
      <c r="BK68" s="640"/>
      <c r="BL68" s="640"/>
      <c r="BM68" s="640"/>
      <c r="BN68" s="4"/>
      <c r="BO68" s="4"/>
      <c r="BP68" s="668"/>
      <c r="BQ68" s="668"/>
      <c r="BR68" s="668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269"/>
      <c r="CD68" s="269"/>
      <c r="CE68" s="269"/>
      <c r="CF68" s="269"/>
      <c r="CG68" s="269"/>
      <c r="CH68" s="269"/>
      <c r="CI68" s="269"/>
      <c r="CJ68" s="269"/>
      <c r="CK68" s="269"/>
      <c r="CL68" s="269"/>
    </row>
    <row r="69" spans="1:90">
      <c r="A69" s="1" t="s">
        <v>73</v>
      </c>
      <c r="B69" s="1" t="s">
        <v>74</v>
      </c>
      <c r="I69" s="40"/>
      <c r="J69" s="40"/>
      <c r="K69" s="40"/>
      <c r="L69" s="40"/>
      <c r="N69" s="40"/>
      <c r="O69" s="40"/>
      <c r="P69" s="40"/>
      <c r="Q69" s="40"/>
      <c r="S69" s="40"/>
      <c r="T69" s="40"/>
      <c r="U69" s="40"/>
      <c r="V69" s="40"/>
      <c r="X69" s="40"/>
      <c r="Y69" s="40"/>
      <c r="Z69" s="40"/>
      <c r="AA69" s="40"/>
      <c r="AC69" s="40"/>
      <c r="AD69" s="40"/>
      <c r="AE69" s="40"/>
      <c r="AF69" s="40"/>
      <c r="AH69" s="40"/>
      <c r="AI69" s="40"/>
      <c r="AJ69" s="40"/>
      <c r="AK69" s="40"/>
      <c r="AM69" s="40"/>
      <c r="AN69" s="40"/>
      <c r="AO69" s="40"/>
      <c r="AP69" s="40"/>
      <c r="AR69" s="4"/>
      <c r="AS69" s="4"/>
      <c r="AY69" s="4"/>
      <c r="BD69" s="4"/>
      <c r="BE69" s="640"/>
      <c r="BF69" s="640"/>
      <c r="BG69" s="640"/>
      <c r="BH69" s="640"/>
      <c r="BI69" s="4"/>
      <c r="BJ69" s="640"/>
      <c r="BK69" s="640"/>
      <c r="BL69" s="640"/>
      <c r="BM69" s="640"/>
      <c r="BN69" s="4"/>
      <c r="BO69" s="4"/>
      <c r="BP69" s="668"/>
      <c r="BQ69" s="668"/>
      <c r="BR69" s="668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269"/>
      <c r="CD69" s="269"/>
      <c r="CE69" s="269"/>
      <c r="CF69" s="269"/>
      <c r="CG69" s="269"/>
      <c r="CH69" s="269"/>
      <c r="CI69" s="269"/>
      <c r="CJ69" s="269"/>
      <c r="CK69" s="269"/>
      <c r="CL69" s="269"/>
    </row>
    <row r="70" spans="1:90">
      <c r="A70" s="1" t="s">
        <v>75</v>
      </c>
      <c r="B70" s="1" t="s">
        <v>76</v>
      </c>
      <c r="C70" s="370">
        <f>Assumptions!C119/Assumptions!C26</f>
        <v>2.5692542859581067E-4</v>
      </c>
      <c r="D70" s="370">
        <f>Assumptions!D119/Assumptions!D26</f>
        <v>1.7554511111427537E-4</v>
      </c>
      <c r="E70" s="370">
        <f>Assumptions!E119/Assumptions!E26</f>
        <v>2.4804679065482447E-4</v>
      </c>
      <c r="F70" s="370">
        <f>Assumptions!F119/Assumptions!F26</f>
        <v>2.5313317880610312E-4</v>
      </c>
      <c r="G70" s="371">
        <f>Assumptions!G119/Assumptions!G26</f>
        <v>2.1737967324515439E-4</v>
      </c>
      <c r="H70" s="371">
        <f>Assumptions!H119/Assumptions!H26</f>
        <v>2.1478801540407108E-4</v>
      </c>
      <c r="I70" s="372">
        <f>Assumptions!I119/Assumptions!I26</f>
        <v>2.1366218330946119E-4</v>
      </c>
      <c r="J70" s="372">
        <f>Assumptions!J119/Assumptions!J26</f>
        <v>2.3505497505646423E-4</v>
      </c>
      <c r="K70" s="372">
        <f>Assumptions!K119/Assumptions!K26</f>
        <v>2.4044018287008935E-4</v>
      </c>
      <c r="L70" s="372"/>
      <c r="M70" s="371">
        <f>Assumptions!M119/Assumptions!M26</f>
        <v>2.2089895792065938E-4</v>
      </c>
      <c r="N70" s="372">
        <f>Assumptions!N119/Assumptions!N26</f>
        <v>2.274484626799688E-4</v>
      </c>
      <c r="O70" s="372">
        <f>Assumptions!O119/Assumptions!O26</f>
        <v>2.2698347269067484E-4</v>
      </c>
      <c r="P70" s="372">
        <f>O70*(1+P5)</f>
        <v>2.2811839005412818E-4</v>
      </c>
      <c r="Q70" s="372">
        <f>P70*(1+Q5)</f>
        <v>2.2925898200439881E-4</v>
      </c>
      <c r="R70" s="371">
        <f>Assumptions!R119/Assumptions!R26</f>
        <v>2.2297859767047456E-4</v>
      </c>
      <c r="S70" s="372"/>
      <c r="T70" s="372"/>
      <c r="U70" s="372"/>
      <c r="V70" s="372"/>
      <c r="W70" s="371">
        <f>Assumptions!W119/Assumptions!W26</f>
        <v>2.0652220094210058E-4</v>
      </c>
      <c r="X70" s="372">
        <f>Assumptions!X119/Assumptions!X26</f>
        <v>2.0368328229404011E-4</v>
      </c>
      <c r="Y70" s="372">
        <f>Assumptions!Y119/Assumptions!Y26</f>
        <v>2.081696824063055E-4</v>
      </c>
      <c r="Z70" s="372">
        <f>Assumptions!Z119/Assumptions!Z26</f>
        <v>2.3556400109704971E-4</v>
      </c>
      <c r="AA70" s="372">
        <f>Assumptions!AA119/Assumptions!AA26</f>
        <v>2.2566756889374297E-4</v>
      </c>
      <c r="AB70" s="371">
        <f>Assumptions!AB119/Assumptions!AB26</f>
        <v>2.183304831375833E-4</v>
      </c>
      <c r="AC70" s="372">
        <f>Assumptions!AC119/Assumptions!AC26</f>
        <v>2.3266347438397162E-4</v>
      </c>
      <c r="AD70" s="372">
        <f>Assumptions!AD119/Assumptions!AD26</f>
        <v>2.2899847423230184E-4</v>
      </c>
      <c r="AE70" s="372">
        <f>Assumptions!AE119/Assumptions!AE26</f>
        <v>2.5289522986967565E-4</v>
      </c>
      <c r="AF70" s="372">
        <f>AE70*(1+AF72)</f>
        <v>2.5289522986967565E-4</v>
      </c>
      <c r="AG70" s="371">
        <f>Assumptions!AG119/Assumptions!AG26</f>
        <v>2.3801140831676226E-4</v>
      </c>
      <c r="AH70" s="372">
        <f>Assumptions!AH119/Assumptions!AH26</f>
        <v>2.9840790450577409E-4</v>
      </c>
      <c r="AI70" s="372">
        <f>Assumptions!AI119/Assumptions!AI26</f>
        <v>3.3593756467427903E-4</v>
      </c>
      <c r="AJ70" s="372">
        <f>Assumptions!AJ119/Assumptions!AJ26</f>
        <v>3.2087257269785169E-4</v>
      </c>
      <c r="AK70" s="372">
        <f>Assumptions!AK119/Assumptions!AK26</f>
        <v>3.3763529537643303E-4</v>
      </c>
      <c r="AL70" s="371">
        <f>Assumptions!AL119/Assumptions!AL26</f>
        <v>3.2668995240276962E-4</v>
      </c>
      <c r="AM70" s="372">
        <f>Assumptions!AM119/Assumptions!AM26</f>
        <v>3.8241649496875241E-4</v>
      </c>
      <c r="AN70" s="372">
        <f>Assumptions!AN119/Assumptions!AN26</f>
        <v>5.0538254854458429E-4</v>
      </c>
      <c r="AO70" s="372">
        <f>AN70*1.035</f>
        <v>5.2307093774364472E-4</v>
      </c>
      <c r="AP70" s="372">
        <f>AO70*0.7</f>
        <v>3.6614965642055129E-4</v>
      </c>
      <c r="AQ70" s="371">
        <f>Assumptions!AQ119/Assumptions!AQ26</f>
        <v>3.9394206684245929E-4</v>
      </c>
      <c r="AR70" s="373">
        <f>AP70*(1+AR72)</f>
        <v>4.0276462206260646E-4</v>
      </c>
      <c r="AS70" s="373">
        <f>AP70*(1+AS72)</f>
        <v>4.0276462206260646E-4</v>
      </c>
      <c r="AT70" s="371">
        <f>Assumptions!AT119/Assumptions!AT26</f>
        <v>3.8968559829670132E-4</v>
      </c>
      <c r="AU70" s="371">
        <f>Assumptions!AU119/Assumptions!AU26</f>
        <v>4.1373498705652275E-4</v>
      </c>
      <c r="AV70" s="371">
        <f>Assumptions!AV119/Assumptions!AV26</f>
        <v>4.4063846722651077E-4</v>
      </c>
      <c r="AW70" s="371">
        <f>Assumptions!AW119/Assumptions!AW26</f>
        <v>4.5464167959416793E-4</v>
      </c>
      <c r="AX70" s="371">
        <f>AW70</f>
        <v>4.5464167959416793E-4</v>
      </c>
      <c r="AY70" s="371">
        <f>Assumptions!AY119/Assumptions!AY26</f>
        <v>3.5024859216967652E-4</v>
      </c>
      <c r="AZ70" s="678">
        <f>Assumptions!AZ119/Assumptions!AZ26</f>
        <v>4.7332593259744884E-4</v>
      </c>
      <c r="BA70" s="678">
        <f>AZ70</f>
        <v>4.7332593259744884E-4</v>
      </c>
      <c r="BB70" s="678">
        <f>BA70</f>
        <v>4.7332593259744884E-4</v>
      </c>
      <c r="BC70" s="678">
        <f>BB70</f>
        <v>4.7332593259744884E-4</v>
      </c>
      <c r="BD70" s="371">
        <f>Assumptions!BD119/Assumptions!BD26</f>
        <v>4.6894910622111656E-4</v>
      </c>
      <c r="BE70" s="678">
        <f>Assumptions!BE119/Assumptions!BE26</f>
        <v>4.8801694073314543E-4</v>
      </c>
      <c r="BF70" s="678">
        <f>Assumptions!BF119/Assumptions!BF26</f>
        <v>5.1538062435815802E-4</v>
      </c>
      <c r="BG70" s="678">
        <f>Assumptions!BG119/Assumptions!BG26</f>
        <v>4.7993660594585581E-4</v>
      </c>
      <c r="BH70" s="678">
        <f>Assumptions!BH119/Assumptions!BH26</f>
        <v>5.6424185344231524E-4</v>
      </c>
      <c r="BI70" s="373">
        <f>Assumptions!BI119/Assumptions!BI26</f>
        <v>5.100892506298034E-4</v>
      </c>
      <c r="BJ70" s="678">
        <f>Assumptions!BJ119/Assumptions!BJ26</f>
        <v>5.3929518453003943E-4</v>
      </c>
      <c r="BK70" s="678">
        <f>Assumptions!BK119/Assumptions!BK26</f>
        <v>5.4335274100488612E-4</v>
      </c>
      <c r="BL70" s="678">
        <f>Assumptions!BL119/Assumptions!BL26</f>
        <v>5.6168468392843603E-4</v>
      </c>
      <c r="BM70" s="678">
        <f>BL70</f>
        <v>5.6168468392843603E-4</v>
      </c>
      <c r="BN70" s="373">
        <f>BI70*(1+BN72)</f>
        <v>5.3559371316129359E-4</v>
      </c>
      <c r="BO70" s="373">
        <f>BM70</f>
        <v>5.6168468392843603E-4</v>
      </c>
      <c r="BP70" s="668"/>
      <c r="BQ70" s="668">
        <f>BO70</f>
        <v>5.6168468392843603E-4</v>
      </c>
      <c r="BR70" s="668">
        <f>BN70*(1+BR72)</f>
        <v>5.6237339881935831E-4</v>
      </c>
      <c r="BS70" s="373">
        <f t="shared" ref="BS70:CB70" si="123">BR70*(1+BS72)</f>
        <v>5.9049206876032629E-4</v>
      </c>
      <c r="BT70" s="373">
        <f t="shared" si="123"/>
        <v>6.200166721983426E-4</v>
      </c>
      <c r="BU70" s="373">
        <f t="shared" si="123"/>
        <v>6.510175058082598E-4</v>
      </c>
      <c r="BV70" s="373">
        <f t="shared" si="123"/>
        <v>6.8356838109867287E-4</v>
      </c>
      <c r="BW70" s="373">
        <f t="shared" si="123"/>
        <v>7.1774680015360658E-4</v>
      </c>
      <c r="BX70" s="373">
        <f t="shared" si="123"/>
        <v>7.5363414016128697E-4</v>
      </c>
      <c r="BY70" s="373">
        <f t="shared" si="123"/>
        <v>7.9131584716935139E-4</v>
      </c>
      <c r="BZ70" s="373">
        <f t="shared" si="123"/>
        <v>8.3088163952781894E-4</v>
      </c>
      <c r="CA70" s="373">
        <f t="shared" si="123"/>
        <v>8.7242572150420992E-4</v>
      </c>
      <c r="CB70" s="373">
        <f t="shared" si="123"/>
        <v>9.160470075794204E-4</v>
      </c>
      <c r="CC70" s="269"/>
      <c r="CD70" s="269"/>
      <c r="CE70" s="269"/>
      <c r="CF70" s="269"/>
      <c r="CG70" s="269"/>
      <c r="CH70" s="269"/>
      <c r="CI70" s="269"/>
      <c r="CJ70" s="269"/>
      <c r="CK70" s="269"/>
      <c r="CL70" s="269"/>
    </row>
    <row r="71" spans="1:90">
      <c r="A71" s="1" t="s">
        <v>77</v>
      </c>
      <c r="B71" s="1" t="s">
        <v>78</v>
      </c>
      <c r="C71" s="1">
        <f t="shared" ref="C71:K71" si="124">C70*C26</f>
        <v>171.60999999999999</v>
      </c>
      <c r="D71" s="1">
        <f t="shared" si="124"/>
        <v>160.26900000000001</v>
      </c>
      <c r="E71" s="1">
        <f t="shared" si="124"/>
        <v>275.70500000000004</v>
      </c>
      <c r="F71" s="1">
        <f t="shared" si="124"/>
        <v>290.92899999999997</v>
      </c>
      <c r="G71" s="92">
        <f t="shared" si="124"/>
        <v>236.46299999999999</v>
      </c>
      <c r="H71" s="92">
        <f t="shared" si="124"/>
        <v>240.499</v>
      </c>
      <c r="I71" s="88">
        <f t="shared" si="124"/>
        <v>148.27600000000001</v>
      </c>
      <c r="J71" s="88">
        <f t="shared" si="124"/>
        <v>94.706000000000003</v>
      </c>
      <c r="K71" s="88">
        <f t="shared" si="124"/>
        <v>74.286999999999978</v>
      </c>
      <c r="L71" s="88"/>
      <c r="M71" s="92">
        <f t="shared" ref="M71:R71" si="125">M70*M26</f>
        <v>317.26900000000001</v>
      </c>
      <c r="N71" s="88">
        <f t="shared" si="125"/>
        <v>80.774000000000001</v>
      </c>
      <c r="O71" s="88">
        <f t="shared" si="125"/>
        <v>75.44</v>
      </c>
      <c r="P71" s="88">
        <f t="shared" si="125"/>
        <v>84.850003890973298</v>
      </c>
      <c r="Q71" s="88">
        <f t="shared" si="125"/>
        <v>96.957291633372321</v>
      </c>
      <c r="R71" s="92">
        <f t="shared" si="125"/>
        <v>330.53500000000003</v>
      </c>
      <c r="S71" s="88"/>
      <c r="T71" s="88"/>
      <c r="U71" s="88"/>
      <c r="V71" s="88"/>
      <c r="W71" s="92">
        <f t="shared" ref="W71:BB71" si="126">W70*W26</f>
        <v>374.28699999999998</v>
      </c>
      <c r="X71" s="88">
        <f t="shared" si="126"/>
        <v>106.02</v>
      </c>
      <c r="Y71" s="88">
        <f t="shared" si="126"/>
        <v>109.501</v>
      </c>
      <c r="Z71" s="88">
        <f t="shared" si="126"/>
        <v>120.246</v>
      </c>
      <c r="AA71" s="88">
        <f t="shared" si="126"/>
        <v>128.31299999999999</v>
      </c>
      <c r="AB71" s="92">
        <f t="shared" si="126"/>
        <v>464.08</v>
      </c>
      <c r="AC71" s="88">
        <f t="shared" si="126"/>
        <v>131.14099999999999</v>
      </c>
      <c r="AD71" s="88">
        <f t="shared" si="126"/>
        <v>139.131</v>
      </c>
      <c r="AE71" s="88">
        <f t="shared" si="126"/>
        <v>154.018</v>
      </c>
      <c r="AF71" s="88">
        <f t="shared" si="126"/>
        <v>180.87852082042468</v>
      </c>
      <c r="AG71" s="92">
        <f t="shared" si="126"/>
        <v>605.16852082042465</v>
      </c>
      <c r="AH71" s="88">
        <f t="shared" si="126"/>
        <v>284.16399999999999</v>
      </c>
      <c r="AI71" s="88">
        <f t="shared" si="126"/>
        <v>326.80799999999999</v>
      </c>
      <c r="AJ71" s="88">
        <f t="shared" si="126"/>
        <v>377.22399999999999</v>
      </c>
      <c r="AK71" s="88">
        <f t="shared" si="126"/>
        <v>392.97300000000018</v>
      </c>
      <c r="AL71" s="92">
        <f t="shared" si="126"/>
        <v>1381.1690000000001</v>
      </c>
      <c r="AM71" s="88">
        <f t="shared" si="126"/>
        <v>357.84699999999998</v>
      </c>
      <c r="AN71" s="88">
        <f t="shared" si="126"/>
        <v>371.56300000000005</v>
      </c>
      <c r="AO71" s="88">
        <f t="shared" si="126"/>
        <v>537.10859249987095</v>
      </c>
      <c r="AP71" s="88">
        <f t="shared" si="126"/>
        <v>429.19135952016666</v>
      </c>
      <c r="AQ71" s="92">
        <f t="shared" si="126"/>
        <v>1527.43</v>
      </c>
      <c r="AR71" s="333">
        <f t="shared" si="126"/>
        <v>413.35524059030166</v>
      </c>
      <c r="AS71" s="333">
        <f t="shared" si="126"/>
        <v>456.7851763117028</v>
      </c>
      <c r="AT71" s="92">
        <f t="shared" si="126"/>
        <v>1912.808</v>
      </c>
      <c r="AU71" s="92">
        <f t="shared" si="126"/>
        <v>402.596</v>
      </c>
      <c r="AV71" s="92">
        <f t="shared" si="126"/>
        <v>467.78399999999999</v>
      </c>
      <c r="AW71" s="92">
        <f t="shared" si="126"/>
        <v>455.726</v>
      </c>
      <c r="AX71" s="92">
        <f t="shared" si="126"/>
        <v>536.57765773230847</v>
      </c>
      <c r="AY71" s="333">
        <f t="shared" si="126"/>
        <v>1805.8980000000001</v>
      </c>
      <c r="AZ71" s="636">
        <f t="shared" si="126"/>
        <v>451.96</v>
      </c>
      <c r="BA71" s="636">
        <f t="shared" si="126"/>
        <v>460.20013116058897</v>
      </c>
      <c r="BB71" s="636">
        <f t="shared" si="126"/>
        <v>478.98596409944912</v>
      </c>
      <c r="BC71" s="636">
        <f t="shared" ref="BC71:CB71" si="127">BC70*BC26</f>
        <v>493.13746283224765</v>
      </c>
      <c r="BD71" s="333">
        <f t="shared" si="127"/>
        <v>1877.8869999999999</v>
      </c>
      <c r="BE71" s="636">
        <f t="shared" si="127"/>
        <v>474.51400000000001</v>
      </c>
      <c r="BF71" s="636">
        <f t="shared" si="127"/>
        <v>480.779</v>
      </c>
      <c r="BG71" s="636">
        <f t="shared" si="127"/>
        <v>477.55900000000003</v>
      </c>
      <c r="BH71" s="636">
        <f t="shared" si="127"/>
        <v>603.88999999999987</v>
      </c>
      <c r="BI71" s="333">
        <f t="shared" si="127"/>
        <v>2036.7420000000002</v>
      </c>
      <c r="BJ71" s="636">
        <f t="shared" ref="BJ71:BK71" si="128">BJ70*BJ26</f>
        <v>483.84000000000003</v>
      </c>
      <c r="BK71" s="636">
        <f t="shared" si="128"/>
        <v>516.54100000000005</v>
      </c>
      <c r="BL71" s="636">
        <f t="shared" ref="BL71:BM71" si="129">BL70*BL26</f>
        <v>611.577</v>
      </c>
      <c r="BM71" s="636">
        <f t="shared" si="129"/>
        <v>569.28259264793599</v>
      </c>
      <c r="BN71" s="333">
        <f t="shared" si="127"/>
        <v>2119.0653857734246</v>
      </c>
      <c r="BO71" s="333">
        <f t="shared" si="127"/>
        <v>503.67164303357146</v>
      </c>
      <c r="BP71" s="668"/>
      <c r="BQ71" s="668">
        <f t="shared" si="127"/>
        <v>565.66702833748866</v>
      </c>
      <c r="BR71" s="668">
        <f t="shared" si="127"/>
        <v>2274.6703190076641</v>
      </c>
      <c r="BS71" s="333">
        <f t="shared" si="127"/>
        <v>2442.1021095151796</v>
      </c>
      <c r="BT71" s="333">
        <f t="shared" si="127"/>
        <v>2564.2072149909386</v>
      </c>
      <c r="BU71" s="333">
        <f t="shared" si="127"/>
        <v>2692.4175757404855</v>
      </c>
      <c r="BV71" s="333">
        <f t="shared" si="127"/>
        <v>2827.0384545275101</v>
      </c>
      <c r="BW71" s="333">
        <f t="shared" si="127"/>
        <v>2968.3903772538861</v>
      </c>
      <c r="BX71" s="333">
        <f t="shared" si="127"/>
        <v>3116.8098961165806</v>
      </c>
      <c r="BY71" s="333">
        <f t="shared" si="127"/>
        <v>3272.6503909224098</v>
      </c>
      <c r="BZ71" s="333">
        <f t="shared" si="127"/>
        <v>3436.2829104685302</v>
      </c>
      <c r="CA71" s="333">
        <f t="shared" si="127"/>
        <v>3608.0970559919569</v>
      </c>
      <c r="CB71" s="333">
        <f t="shared" si="127"/>
        <v>3788.5019087915548</v>
      </c>
      <c r="CC71" s="269"/>
      <c r="CD71" s="269"/>
      <c r="CE71" s="269"/>
      <c r="CF71" s="269"/>
      <c r="CG71" s="269"/>
      <c r="CH71" s="269"/>
      <c r="CI71" s="269"/>
      <c r="CJ71" s="269"/>
      <c r="CK71" s="269"/>
      <c r="CL71" s="269"/>
    </row>
    <row r="72" spans="1:90">
      <c r="G72" s="92"/>
      <c r="H72" s="92"/>
      <c r="I72" s="88"/>
      <c r="J72" s="88"/>
      <c r="K72" s="88"/>
      <c r="L72" s="88"/>
      <c r="M72" s="92"/>
      <c r="N72" s="88"/>
      <c r="O72" s="88"/>
      <c r="P72" s="88"/>
      <c r="Q72" s="88"/>
      <c r="R72" s="92"/>
      <c r="S72" s="88"/>
      <c r="T72" s="88"/>
      <c r="U72" s="88"/>
      <c r="V72" s="88"/>
      <c r="W72" s="45">
        <f>W70/R70-1</f>
        <v>-7.3802584195519105E-2</v>
      </c>
      <c r="X72" s="88"/>
      <c r="Y72" s="374">
        <f>+Y70/X70-1</f>
        <v>2.2026354159929262E-2</v>
      </c>
      <c r="Z72" s="374">
        <f>+Z70/Y70-1</f>
        <v>0.13159610167092439</v>
      </c>
      <c r="AA72" s="374">
        <f>+AA70/Z70-1</f>
        <v>-4.2011649306421539E-2</v>
      </c>
      <c r="AB72" s="45">
        <f>AB70/W70-1</f>
        <v>5.7176817512192057E-2</v>
      </c>
      <c r="AC72" s="374">
        <f>+AC70/AA70-1</f>
        <v>3.100093435899387E-2</v>
      </c>
      <c r="AD72" s="374">
        <f>+AD70/AC70-1</f>
        <v>-1.5752365777970456E-2</v>
      </c>
      <c r="AE72" s="374">
        <v>0</v>
      </c>
      <c r="AF72" s="374">
        <v>0</v>
      </c>
      <c r="AG72" s="45">
        <f>AG70/AB70-1</f>
        <v>9.0142818796296043E-2</v>
      </c>
      <c r="AH72" s="374">
        <f>+AH70/AF70-1</f>
        <v>0.17996652075862585</v>
      </c>
      <c r="AI72" s="374">
        <v>0.01</v>
      </c>
      <c r="AJ72" s="374">
        <f>AJ70/AI70-1</f>
        <v>-4.4844618645236034E-2</v>
      </c>
      <c r="AK72" s="374">
        <v>0</v>
      </c>
      <c r="AL72" s="375">
        <f>AL70/AG70-1</f>
        <v>0.37258106539157043</v>
      </c>
      <c r="AM72" s="374">
        <f>AM70/AL70-1</f>
        <v>0.17057929745350298</v>
      </c>
      <c r="AN72" s="374">
        <f>AN70/AM70-1</f>
        <v>0.32155007745123432</v>
      </c>
      <c r="AO72" s="374">
        <f>AO70/AN70-1</f>
        <v>3.499999999999992E-2</v>
      </c>
      <c r="AP72" s="374">
        <f>AP70/AO70-1</f>
        <v>-0.30000000000000004</v>
      </c>
      <c r="AQ72" s="375">
        <v>0.1</v>
      </c>
      <c r="AR72" s="376">
        <v>0.1</v>
      </c>
      <c r="AS72" s="376">
        <v>0.1</v>
      </c>
      <c r="AT72" s="375">
        <v>0.1</v>
      </c>
      <c r="AU72" s="375"/>
      <c r="AV72" s="375"/>
      <c r="AW72" s="375"/>
      <c r="AX72" s="375"/>
      <c r="AY72" s="376">
        <v>0.05</v>
      </c>
      <c r="AZ72" s="679"/>
      <c r="BA72" s="679"/>
      <c r="BB72" s="679"/>
      <c r="BC72" s="679"/>
      <c r="BD72" s="376">
        <v>0.03</v>
      </c>
      <c r="BE72" s="679"/>
      <c r="BF72" s="679"/>
      <c r="BG72" s="679"/>
      <c r="BH72" s="679"/>
      <c r="BI72" s="376">
        <v>0.05</v>
      </c>
      <c r="BJ72" s="679"/>
      <c r="BK72" s="679"/>
      <c r="BL72" s="679"/>
      <c r="BM72" s="679"/>
      <c r="BN72" s="376">
        <f>BI72</f>
        <v>0.05</v>
      </c>
      <c r="BO72" s="376"/>
      <c r="BP72" s="668"/>
      <c r="BQ72" s="668"/>
      <c r="BR72" s="668">
        <f>BN72</f>
        <v>0.05</v>
      </c>
      <c r="BS72" s="376">
        <f t="shared" ref="BS72:CB72" si="130">BR72</f>
        <v>0.05</v>
      </c>
      <c r="BT72" s="376">
        <f t="shared" si="130"/>
        <v>0.05</v>
      </c>
      <c r="BU72" s="376">
        <f t="shared" si="130"/>
        <v>0.05</v>
      </c>
      <c r="BV72" s="376">
        <f t="shared" si="130"/>
        <v>0.05</v>
      </c>
      <c r="BW72" s="376">
        <f t="shared" si="130"/>
        <v>0.05</v>
      </c>
      <c r="BX72" s="376">
        <f t="shared" si="130"/>
        <v>0.05</v>
      </c>
      <c r="BY72" s="376">
        <f t="shared" si="130"/>
        <v>0.05</v>
      </c>
      <c r="BZ72" s="376">
        <f t="shared" si="130"/>
        <v>0.05</v>
      </c>
      <c r="CA72" s="376">
        <f t="shared" si="130"/>
        <v>0.05</v>
      </c>
      <c r="CB72" s="376">
        <f t="shared" si="130"/>
        <v>0.05</v>
      </c>
      <c r="CC72" s="269"/>
      <c r="CD72" s="269"/>
      <c r="CE72" s="269"/>
      <c r="CF72" s="269"/>
      <c r="CG72" s="269"/>
      <c r="CH72" s="269"/>
      <c r="CI72" s="269"/>
      <c r="CJ72" s="269"/>
      <c r="CK72" s="269"/>
      <c r="CL72" s="269"/>
    </row>
    <row r="73" spans="1:90">
      <c r="I73" s="40"/>
      <c r="J73" s="40"/>
      <c r="K73" s="40"/>
      <c r="L73" s="40"/>
      <c r="N73" s="40"/>
      <c r="O73" s="40"/>
      <c r="P73" s="40"/>
      <c r="Q73" s="40"/>
      <c r="S73" s="40"/>
      <c r="T73" s="40"/>
      <c r="U73" s="40"/>
      <c r="V73" s="40"/>
      <c r="X73" s="40"/>
      <c r="Y73" s="40"/>
      <c r="Z73" s="40"/>
      <c r="AA73" s="40"/>
      <c r="AC73" s="40"/>
      <c r="AD73" s="40"/>
      <c r="AE73" s="40"/>
      <c r="AF73" s="40"/>
      <c r="AH73" s="40"/>
      <c r="AI73" s="40"/>
      <c r="AJ73" s="40"/>
      <c r="AK73" s="40"/>
      <c r="AM73" s="40"/>
      <c r="AN73" s="40"/>
      <c r="AO73" s="40"/>
      <c r="AP73" s="40"/>
      <c r="AR73" s="4"/>
      <c r="AS73" s="4"/>
      <c r="AY73" s="4"/>
      <c r="BD73" s="4"/>
      <c r="BE73" s="640"/>
      <c r="BF73" s="640"/>
      <c r="BG73" s="640"/>
      <c r="BH73" s="640"/>
      <c r="BI73" s="4"/>
      <c r="BJ73" s="640"/>
      <c r="BK73" s="640"/>
      <c r="BL73" s="640"/>
      <c r="BM73" s="640"/>
      <c r="BN73" s="4"/>
      <c r="BO73" s="4"/>
      <c r="BP73" s="668"/>
      <c r="BQ73" s="668"/>
      <c r="BR73" s="668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269"/>
      <c r="CD73" s="269"/>
      <c r="CE73" s="269"/>
      <c r="CF73" s="269"/>
      <c r="CG73" s="269"/>
      <c r="CH73" s="269"/>
      <c r="CI73" s="269"/>
      <c r="CJ73" s="269"/>
      <c r="CK73" s="269"/>
      <c r="CL73" s="269"/>
    </row>
    <row r="74" spans="1:90" s="36" customFormat="1">
      <c r="A74" s="109" t="s">
        <v>198</v>
      </c>
      <c r="B74" s="1" t="s">
        <v>78</v>
      </c>
      <c r="G74" s="92">
        <f>+G121</f>
        <v>130.48699999999999</v>
      </c>
      <c r="H74" s="92">
        <f t="shared" ref="H74:M74" si="131">+H121</f>
        <v>125.367</v>
      </c>
      <c r="I74" s="88">
        <f t="shared" si="131"/>
        <v>99.733999999999995</v>
      </c>
      <c r="J74" s="88">
        <f t="shared" si="131"/>
        <v>55.453000000000003</v>
      </c>
      <c r="K74" s="88">
        <f t="shared" si="131"/>
        <v>47.36399999999999</v>
      </c>
      <c r="L74" s="88">
        <f t="shared" si="131"/>
        <v>202.55099999999999</v>
      </c>
      <c r="M74" s="92">
        <f t="shared" si="131"/>
        <v>202.55099999999999</v>
      </c>
      <c r="N74" s="88"/>
      <c r="O74" s="88"/>
      <c r="P74" s="88"/>
      <c r="Q74" s="88"/>
      <c r="R74" s="92">
        <f>+R121</f>
        <v>217.911</v>
      </c>
      <c r="S74" s="88"/>
      <c r="T74" s="88"/>
      <c r="U74" s="88"/>
      <c r="V74" s="88"/>
      <c r="W74" s="92">
        <f t="shared" ref="W74:AC74" si="132">+W121</f>
        <v>322.97899999999998</v>
      </c>
      <c r="X74" s="88">
        <f t="shared" si="132"/>
        <v>112.739</v>
      </c>
      <c r="Y74" s="88">
        <f t="shared" si="132"/>
        <v>126.256</v>
      </c>
      <c r="Z74" s="88">
        <f t="shared" si="132"/>
        <v>118.852</v>
      </c>
      <c r="AA74" s="88">
        <f t="shared" si="132"/>
        <v>112.77800000000002</v>
      </c>
      <c r="AB74" s="92">
        <f t="shared" si="132"/>
        <v>470.625</v>
      </c>
      <c r="AC74" s="88">
        <f t="shared" si="132"/>
        <v>45.884999999999998</v>
      </c>
      <c r="AD74" s="88">
        <f>+AD121</f>
        <v>239.9</v>
      </c>
      <c r="AE74" s="88">
        <f>+AE121</f>
        <v>148.119</v>
      </c>
      <c r="AF74" s="88">
        <f>+AF75*AF$26/$A$3</f>
        <v>158.29517666191251</v>
      </c>
      <c r="AG74" s="92">
        <f t="shared" ref="AG74:AO74" si="133">+AG121</f>
        <v>592.19917666191247</v>
      </c>
      <c r="AH74" s="88">
        <f t="shared" si="133"/>
        <v>410.34300000000002</v>
      </c>
      <c r="AI74" s="88">
        <f t="shared" si="133"/>
        <v>427.64299999999997</v>
      </c>
      <c r="AJ74" s="88">
        <f t="shared" si="133"/>
        <v>330.39</v>
      </c>
      <c r="AK74" s="88">
        <f t="shared" si="133"/>
        <v>476.38300000000004</v>
      </c>
      <c r="AL74" s="92">
        <f t="shared" si="133"/>
        <v>1644.759</v>
      </c>
      <c r="AM74" s="88">
        <f t="shared" si="133"/>
        <v>368.399</v>
      </c>
      <c r="AN74" s="88">
        <f t="shared" si="133"/>
        <v>370.99200000000002</v>
      </c>
      <c r="AO74" s="88">
        <f t="shared" si="133"/>
        <v>245.822</v>
      </c>
      <c r="AP74" s="88">
        <f>AP26*AP75/A3</f>
        <v>300.25853096415165</v>
      </c>
      <c r="AQ74" s="92">
        <f>+AQ121</f>
        <v>1427.6310000000001</v>
      </c>
      <c r="AR74" s="333">
        <f t="shared" ref="AR74:CB74" si="134">+AR75*AR$26/$A$3</f>
        <v>462.0683266389546</v>
      </c>
      <c r="AS74" s="333">
        <f t="shared" si="134"/>
        <v>510.61639317892917</v>
      </c>
      <c r="AT74" s="92">
        <f>+AT121</f>
        <v>1991.2429999999999</v>
      </c>
      <c r="AU74" s="92">
        <f>AU121</f>
        <v>457.20100000000002</v>
      </c>
      <c r="AV74" s="92">
        <f>AV121</f>
        <v>513.51199999999994</v>
      </c>
      <c r="AW74" s="92">
        <f>AW26*AW75/$A$3</f>
        <v>484.86652391426179</v>
      </c>
      <c r="AX74" s="92">
        <f>AX26*AX75/$A$3</f>
        <v>570.88808563637122</v>
      </c>
      <c r="AY74" s="92">
        <f t="shared" ref="AY74:BD74" si="135">AY121</f>
        <v>1880.289</v>
      </c>
      <c r="AZ74" s="636">
        <f t="shared" si="135"/>
        <v>472.82</v>
      </c>
      <c r="BA74" s="636">
        <f t="shared" si="135"/>
        <v>553.41899999999998</v>
      </c>
      <c r="BB74" s="636">
        <f t="shared" si="135"/>
        <v>542.12699999999995</v>
      </c>
      <c r="BC74" s="636">
        <f t="shared" si="135"/>
        <v>541.62100000000009</v>
      </c>
      <c r="BD74" s="92">
        <f t="shared" si="135"/>
        <v>2109.9870000000001</v>
      </c>
      <c r="BE74" s="636">
        <f t="shared" ref="BE74:BJ74" si="136">BE121</f>
        <v>607.87400000000002</v>
      </c>
      <c r="BF74" s="636">
        <f t="shared" si="136"/>
        <v>586.18299999999999</v>
      </c>
      <c r="BG74" s="636">
        <f t="shared" si="136"/>
        <v>463.12799999999999</v>
      </c>
      <c r="BH74" s="636">
        <f t="shared" si="136"/>
        <v>606.57000000000016</v>
      </c>
      <c r="BI74" s="333">
        <f t="shared" si="136"/>
        <v>2263.7550000000001</v>
      </c>
      <c r="BJ74" s="636">
        <f t="shared" si="136"/>
        <v>544.07100000000003</v>
      </c>
      <c r="BK74" s="636">
        <f t="shared" ref="BK74:BL74" si="137">BK121</f>
        <v>748.03399999999999</v>
      </c>
      <c r="BL74" s="636">
        <f t="shared" si="137"/>
        <v>767.33500000000004</v>
      </c>
      <c r="BM74" s="636">
        <f>BM26*BM75/$A$3</f>
        <v>629.99853386636983</v>
      </c>
      <c r="BN74" s="333">
        <f t="shared" si="134"/>
        <v>2321.6075723149643</v>
      </c>
      <c r="BO74" s="247">
        <f>BO26*BO75/$A$3</f>
        <v>585.25944899271701</v>
      </c>
      <c r="BP74" s="668"/>
      <c r="BQ74" s="668">
        <f>BQ26*BQ75/$A$3</f>
        <v>657.29722508138059</v>
      </c>
      <c r="BR74" s="668">
        <f t="shared" si="134"/>
        <v>2456.4841463206703</v>
      </c>
      <c r="BS74" s="333">
        <f t="shared" si="134"/>
        <v>2599.6230218243531</v>
      </c>
      <c r="BT74" s="333">
        <f t="shared" si="134"/>
        <v>2690.6098275882055</v>
      </c>
      <c r="BU74" s="333">
        <f t="shared" si="134"/>
        <v>2784.7811715537919</v>
      </c>
      <c r="BV74" s="333">
        <f t="shared" si="134"/>
        <v>2882.2485125581748</v>
      </c>
      <c r="BW74" s="333">
        <f t="shared" si="134"/>
        <v>2983.1272104977106</v>
      </c>
      <c r="BX74" s="333">
        <f t="shared" si="134"/>
        <v>3087.5366628651304</v>
      </c>
      <c r="BY74" s="333">
        <f t="shared" si="134"/>
        <v>3195.6004460654103</v>
      </c>
      <c r="BZ74" s="333">
        <f t="shared" si="134"/>
        <v>3307.4464616776991</v>
      </c>
      <c r="CA74" s="333">
        <f t="shared" si="134"/>
        <v>3423.2070878364179</v>
      </c>
      <c r="CB74" s="333">
        <f t="shared" si="134"/>
        <v>3543.019335910692</v>
      </c>
      <c r="CC74" s="213"/>
      <c r="CD74" s="213"/>
      <c r="CE74" s="213"/>
      <c r="CF74" s="213"/>
      <c r="CG74" s="213"/>
      <c r="CH74" s="213"/>
      <c r="CI74" s="213"/>
      <c r="CJ74" s="213"/>
      <c r="CK74" s="213"/>
      <c r="CL74" s="213"/>
    </row>
    <row r="75" spans="1:90" s="36" customFormat="1">
      <c r="A75" s="36" t="s">
        <v>365</v>
      </c>
      <c r="B75" s="1" t="s">
        <v>366</v>
      </c>
      <c r="G75" s="92"/>
      <c r="H75" s="92"/>
      <c r="I75" s="88"/>
      <c r="J75" s="88"/>
      <c r="K75" s="88"/>
      <c r="L75" s="88"/>
      <c r="M75" s="92"/>
      <c r="N75" s="88"/>
      <c r="O75" s="88"/>
      <c r="P75" s="88"/>
      <c r="Q75" s="88"/>
      <c r="R75" s="92">
        <f>+R74*$A$3/R$26</f>
        <v>147.00255403201106</v>
      </c>
      <c r="S75" s="88"/>
      <c r="T75" s="88"/>
      <c r="U75" s="88"/>
      <c r="V75" s="88"/>
      <c r="W75" s="92">
        <f t="shared" ref="W75:AC75" si="138">+W74*$A$3/W$26</f>
        <v>178.21173040495319</v>
      </c>
      <c r="X75" s="88">
        <f t="shared" si="138"/>
        <v>216.59167668881145</v>
      </c>
      <c r="Y75" s="88">
        <f t="shared" si="138"/>
        <v>240.02220456334194</v>
      </c>
      <c r="Z75" s="88">
        <f t="shared" si="138"/>
        <v>232.83313090153979</v>
      </c>
      <c r="AA75" s="88">
        <f t="shared" si="138"/>
        <v>198.34574115404166</v>
      </c>
      <c r="AB75" s="92">
        <f t="shared" si="138"/>
        <v>221.40963546506021</v>
      </c>
      <c r="AC75" s="88">
        <f t="shared" si="138"/>
        <v>81.40675701808388</v>
      </c>
      <c r="AD75" s="88">
        <f>+AD74*$A$3/AD$26</f>
        <v>394.85617129417034</v>
      </c>
      <c r="AE75" s="88">
        <f>+AE74*$A$3/AE$26</f>
        <v>243.20916096213747</v>
      </c>
      <c r="AF75" s="88">
        <f>+AE75*(1+AF76)</f>
        <v>221.3203364755451</v>
      </c>
      <c r="AG75" s="92">
        <f t="shared" ref="AG75:AO75" si="139">+AG74*$A$3/AG$26</f>
        <v>232.91059463939609</v>
      </c>
      <c r="AH75" s="88">
        <f t="shared" si="139"/>
        <v>430.91170858593233</v>
      </c>
      <c r="AI75" s="88">
        <f t="shared" si="139"/>
        <v>439.58944692297223</v>
      </c>
      <c r="AJ75" s="88">
        <f t="shared" si="139"/>
        <v>281.03484744778495</v>
      </c>
      <c r="AK75" s="88">
        <f t="shared" si="139"/>
        <v>409.29965905370403</v>
      </c>
      <c r="AL75" s="92">
        <f t="shared" si="139"/>
        <v>389.03728611344951</v>
      </c>
      <c r="AM75" s="88">
        <f t="shared" si="139"/>
        <v>393.69298703075174</v>
      </c>
      <c r="AN75" s="88">
        <f t="shared" si="139"/>
        <v>504.60590115176268</v>
      </c>
      <c r="AO75" s="88">
        <f t="shared" si="139"/>
        <v>239.39729479946672</v>
      </c>
      <c r="AP75" s="88">
        <f>AO75*1.07</f>
        <v>256.15510543542939</v>
      </c>
      <c r="AQ75" s="92">
        <f>+AQ74*$A$3/AQ$26</f>
        <v>368.2027371652822</v>
      </c>
      <c r="AR75" s="333">
        <f>+AK75*(1+AR76)</f>
        <v>450.2296249590745</v>
      </c>
      <c r="AS75" s="333">
        <f>+AK75*(1+AS76)</f>
        <v>450.2296249590745</v>
      </c>
      <c r="AT75" s="92">
        <f>+AT74*$A$3/AT$26</f>
        <v>405.66471899381349</v>
      </c>
      <c r="AU75" s="92">
        <f>+AU74*$A$3/AU$26</f>
        <v>469.85079289717055</v>
      </c>
      <c r="AV75" s="92">
        <f>+AV74*$A$3/AV$26</f>
        <v>483.71286872235902</v>
      </c>
      <c r="AW75" s="92">
        <f>AV75</f>
        <v>483.71286872235902</v>
      </c>
      <c r="AX75" s="92">
        <f>AW75</f>
        <v>483.71286872235902</v>
      </c>
      <c r="AY75" s="92">
        <f>AY74*$A$3/AY$26</f>
        <v>364.67650726792368</v>
      </c>
      <c r="AZ75" s="636">
        <f>AZ74/AZ26*$A$3</f>
        <v>495.17206710931441</v>
      </c>
      <c r="BA75" s="636">
        <f>BA74/BA26*$A$3</f>
        <v>569.20358460467219</v>
      </c>
      <c r="BB75" s="636">
        <f>BB74/BB26*$A$3</f>
        <v>535.72085007480541</v>
      </c>
      <c r="BC75" s="636">
        <f>BC74/BC26*$A$3</f>
        <v>519.86166994287134</v>
      </c>
      <c r="BD75" s="92">
        <f>BD74*$A$3/BD$26</f>
        <v>526.90950935182741</v>
      </c>
      <c r="BE75" s="636">
        <f t="shared" ref="BE75:BJ75" si="140">BE74*$A$3/BE$26</f>
        <v>625.17188076899743</v>
      </c>
      <c r="BF75" s="636">
        <f t="shared" si="140"/>
        <v>628.37054140912585</v>
      </c>
      <c r="BG75" s="636">
        <f t="shared" si="140"/>
        <v>465.43375884129978</v>
      </c>
      <c r="BH75" s="636">
        <f t="shared" si="140"/>
        <v>566.74589915796798</v>
      </c>
      <c r="BI75" s="333">
        <f t="shared" si="140"/>
        <v>566.94323167071263</v>
      </c>
      <c r="BJ75" s="636">
        <f t="shared" si="140"/>
        <v>606.42954353183507</v>
      </c>
      <c r="BK75" s="636">
        <f t="shared" ref="BK75:BL75" si="141">BK74*$A$3/BK$26</f>
        <v>786.86169009787989</v>
      </c>
      <c r="BL75" s="636">
        <f t="shared" si="141"/>
        <v>704.73598082044691</v>
      </c>
      <c r="BM75" s="636">
        <f>BJ75*1.025</f>
        <v>621.59028212013084</v>
      </c>
      <c r="BN75" s="333">
        <f>+BI75*(1+BN76)</f>
        <v>586.78624477918754</v>
      </c>
      <c r="BO75" s="333">
        <f>BM75*1.05</f>
        <v>652.66979622613735</v>
      </c>
      <c r="BP75" s="668"/>
      <c r="BQ75" s="668">
        <f>BO75</f>
        <v>652.66979622613735</v>
      </c>
      <c r="BR75" s="668">
        <f>+BN75*(1+BR76)</f>
        <v>607.32376334645903</v>
      </c>
      <c r="BS75" s="333">
        <f t="shared" ref="BS75:CB75" si="142">+BR75*(1+BS76)</f>
        <v>628.58009506358508</v>
      </c>
      <c r="BT75" s="333">
        <f t="shared" si="142"/>
        <v>650.5803983908105</v>
      </c>
      <c r="BU75" s="333">
        <f t="shared" si="142"/>
        <v>673.35071233448878</v>
      </c>
      <c r="BV75" s="333">
        <f t="shared" si="142"/>
        <v>696.91798726619584</v>
      </c>
      <c r="BW75" s="333">
        <f t="shared" si="142"/>
        <v>721.31011682051269</v>
      </c>
      <c r="BX75" s="333">
        <f t="shared" si="142"/>
        <v>746.55597090923061</v>
      </c>
      <c r="BY75" s="333">
        <f t="shared" si="142"/>
        <v>772.68542989105367</v>
      </c>
      <c r="BZ75" s="333">
        <f t="shared" si="142"/>
        <v>799.72941993724044</v>
      </c>
      <c r="CA75" s="333">
        <f t="shared" si="142"/>
        <v>827.7199496350438</v>
      </c>
      <c r="CB75" s="333">
        <f t="shared" si="142"/>
        <v>856.69014787227024</v>
      </c>
      <c r="CC75" s="213"/>
      <c r="CD75" s="213"/>
      <c r="CE75" s="213"/>
      <c r="CF75" s="213"/>
      <c r="CG75" s="213"/>
      <c r="CH75" s="213"/>
      <c r="CI75" s="213"/>
      <c r="CJ75" s="213"/>
      <c r="CK75" s="213"/>
      <c r="CL75" s="213"/>
    </row>
    <row r="76" spans="1:90" s="377" customFormat="1">
      <c r="G76" s="378"/>
      <c r="H76" s="378"/>
      <c r="I76" s="374"/>
      <c r="J76" s="374"/>
      <c r="K76" s="374"/>
      <c r="L76" s="374"/>
      <c r="M76" s="378"/>
      <c r="N76" s="374"/>
      <c r="O76" s="374"/>
      <c r="P76" s="374"/>
      <c r="Q76" s="374"/>
      <c r="R76" s="378"/>
      <c r="S76" s="374"/>
      <c r="T76" s="374"/>
      <c r="U76" s="374"/>
      <c r="V76" s="374"/>
      <c r="W76" s="378">
        <f>+W75/R75-1</f>
        <v>0.21230363362357685</v>
      </c>
      <c r="X76" s="374"/>
      <c r="Y76" s="374">
        <f>+Y75/X75-1</f>
        <v>0.10817833922673925</v>
      </c>
      <c r="Z76" s="374">
        <f>+Z75/Y75-1</f>
        <v>-2.9951702488862697E-2</v>
      </c>
      <c r="AA76" s="374">
        <f>+AA75/Z75-1</f>
        <v>-0.14812062876946031</v>
      </c>
      <c r="AB76" s="378">
        <f>+AB75/W75-1</f>
        <v>0.24239653002609751</v>
      </c>
      <c r="AC76" s="374">
        <f>+AC75/AA75-1</f>
        <v>-0.58957143952558688</v>
      </c>
      <c r="AD76" s="374">
        <f>+AD75/AC75-1</f>
        <v>3.8504102823609117</v>
      </c>
      <c r="AE76" s="374">
        <f>+AE75/AD75-1</f>
        <v>-0.38405632571221704</v>
      </c>
      <c r="AF76" s="374">
        <v>-0.09</v>
      </c>
      <c r="AG76" s="378">
        <v>0</v>
      </c>
      <c r="AH76" s="374">
        <f>+AH75/AF75-1</f>
        <v>0.94700457919078818</v>
      </c>
      <c r="AI76" s="374">
        <v>0.05</v>
      </c>
      <c r="AJ76" s="374">
        <f>+AJ75/AI75-1</f>
        <v>-0.36068791137966116</v>
      </c>
      <c r="AK76" s="374">
        <v>-0.09</v>
      </c>
      <c r="AL76" s="378">
        <v>0</v>
      </c>
      <c r="AM76" s="374">
        <f>AM75/AL75-1</f>
        <v>1.1967235747024407E-2</v>
      </c>
      <c r="AN76" s="374">
        <f>AN75/AM75-1</f>
        <v>0.28172438365621044</v>
      </c>
      <c r="AO76" s="374">
        <f>AO75/AN75-1</f>
        <v>-0.52557571313961549</v>
      </c>
      <c r="AP76" s="374">
        <f>AP75/AO75-1</f>
        <v>7.0000000000000062E-2</v>
      </c>
      <c r="AQ76" s="378">
        <v>0.05</v>
      </c>
      <c r="AR76" s="379">
        <v>0.1</v>
      </c>
      <c r="AS76" s="379">
        <v>0.1</v>
      </c>
      <c r="AT76" s="378">
        <v>0.1</v>
      </c>
      <c r="AU76" s="378"/>
      <c r="AV76" s="378"/>
      <c r="AW76" s="378"/>
      <c r="AX76" s="378"/>
      <c r="AY76" s="379">
        <v>3.5000000000000003E-2</v>
      </c>
      <c r="AZ76" s="680"/>
      <c r="BA76" s="680"/>
      <c r="BB76" s="680"/>
      <c r="BC76" s="680"/>
      <c r="BD76" s="379">
        <v>3.5000000000000003E-2</v>
      </c>
      <c r="BE76" s="680"/>
      <c r="BF76" s="680"/>
      <c r="BG76" s="680"/>
      <c r="BH76" s="680"/>
      <c r="BI76" s="379">
        <v>3.5000000000000003E-2</v>
      </c>
      <c r="BJ76" s="680"/>
      <c r="BK76" s="680"/>
      <c r="BL76" s="680"/>
      <c r="BM76" s="680"/>
      <c r="BN76" s="379">
        <v>3.5000000000000003E-2</v>
      </c>
      <c r="BO76" s="379"/>
      <c r="BP76" s="668"/>
      <c r="BQ76" s="668"/>
      <c r="BR76" s="668">
        <v>3.5000000000000003E-2</v>
      </c>
      <c r="BS76" s="379">
        <v>3.5000000000000003E-2</v>
      </c>
      <c r="BT76" s="379">
        <v>3.5000000000000003E-2</v>
      </c>
      <c r="BU76" s="379">
        <v>3.5000000000000003E-2</v>
      </c>
      <c r="BV76" s="379">
        <v>3.5000000000000003E-2</v>
      </c>
      <c r="BW76" s="379">
        <v>3.5000000000000003E-2</v>
      </c>
      <c r="BX76" s="379">
        <v>3.5000000000000003E-2</v>
      </c>
      <c r="BY76" s="379">
        <v>3.5000000000000003E-2</v>
      </c>
      <c r="BZ76" s="379">
        <v>3.5000000000000003E-2</v>
      </c>
      <c r="CA76" s="379">
        <v>3.5000000000000003E-2</v>
      </c>
      <c r="CB76" s="379">
        <v>3.5000000000000003E-2</v>
      </c>
      <c r="CC76" s="787"/>
      <c r="CD76" s="787"/>
      <c r="CE76" s="787"/>
      <c r="CF76" s="787"/>
      <c r="CG76" s="787"/>
      <c r="CH76" s="787"/>
      <c r="CI76" s="787"/>
      <c r="CJ76" s="787"/>
      <c r="CK76" s="787"/>
      <c r="CL76" s="787"/>
    </row>
    <row r="77" spans="1:90" s="377" customFormat="1">
      <c r="A77" s="377" t="s">
        <v>632</v>
      </c>
      <c r="B77" s="377" t="s">
        <v>633</v>
      </c>
      <c r="G77" s="378"/>
      <c r="H77" s="378"/>
      <c r="I77" s="374"/>
      <c r="J77" s="374"/>
      <c r="K77" s="374"/>
      <c r="L77" s="374"/>
      <c r="M77" s="378"/>
      <c r="N77" s="374"/>
      <c r="O77" s="374"/>
      <c r="P77" s="374"/>
      <c r="Q77" s="374"/>
      <c r="R77" s="378"/>
      <c r="S77" s="374"/>
      <c r="T77" s="374"/>
      <c r="U77" s="374"/>
      <c r="V77" s="374"/>
      <c r="W77" s="378"/>
      <c r="X77" s="374"/>
      <c r="Y77" s="374"/>
      <c r="Z77" s="374"/>
      <c r="AA77" s="374"/>
      <c r="AB77" s="378"/>
      <c r="AC77" s="374"/>
      <c r="AD77" s="374"/>
      <c r="AE77" s="374"/>
      <c r="AF77" s="374"/>
      <c r="AG77" s="378"/>
      <c r="AH77" s="374"/>
      <c r="AI77" s="374"/>
      <c r="AJ77" s="374"/>
      <c r="AK77" s="374"/>
      <c r="AL77" s="378"/>
      <c r="AM77" s="374"/>
      <c r="AN77" s="374"/>
      <c r="AO77" s="374"/>
      <c r="AP77" s="374"/>
      <c r="AQ77" s="378"/>
      <c r="AR77" s="379"/>
      <c r="AS77" s="379"/>
      <c r="AT77" s="378"/>
      <c r="AU77" s="378"/>
      <c r="AV77" s="378"/>
      <c r="AW77" s="378"/>
      <c r="AX77" s="378"/>
      <c r="AY77" s="379"/>
      <c r="AZ77" s="797">
        <v>99</v>
      </c>
      <c r="BA77" s="797">
        <v>99</v>
      </c>
      <c r="BB77" s="797">
        <v>99</v>
      </c>
      <c r="BC77" s="797">
        <v>99</v>
      </c>
      <c r="BD77" s="838">
        <v>99</v>
      </c>
      <c r="BE77" s="680"/>
      <c r="BF77" s="680"/>
      <c r="BG77" s="680"/>
      <c r="BH77" s="680"/>
      <c r="BI77" s="379"/>
      <c r="BJ77" s="1218">
        <f>Power!F10</f>
        <v>97.5</v>
      </c>
      <c r="BK77" s="680"/>
      <c r="BL77" s="680"/>
      <c r="BM77" s="680"/>
      <c r="BN77" s="379"/>
      <c r="BO77" s="379"/>
      <c r="BP77" s="668"/>
      <c r="BQ77" s="668"/>
      <c r="BR77" s="668"/>
      <c r="BS77" s="379"/>
      <c r="BT77" s="379"/>
      <c r="BU77" s="379"/>
      <c r="BV77" s="379"/>
      <c r="BW77" s="379"/>
      <c r="BX77" s="379"/>
      <c r="BY77" s="379"/>
      <c r="BZ77" s="379"/>
      <c r="CA77" s="379"/>
      <c r="CB77" s="379"/>
      <c r="CC77" s="787"/>
      <c r="CD77" s="787"/>
      <c r="CE77" s="787"/>
      <c r="CF77" s="787"/>
      <c r="CG77" s="787"/>
      <c r="CH77" s="787"/>
      <c r="CI77" s="787"/>
      <c r="CJ77" s="787"/>
      <c r="CK77" s="787"/>
      <c r="CL77" s="787"/>
    </row>
    <row r="78" spans="1:90" s="377" customFormat="1">
      <c r="A78" s="377" t="s">
        <v>634</v>
      </c>
      <c r="B78" s="377" t="s">
        <v>635</v>
      </c>
      <c r="G78" s="378"/>
      <c r="H78" s="378"/>
      <c r="I78" s="374"/>
      <c r="J78" s="374"/>
      <c r="K78" s="374"/>
      <c r="L78" s="374"/>
      <c r="M78" s="378"/>
      <c r="N78" s="374"/>
      <c r="O78" s="374"/>
      <c r="P78" s="374"/>
      <c r="Q78" s="374"/>
      <c r="R78" s="378"/>
      <c r="S78" s="374"/>
      <c r="T78" s="374"/>
      <c r="U78" s="374"/>
      <c r="V78" s="374"/>
      <c r="W78" s="378"/>
      <c r="X78" s="374"/>
      <c r="Y78" s="374"/>
      <c r="Z78" s="374"/>
      <c r="AA78" s="374"/>
      <c r="AB78" s="378"/>
      <c r="AC78" s="374"/>
      <c r="AD78" s="374"/>
      <c r="AE78" s="374"/>
      <c r="AF78" s="374"/>
      <c r="AG78" s="378"/>
      <c r="AH78" s="374"/>
      <c r="AI78" s="374"/>
      <c r="AJ78" s="374"/>
      <c r="AK78" s="374"/>
      <c r="AL78" s="378"/>
      <c r="AM78" s="374"/>
      <c r="AN78" s="374"/>
      <c r="AO78" s="374"/>
      <c r="AP78" s="374"/>
      <c r="AQ78" s="378"/>
      <c r="AR78" s="379"/>
      <c r="AS78" s="379"/>
      <c r="AT78" s="378"/>
      <c r="AU78" s="378"/>
      <c r="AV78" s="378"/>
      <c r="AW78" s="378"/>
      <c r="AX78" s="378"/>
      <c r="AY78" s="379"/>
      <c r="AZ78" s="797">
        <f>AZ80*$A$3/AZ79</f>
        <v>5.0017380516092373</v>
      </c>
      <c r="BA78" s="797">
        <f>BA80*$A$3/BA79</f>
        <v>5.7495311576229513</v>
      </c>
      <c r="BB78" s="797">
        <f>BB80*$A$3/BB79</f>
        <v>5.4113217179273283</v>
      </c>
      <c r="BC78" s="680"/>
      <c r="BD78" s="838">
        <f>BD80*$A$3/BD79</f>
        <v>5.3223182762810843</v>
      </c>
      <c r="BE78" s="680"/>
      <c r="BF78" s="680"/>
      <c r="BG78" s="680"/>
      <c r="BH78" s="680"/>
      <c r="BI78" s="379"/>
      <c r="BJ78" s="799">
        <f>BJ79*0.35*10.04+BJ79*0.65*6.1</f>
        <v>654219336.12749994</v>
      </c>
      <c r="BK78" s="680"/>
      <c r="BL78" s="680"/>
      <c r="BM78" s="680"/>
      <c r="BN78" s="379"/>
      <c r="BO78" s="379"/>
      <c r="BP78" s="668"/>
      <c r="BQ78" s="668"/>
      <c r="BR78" s="668"/>
      <c r="BS78" s="379"/>
      <c r="BT78" s="379"/>
      <c r="BU78" s="379"/>
      <c r="BV78" s="379"/>
      <c r="BW78" s="379"/>
      <c r="BX78" s="379"/>
      <c r="BY78" s="379"/>
      <c r="BZ78" s="379"/>
      <c r="CA78" s="379"/>
      <c r="CB78" s="379"/>
      <c r="CC78" s="787"/>
      <c r="CD78" s="787"/>
      <c r="CE78" s="787"/>
      <c r="CF78" s="787"/>
      <c r="CG78" s="787"/>
      <c r="CH78" s="787"/>
      <c r="CI78" s="787"/>
      <c r="CJ78" s="787"/>
      <c r="CK78" s="787"/>
      <c r="CL78" s="787"/>
    </row>
    <row r="79" spans="1:90" s="377" customFormat="1">
      <c r="A79" s="377" t="s">
        <v>636</v>
      </c>
      <c r="B79" s="377" t="s">
        <v>633</v>
      </c>
      <c r="G79" s="378"/>
      <c r="H79" s="378"/>
      <c r="I79" s="374"/>
      <c r="J79" s="374"/>
      <c r="K79" s="374"/>
      <c r="L79" s="374"/>
      <c r="M79" s="378"/>
      <c r="N79" s="374"/>
      <c r="O79" s="374"/>
      <c r="P79" s="374"/>
      <c r="Q79" s="374"/>
      <c r="R79" s="378"/>
      <c r="S79" s="374"/>
      <c r="T79" s="374"/>
      <c r="U79" s="374"/>
      <c r="V79" s="374"/>
      <c r="W79" s="378"/>
      <c r="X79" s="374"/>
      <c r="Y79" s="374"/>
      <c r="Z79" s="374"/>
      <c r="AA79" s="374"/>
      <c r="AB79" s="378"/>
      <c r="AC79" s="374"/>
      <c r="AD79" s="374"/>
      <c r="AE79" s="374"/>
      <c r="AF79" s="374"/>
      <c r="AG79" s="378"/>
      <c r="AH79" s="374"/>
      <c r="AI79" s="374"/>
      <c r="AJ79" s="374"/>
      <c r="AK79" s="374"/>
      <c r="AL79" s="378"/>
      <c r="AM79" s="374"/>
      <c r="AN79" s="374"/>
      <c r="AO79" s="374"/>
      <c r="AP79" s="374"/>
      <c r="AQ79" s="378"/>
      <c r="AR79" s="379"/>
      <c r="AS79" s="379"/>
      <c r="AT79" s="378"/>
      <c r="AU79" s="378"/>
      <c r="AV79" s="378"/>
      <c r="AW79" s="378"/>
      <c r="AX79" s="378"/>
      <c r="AY79" s="379"/>
      <c r="AZ79" s="799">
        <f>AZ77*AZ26</f>
        <v>94531140</v>
      </c>
      <c r="BA79" s="799">
        <f>BA77*BA26</f>
        <v>96254631</v>
      </c>
      <c r="BB79" s="799">
        <f>BB77*BB26</f>
        <v>100183842</v>
      </c>
      <c r="BC79" s="680"/>
      <c r="BD79" s="839">
        <f>BD77*BD26</f>
        <v>396441342</v>
      </c>
      <c r="BE79" s="680"/>
      <c r="BF79" s="797"/>
      <c r="BG79" s="680"/>
      <c r="BH79" s="680"/>
      <c r="BI79" s="838">
        <f>63/20</f>
        <v>3.15</v>
      </c>
      <c r="BJ79" s="799">
        <f>BJ77*BJ26</f>
        <v>87474172.5</v>
      </c>
      <c r="BK79" s="680"/>
      <c r="BL79" s="680"/>
      <c r="BM79" s="680"/>
      <c r="BN79" s="838">
        <v>0.02</v>
      </c>
      <c r="BO79" s="838"/>
      <c r="BP79" s="668"/>
      <c r="BQ79" s="668"/>
      <c r="BR79" s="668"/>
      <c r="BS79" s="379"/>
      <c r="BT79" s="379"/>
      <c r="BU79" s="379"/>
      <c r="BV79" s="379"/>
      <c r="BW79" s="379"/>
      <c r="BX79" s="379"/>
      <c r="BY79" s="379"/>
      <c r="BZ79" s="379"/>
      <c r="CA79" s="379"/>
      <c r="CB79" s="379"/>
      <c r="CC79" s="787"/>
      <c r="CD79" s="787"/>
      <c r="CE79" s="787"/>
      <c r="CF79" s="787"/>
      <c r="CG79" s="787"/>
      <c r="CH79" s="787"/>
      <c r="CI79" s="787"/>
      <c r="CJ79" s="787"/>
      <c r="CK79" s="787"/>
      <c r="CL79" s="787"/>
    </row>
    <row r="80" spans="1:90" s="377" customFormat="1">
      <c r="A80" s="377" t="s">
        <v>637</v>
      </c>
      <c r="B80" s="377" t="s">
        <v>612</v>
      </c>
      <c r="G80" s="378"/>
      <c r="H80" s="378"/>
      <c r="I80" s="374"/>
      <c r="J80" s="374"/>
      <c r="K80" s="374"/>
      <c r="L80" s="374"/>
      <c r="M80" s="378"/>
      <c r="N80" s="374"/>
      <c r="O80" s="374"/>
      <c r="P80" s="374"/>
      <c r="Q80" s="374"/>
      <c r="R80" s="378"/>
      <c r="S80" s="374"/>
      <c r="T80" s="374"/>
      <c r="U80" s="374"/>
      <c r="V80" s="374"/>
      <c r="W80" s="378"/>
      <c r="X80" s="374"/>
      <c r="Y80" s="374"/>
      <c r="Z80" s="374"/>
      <c r="AA80" s="374"/>
      <c r="AB80" s="378"/>
      <c r="AC80" s="374"/>
      <c r="AD80" s="374"/>
      <c r="AE80" s="374"/>
      <c r="AF80" s="374"/>
      <c r="AG80" s="378"/>
      <c r="AH80" s="374"/>
      <c r="AI80" s="374"/>
      <c r="AJ80" s="374"/>
      <c r="AK80" s="374"/>
      <c r="AL80" s="378"/>
      <c r="AM80" s="374"/>
      <c r="AN80" s="374"/>
      <c r="AO80" s="374"/>
      <c r="AP80" s="374"/>
      <c r="AQ80" s="378"/>
      <c r="AR80" s="379"/>
      <c r="AS80" s="379"/>
      <c r="AT80" s="378"/>
      <c r="AU80" s="378"/>
      <c r="AV80" s="378"/>
      <c r="AW80" s="378"/>
      <c r="AX80" s="378"/>
      <c r="AY80" s="379"/>
      <c r="AZ80" s="798">
        <f>AZ121</f>
        <v>472.82</v>
      </c>
      <c r="BA80" s="798">
        <f>BA121</f>
        <v>553.41899999999998</v>
      </c>
      <c r="BB80" s="798">
        <f>BB121</f>
        <v>542.12699999999995</v>
      </c>
      <c r="BC80" s="680"/>
      <c r="BD80" s="839">
        <f>BD121</f>
        <v>2109.9870000000001</v>
      </c>
      <c r="BE80" s="680"/>
      <c r="BF80" s="680"/>
      <c r="BG80" s="680"/>
      <c r="BH80" s="680"/>
      <c r="BI80" s="379"/>
      <c r="BJ80" s="797">
        <f>BJ78/$A$3</f>
        <v>654.2193361274999</v>
      </c>
      <c r="BK80" s="680"/>
      <c r="BL80" s="680"/>
      <c r="BM80" s="680"/>
      <c r="BN80" s="379"/>
      <c r="BO80" s="379"/>
      <c r="BP80" s="668"/>
      <c r="BQ80" s="668"/>
      <c r="BR80" s="668"/>
      <c r="BS80" s="379"/>
      <c r="BT80" s="379"/>
      <c r="BU80" s="379"/>
      <c r="BV80" s="379"/>
      <c r="BW80" s="379"/>
      <c r="BX80" s="379"/>
      <c r="BY80" s="379"/>
      <c r="BZ80" s="379"/>
      <c r="CA80" s="379"/>
      <c r="CB80" s="379"/>
      <c r="CC80" s="787"/>
      <c r="CD80" s="787"/>
      <c r="CE80" s="787"/>
      <c r="CF80" s="787"/>
      <c r="CG80" s="787"/>
      <c r="CH80" s="787"/>
      <c r="CI80" s="787"/>
      <c r="CJ80" s="787"/>
      <c r="CK80" s="787"/>
      <c r="CL80" s="787"/>
    </row>
    <row r="81" spans="1:90" s="377" customFormat="1">
      <c r="G81" s="378"/>
      <c r="H81" s="378"/>
      <c r="I81" s="374"/>
      <c r="J81" s="374"/>
      <c r="K81" s="374"/>
      <c r="L81" s="374"/>
      <c r="M81" s="378"/>
      <c r="N81" s="374"/>
      <c r="O81" s="374"/>
      <c r="P81" s="374"/>
      <c r="Q81" s="374"/>
      <c r="R81" s="378"/>
      <c r="S81" s="374"/>
      <c r="T81" s="374"/>
      <c r="U81" s="374"/>
      <c r="V81" s="374"/>
      <c r="W81" s="378"/>
      <c r="X81" s="374"/>
      <c r="Y81" s="374"/>
      <c r="Z81" s="374"/>
      <c r="AA81" s="374"/>
      <c r="AB81" s="378"/>
      <c r="AC81" s="374"/>
      <c r="AD81" s="374"/>
      <c r="AE81" s="374"/>
      <c r="AF81" s="374"/>
      <c r="AG81" s="378"/>
      <c r="AH81" s="374"/>
      <c r="AI81" s="374"/>
      <c r="AJ81" s="374"/>
      <c r="AK81" s="374"/>
      <c r="AL81" s="378"/>
      <c r="AM81" s="374"/>
      <c r="AN81" s="374"/>
      <c r="AO81" s="374"/>
      <c r="AP81" s="374"/>
      <c r="AQ81" s="378"/>
      <c r="AR81" s="379"/>
      <c r="AS81" s="379"/>
      <c r="AT81" s="378"/>
      <c r="AU81" s="378"/>
      <c r="AV81" s="378"/>
      <c r="AW81" s="378"/>
      <c r="AX81" s="378"/>
      <c r="AY81" s="379"/>
      <c r="AZ81" s="680"/>
      <c r="BA81" s="680">
        <f>BA80/AZ80-1</f>
        <v>0.17046444735840272</v>
      </c>
      <c r="BB81" s="680"/>
      <c r="BC81" s="680"/>
      <c r="BD81" s="379"/>
      <c r="BE81" s="680"/>
      <c r="BF81" s="680"/>
      <c r="BG81" s="680"/>
      <c r="BH81" s="680"/>
      <c r="BI81" s="379"/>
      <c r="BJ81" s="680"/>
      <c r="BK81" s="680"/>
      <c r="BL81" s="680"/>
      <c r="BM81" s="799"/>
      <c r="BN81" s="379"/>
      <c r="BO81" s="379"/>
      <c r="BP81" s="668"/>
      <c r="BQ81" s="668"/>
      <c r="BR81" s="668"/>
      <c r="BS81" s="379"/>
      <c r="BT81" s="379"/>
      <c r="BU81" s="379"/>
      <c r="BV81" s="379"/>
      <c r="BW81" s="379"/>
      <c r="BX81" s="379"/>
      <c r="BY81" s="379"/>
      <c r="BZ81" s="379"/>
      <c r="CA81" s="379"/>
      <c r="CB81" s="379"/>
      <c r="CC81" s="787"/>
      <c r="CD81" s="787"/>
      <c r="CE81" s="787"/>
      <c r="CF81" s="787"/>
      <c r="CG81" s="787"/>
      <c r="CH81" s="787"/>
      <c r="CI81" s="787"/>
      <c r="CJ81" s="787"/>
      <c r="CK81" s="787"/>
      <c r="CL81" s="787"/>
    </row>
    <row r="82" spans="1:90" s="377" customFormat="1">
      <c r="G82" s="378"/>
      <c r="H82" s="378"/>
      <c r="I82" s="374"/>
      <c r="J82" s="374"/>
      <c r="K82" s="374"/>
      <c r="L82" s="374"/>
      <c r="M82" s="378"/>
      <c r="N82" s="374"/>
      <c r="O82" s="374"/>
      <c r="P82" s="374"/>
      <c r="Q82" s="374"/>
      <c r="R82" s="378"/>
      <c r="S82" s="374"/>
      <c r="T82" s="374"/>
      <c r="U82" s="374"/>
      <c r="V82" s="374"/>
      <c r="W82" s="378"/>
      <c r="X82" s="374"/>
      <c r="Y82" s="374"/>
      <c r="Z82" s="374"/>
      <c r="AA82" s="374"/>
      <c r="AB82" s="378"/>
      <c r="AC82" s="374"/>
      <c r="AD82" s="374"/>
      <c r="AE82" s="374"/>
      <c r="AF82" s="374"/>
      <c r="AG82" s="378"/>
      <c r="AH82" s="374"/>
      <c r="AI82" s="374"/>
      <c r="AJ82" s="374"/>
      <c r="AK82" s="374"/>
      <c r="AL82" s="378"/>
      <c r="AM82" s="374"/>
      <c r="AN82" s="374"/>
      <c r="AO82" s="374"/>
      <c r="AP82" s="374"/>
      <c r="AQ82" s="378"/>
      <c r="AR82" s="379"/>
      <c r="AS82" s="379"/>
      <c r="AT82" s="378"/>
      <c r="AU82" s="378"/>
      <c r="AV82" s="378"/>
      <c r="AW82" s="378"/>
      <c r="AX82" s="378"/>
      <c r="AY82" s="379"/>
      <c r="AZ82" s="680"/>
      <c r="BA82" s="680"/>
      <c r="BB82" s="680"/>
      <c r="BC82" s="680"/>
      <c r="BD82" s="379"/>
      <c r="BE82" s="680"/>
      <c r="BF82" s="680"/>
      <c r="BG82" s="680"/>
      <c r="BH82" s="680"/>
      <c r="BI82" s="379"/>
      <c r="BJ82" s="680"/>
      <c r="BK82" s="680"/>
      <c r="BL82" s="680"/>
      <c r="BM82" s="680"/>
      <c r="BN82" s="379"/>
      <c r="BO82" s="379"/>
      <c r="BP82" s="668"/>
      <c r="BQ82" s="668"/>
      <c r="BR82" s="668"/>
      <c r="BS82" s="379"/>
      <c r="BT82" s="379"/>
      <c r="BU82" s="379"/>
      <c r="BV82" s="379"/>
      <c r="BW82" s="379"/>
      <c r="BX82" s="379"/>
      <c r="BY82" s="379"/>
      <c r="BZ82" s="379"/>
      <c r="CA82" s="379"/>
      <c r="CB82" s="379"/>
      <c r="CC82" s="787"/>
      <c r="CD82" s="787"/>
      <c r="CE82" s="787"/>
      <c r="CF82" s="787"/>
      <c r="CG82" s="787"/>
      <c r="CH82" s="787"/>
      <c r="CI82" s="787"/>
      <c r="CJ82" s="787"/>
      <c r="CK82" s="787"/>
      <c r="CL82" s="787"/>
    </row>
    <row r="83" spans="1:90">
      <c r="I83" s="40"/>
      <c r="J83" s="40"/>
      <c r="K83" s="40"/>
      <c r="L83" s="40"/>
      <c r="N83" s="40"/>
      <c r="O83" s="40"/>
      <c r="P83" s="40"/>
      <c r="Q83" s="40"/>
      <c r="S83" s="40"/>
      <c r="T83" s="40"/>
      <c r="U83" s="40"/>
      <c r="V83" s="40"/>
      <c r="X83" s="40"/>
      <c r="Y83" s="40"/>
      <c r="Z83" s="40"/>
      <c r="AA83" s="40"/>
      <c r="AC83" s="40"/>
      <c r="AD83" s="40"/>
      <c r="AE83" s="40"/>
      <c r="AF83" s="40"/>
      <c r="AH83" s="40"/>
      <c r="AI83" s="40"/>
      <c r="AJ83" s="40"/>
      <c r="AK83" s="40"/>
      <c r="AM83" s="40"/>
      <c r="AN83" s="40"/>
      <c r="AO83" s="40"/>
      <c r="AP83" s="40"/>
      <c r="AQ83" s="45">
        <f>AQ84/AL84-1</f>
        <v>5.8394160583941535E-2</v>
      </c>
      <c r="AR83" s="20">
        <f>AR84/AP84-1</f>
        <v>-0.28000000000000003</v>
      </c>
      <c r="AS83" s="20">
        <f>AS84/AP84-1</f>
        <v>-0.36</v>
      </c>
      <c r="AT83" s="45">
        <f>AT84/AQ84-1</f>
        <v>-0.31034482758620685</v>
      </c>
      <c r="AU83" s="45"/>
      <c r="AV83" s="45"/>
      <c r="AW83" s="45">
        <f>AW84/AV84-1</f>
        <v>2.7112441783100572E-2</v>
      </c>
      <c r="AX83" s="45">
        <f>AX84/AW84-1</f>
        <v>7.6923076923076872E-2</v>
      </c>
      <c r="AY83" s="20">
        <f>AY84/AT84-1</f>
        <v>0.10000000000000009</v>
      </c>
      <c r="AZ83" s="629">
        <f>AZ84/AY84-1</f>
        <v>0.40909090909090917</v>
      </c>
      <c r="BA83" s="629">
        <f>BA84/AZ84-1</f>
        <v>-3.2258064516129004E-2</v>
      </c>
      <c r="BB83" s="629">
        <f>BB84/BA84-1</f>
        <v>-6.6666666666666652E-2</v>
      </c>
      <c r="BC83" s="629">
        <f>BC84/BB84-1</f>
        <v>-9.285714285714286E-2</v>
      </c>
      <c r="BD83" s="20">
        <f>BD84/AY84-1</f>
        <v>0.40909090909090917</v>
      </c>
      <c r="BE83" s="629">
        <f>BE84/BD84-1</f>
        <v>-0.2129032258064516</v>
      </c>
      <c r="BF83" s="629">
        <f>BF84/BE84-1</f>
        <v>-4.0983606557377095E-2</v>
      </c>
      <c r="BG83" s="629">
        <f>BG84/BF84-1</f>
        <v>-1.7094017094017144E-2</v>
      </c>
      <c r="BH83" s="629">
        <f>BH84/BG84-1</f>
        <v>0</v>
      </c>
      <c r="BI83" s="20">
        <f>BI84/BD84-1</f>
        <v>-0.24354838709677418</v>
      </c>
      <c r="BJ83" s="629">
        <f>BJ84/BI84-1</f>
        <v>0.10874200426439229</v>
      </c>
      <c r="BK83" s="629">
        <f>BK84/BJ84-1</f>
        <v>-4.6153846153846101E-2</v>
      </c>
      <c r="BL83" s="629">
        <f>BL84/BK84-1</f>
        <v>8.0645161290322509E-3</v>
      </c>
      <c r="BM83" s="629">
        <f>BM84/BL84-1</f>
        <v>-1.6000000000000014E-2</v>
      </c>
      <c r="BN83" s="20">
        <f>BN84/BI84-1</f>
        <v>0.13006396588486147</v>
      </c>
      <c r="BO83" s="20">
        <v>-0.02</v>
      </c>
      <c r="BP83" s="668"/>
      <c r="BQ83" s="668"/>
      <c r="BR83" s="668">
        <f>BR84/BN84-1</f>
        <v>-9.0566037735849036E-2</v>
      </c>
      <c r="BS83" s="20">
        <f t="shared" ref="BS83:CB83" si="143">BS84/BR84-1</f>
        <v>3.9502074688796629E-2</v>
      </c>
      <c r="BT83" s="20">
        <f t="shared" si="143"/>
        <v>4.0661025067858958E-2</v>
      </c>
      <c r="BU83" s="20">
        <f t="shared" si="143"/>
        <v>4.1807366447467409E-2</v>
      </c>
      <c r="BV83" s="20">
        <f t="shared" si="143"/>
        <v>4.2938727004140365E-2</v>
      </c>
      <c r="BW83" s="20">
        <f t="shared" si="143"/>
        <v>3.1466331424039984E-2</v>
      </c>
      <c r="BX83" s="20">
        <f t="shared" si="143"/>
        <v>2.5625381644500234E-2</v>
      </c>
      <c r="BY83" s="20">
        <f t="shared" si="143"/>
        <v>1.9488399995192474E-2</v>
      </c>
      <c r="BZ83" s="20">
        <f t="shared" si="143"/>
        <v>1.3126225529813462E-2</v>
      </c>
      <c r="CA83" s="20">
        <f t="shared" si="143"/>
        <v>6.6076416260019144E-3</v>
      </c>
      <c r="CB83" s="20">
        <f t="shared" si="143"/>
        <v>0</v>
      </c>
      <c r="CC83" s="269"/>
      <c r="CD83" s="269"/>
      <c r="CE83" s="269"/>
      <c r="CF83" s="269"/>
      <c r="CG83" s="269"/>
      <c r="CH83" s="269"/>
      <c r="CI83" s="269"/>
      <c r="CJ83" s="269"/>
      <c r="CK83" s="269"/>
      <c r="CL83" s="269"/>
    </row>
    <row r="84" spans="1:90">
      <c r="A84" s="2" t="s">
        <v>529</v>
      </c>
      <c r="I84" s="40"/>
      <c r="J84" s="40"/>
      <c r="K84" s="40"/>
      <c r="L84" s="40"/>
      <c r="N84" s="40"/>
      <c r="O84" s="40"/>
      <c r="P84" s="40"/>
      <c r="Q84" s="40"/>
      <c r="S84" s="40"/>
      <c r="T84" s="40"/>
      <c r="U84" s="40"/>
      <c r="V84" s="40"/>
      <c r="X84" s="40"/>
      <c r="Y84" s="40"/>
      <c r="Z84" s="40"/>
      <c r="AA84" s="40"/>
      <c r="AC84" s="40"/>
      <c r="AD84" s="40"/>
      <c r="AE84" s="40"/>
      <c r="AF84" s="40"/>
      <c r="AH84" s="40"/>
      <c r="AI84" s="40"/>
      <c r="AJ84" s="40"/>
      <c r="AK84" s="40">
        <v>160</v>
      </c>
      <c r="AL84" s="141">
        <v>137</v>
      </c>
      <c r="AM84" s="380">
        <v>178.779</v>
      </c>
      <c r="AN84" s="189">
        <v>231</v>
      </c>
      <c r="AO84" s="189">
        <v>95</v>
      </c>
      <c r="AP84" s="189">
        <v>125</v>
      </c>
      <c r="AQ84" s="141">
        <f>145</f>
        <v>145</v>
      </c>
      <c r="AR84" s="5">
        <v>90</v>
      </c>
      <c r="AS84" s="5">
        <v>80</v>
      </c>
      <c r="AT84" s="141">
        <v>100</v>
      </c>
      <c r="AU84" s="141">
        <f>88+30</f>
        <v>118</v>
      </c>
      <c r="AV84" s="141">
        <f>96.24+24</f>
        <v>120.24</v>
      </c>
      <c r="AW84" s="141">
        <v>123.5</v>
      </c>
      <c r="AX84" s="141">
        <v>133</v>
      </c>
      <c r="AY84" s="5">
        <v>110</v>
      </c>
      <c r="AZ84" s="681">
        <v>155</v>
      </c>
      <c r="BA84" s="681">
        <v>150</v>
      </c>
      <c r="BB84" s="681">
        <v>140</v>
      </c>
      <c r="BC84" s="681">
        <v>127</v>
      </c>
      <c r="BD84" s="5">
        <v>155</v>
      </c>
      <c r="BE84" s="681">
        <v>122</v>
      </c>
      <c r="BF84" s="681">
        <v>117</v>
      </c>
      <c r="BG84" s="681">
        <v>115</v>
      </c>
      <c r="BH84" s="681">
        <v>115</v>
      </c>
      <c r="BI84" s="5">
        <f>AVERAGE(BE84:BH84)</f>
        <v>117.25</v>
      </c>
      <c r="BJ84" s="681">
        <v>130</v>
      </c>
      <c r="BK84" s="681">
        <v>124</v>
      </c>
      <c r="BL84" s="681">
        <v>125</v>
      </c>
      <c r="BM84" s="681">
        <v>123</v>
      </c>
      <c r="BN84" s="17">
        <f>Coal!M19</f>
        <v>132.5</v>
      </c>
      <c r="BO84" s="1338">
        <f>BM84*0.98</f>
        <v>120.53999999999999</v>
      </c>
      <c r="BP84" s="668"/>
      <c r="BQ84" s="668">
        <f>BO84*0.98</f>
        <v>118.12919999999998</v>
      </c>
      <c r="BR84" s="668">
        <f>Coal!N19</f>
        <v>120.5</v>
      </c>
      <c r="BS84" s="17">
        <f>Coal!O19</f>
        <v>125.26</v>
      </c>
      <c r="BT84" s="17">
        <f>Coal!P19</f>
        <v>130.35320000000002</v>
      </c>
      <c r="BU84" s="17">
        <f>Coal!Q19</f>
        <v>135.80292400000002</v>
      </c>
      <c r="BV84" s="17">
        <f>Coal!R19</f>
        <v>141.63412868000003</v>
      </c>
      <c r="BW84" s="17">
        <f>Coal!S19</f>
        <v>146.09083511400004</v>
      </c>
      <c r="BX84" s="17">
        <f>Coal!T19</f>
        <v>149.83446851856004</v>
      </c>
      <c r="BY84" s="17">
        <f>Coal!U19</f>
        <v>152.75450257411683</v>
      </c>
      <c r="BZ84" s="17">
        <f>Coal!V19</f>
        <v>154.75959262559917</v>
      </c>
      <c r="CA84" s="17">
        <f>Coal!W19</f>
        <v>155.78218855185517</v>
      </c>
      <c r="CB84" s="17">
        <f>Coal!X19</f>
        <v>155.78218855185517</v>
      </c>
      <c r="CC84" s="269"/>
      <c r="CD84" s="269"/>
      <c r="CE84" s="269"/>
      <c r="CF84" s="269"/>
      <c r="CG84" s="269"/>
      <c r="CH84" s="269"/>
      <c r="CI84" s="269"/>
      <c r="CJ84" s="269"/>
      <c r="CK84" s="269"/>
      <c r="CL84" s="269"/>
    </row>
    <row r="85" spans="1:90">
      <c r="A85" s="1" t="s">
        <v>530</v>
      </c>
      <c r="I85" s="40"/>
      <c r="J85" s="40"/>
      <c r="K85" s="40"/>
      <c r="L85" s="40"/>
      <c r="N85" s="40"/>
      <c r="O85" s="40"/>
      <c r="P85" s="40"/>
      <c r="Q85" s="40"/>
      <c r="S85" s="40"/>
      <c r="T85" s="40"/>
      <c r="U85" s="40"/>
      <c r="V85" s="40"/>
      <c r="X85" s="40"/>
      <c r="Y85" s="40"/>
      <c r="Z85" s="40"/>
      <c r="AA85" s="40"/>
      <c r="AC85" s="40"/>
      <c r="AD85" s="40"/>
      <c r="AE85" s="40"/>
      <c r="AF85" s="40"/>
      <c r="AH85" s="40"/>
      <c r="AI85" s="40"/>
      <c r="AJ85" s="40"/>
      <c r="AK85" s="178">
        <f t="shared" ref="AK85:CB85" si="144">AK84*AK7</f>
        <v>10594.156800000001</v>
      </c>
      <c r="AL85" s="246">
        <f t="shared" si="144"/>
        <v>8575.2834700000003</v>
      </c>
      <c r="AM85" s="178">
        <f t="shared" si="144"/>
        <v>13241.78151852</v>
      </c>
      <c r="AN85" s="381">
        <f t="shared" si="144"/>
        <v>18509.517179999999</v>
      </c>
      <c r="AO85" s="381">
        <f t="shared" si="144"/>
        <v>7585.7946499999998</v>
      </c>
      <c r="AP85" s="381">
        <f t="shared" si="144"/>
        <v>10100.077499999999</v>
      </c>
      <c r="AQ85" s="21">
        <f t="shared" si="144"/>
        <v>11345.037437499999</v>
      </c>
      <c r="AR85" s="382">
        <f t="shared" si="144"/>
        <v>7635.6585899999991</v>
      </c>
      <c r="AS85" s="382">
        <f t="shared" si="144"/>
        <v>6787.2520799999993</v>
      </c>
      <c r="AT85" s="21">
        <f t="shared" si="144"/>
        <v>8215.3719375000001</v>
      </c>
      <c r="AU85" s="21">
        <f t="shared" si="144"/>
        <v>10081.904441699999</v>
      </c>
      <c r="AV85" s="21">
        <f t="shared" si="144"/>
        <v>10312.984799999998</v>
      </c>
      <c r="AW85" s="21">
        <f t="shared" si="144"/>
        <v>10559.73165</v>
      </c>
      <c r="AX85" s="21">
        <f t="shared" si="144"/>
        <v>11372.018700000001</v>
      </c>
      <c r="AY85" s="382">
        <f t="shared" si="144"/>
        <v>9411.0609999999997</v>
      </c>
      <c r="AZ85" s="622">
        <f t="shared" si="144"/>
        <v>13444.234999999999</v>
      </c>
      <c r="BA85" s="622">
        <f t="shared" si="144"/>
        <v>13179.18</v>
      </c>
      <c r="BB85" s="622">
        <f t="shared" si="144"/>
        <v>12681.199999999999</v>
      </c>
      <c r="BC85" s="622">
        <f t="shared" si="144"/>
        <v>11557</v>
      </c>
      <c r="BD85" s="382">
        <f t="shared" si="144"/>
        <v>13924.092525</v>
      </c>
      <c r="BE85" s="622">
        <f t="shared" si="144"/>
        <v>11529</v>
      </c>
      <c r="BF85" s="622">
        <f t="shared" si="144"/>
        <v>11276.46</v>
      </c>
      <c r="BG85" s="622">
        <f t="shared" si="144"/>
        <v>11249.231</v>
      </c>
      <c r="BH85" s="622">
        <f t="shared" si="144"/>
        <v>11327.5</v>
      </c>
      <c r="BI85" s="15">
        <f t="shared" si="144"/>
        <v>11347.982624999999</v>
      </c>
      <c r="BJ85" s="622">
        <f t="shared" ref="BJ85:BK85" si="145">BJ84*BJ7</f>
        <v>13377</v>
      </c>
      <c r="BK85" s="622">
        <f t="shared" si="145"/>
        <v>13261.800000000001</v>
      </c>
      <c r="BL85" s="622">
        <f t="shared" ref="BL85:BQ85" si="146">BL84*BL7</f>
        <v>13020</v>
      </c>
      <c r="BM85" s="622">
        <f t="shared" si="146"/>
        <v>12089.67</v>
      </c>
      <c r="BN85" s="15">
        <f t="shared" si="144"/>
        <v>13657.4375</v>
      </c>
      <c r="BO85" s="15">
        <f t="shared" si="146"/>
        <v>12114.269999999999</v>
      </c>
      <c r="BP85" s="668"/>
      <c r="BQ85" s="668">
        <f t="shared" si="146"/>
        <v>12049.178399999999</v>
      </c>
      <c r="BR85" s="668">
        <f t="shared" si="144"/>
        <v>13041.564375</v>
      </c>
      <c r="BS85" s="15">
        <f t="shared" si="144"/>
        <v>14234.569886250001</v>
      </c>
      <c r="BT85" s="15">
        <f t="shared" si="144"/>
        <v>15554.030193686254</v>
      </c>
      <c r="BU85" s="15">
        <f t="shared" si="144"/>
        <v>17014.5183954151</v>
      </c>
      <c r="BV85" s="15">
        <f t="shared" si="144"/>
        <v>18632.355163697892</v>
      </c>
      <c r="BW85" s="15">
        <f t="shared" si="144"/>
        <v>20179.579377813694</v>
      </c>
      <c r="BX85" s="15">
        <f t="shared" si="144"/>
        <v>21731.523240835439</v>
      </c>
      <c r="BY85" s="15">
        <f t="shared" si="144"/>
        <v>23262.787651170547</v>
      </c>
      <c r="BZ85" s="15">
        <f t="shared" si="144"/>
        <v>24746.547260748572</v>
      </c>
      <c r="CA85" s="15">
        <f t="shared" si="144"/>
        <v>26155.566755354943</v>
      </c>
      <c r="CB85" s="15">
        <f t="shared" si="144"/>
        <v>27463.345093122694</v>
      </c>
      <c r="CC85" s="269"/>
      <c r="CD85" s="269"/>
      <c r="CE85" s="269"/>
      <c r="CF85" s="269"/>
      <c r="CG85" s="269"/>
      <c r="CH85" s="269"/>
      <c r="CI85" s="269"/>
      <c r="CJ85" s="269"/>
      <c r="CK85" s="269"/>
      <c r="CL85" s="269"/>
    </row>
    <row r="86" spans="1:90">
      <c r="A86" s="1" t="s">
        <v>531</v>
      </c>
      <c r="B86" s="1" t="s">
        <v>532</v>
      </c>
      <c r="I86" s="40"/>
      <c r="J86" s="40"/>
      <c r="K86" s="40"/>
      <c r="L86" s="40"/>
      <c r="N86" s="40"/>
      <c r="O86" s="40"/>
      <c r="P86" s="40"/>
      <c r="Q86" s="40"/>
      <c r="S86" s="40"/>
      <c r="T86" s="40"/>
      <c r="U86" s="40"/>
      <c r="V86" s="40"/>
      <c r="X86" s="40"/>
      <c r="Y86" s="40"/>
      <c r="Z86" s="40"/>
      <c r="AA86" s="40"/>
      <c r="AC86" s="40"/>
      <c r="AD86" s="40"/>
      <c r="AE86" s="40"/>
      <c r="AF86" s="40"/>
      <c r="AH86" s="40"/>
      <c r="AI86" s="40"/>
      <c r="AJ86" s="40"/>
      <c r="AK86" s="40">
        <v>0.128</v>
      </c>
      <c r="AL86" s="10">
        <v>0.128</v>
      </c>
      <c r="AM86" s="40">
        <v>0.14000000000000001</v>
      </c>
      <c r="AN86" s="40">
        <v>0.14000000000000001</v>
      </c>
      <c r="AO86" s="40">
        <v>0.14000000000000001</v>
      </c>
      <c r="AP86" s="40">
        <v>0.14000000000000001</v>
      </c>
      <c r="AQ86" s="10">
        <v>0.14000000000000001</v>
      </c>
      <c r="AR86" s="4">
        <v>0.14000000000000001</v>
      </c>
      <c r="AS86" s="4">
        <v>0.14000000000000001</v>
      </c>
      <c r="AT86" s="10">
        <v>0.14000000000000001</v>
      </c>
      <c r="AU86" s="10">
        <v>0.15</v>
      </c>
      <c r="AV86" s="10">
        <v>0.15</v>
      </c>
      <c r="AW86" s="10">
        <v>0.15</v>
      </c>
      <c r="AX86" s="10">
        <v>0.15</v>
      </c>
      <c r="AY86" s="4">
        <v>0.14000000000000001</v>
      </c>
      <c r="AZ86" s="640">
        <v>0.15</v>
      </c>
      <c r="BA86" s="640">
        <v>0.15</v>
      </c>
      <c r="BB86" s="640">
        <v>0.15</v>
      </c>
      <c r="BC86" s="640">
        <v>0.15</v>
      </c>
      <c r="BD86" s="4">
        <v>0.14000000000000001</v>
      </c>
      <c r="BE86" s="640">
        <v>0.15</v>
      </c>
      <c r="BF86" s="640">
        <v>0.15</v>
      </c>
      <c r="BG86" s="640">
        <v>0.15</v>
      </c>
      <c r="BH86" s="640">
        <v>0.15</v>
      </c>
      <c r="BI86" s="4">
        <v>0.14000000000000001</v>
      </c>
      <c r="BJ86" s="640">
        <v>0.15</v>
      </c>
      <c r="BK86" s="640">
        <v>0.15</v>
      </c>
      <c r="BL86" s="640">
        <v>0.15</v>
      </c>
      <c r="BM86" s="640">
        <v>0.15</v>
      </c>
      <c r="BN86" s="4">
        <f>BI86</f>
        <v>0.14000000000000001</v>
      </c>
      <c r="BO86" s="4">
        <f>BM86</f>
        <v>0.15</v>
      </c>
      <c r="BP86" s="668"/>
      <c r="BQ86" s="668">
        <f>BO86</f>
        <v>0.15</v>
      </c>
      <c r="BR86" s="668">
        <f>BN86</f>
        <v>0.14000000000000001</v>
      </c>
      <c r="BS86" s="4">
        <f t="shared" ref="BS86:CB86" si="147">BR86</f>
        <v>0.14000000000000001</v>
      </c>
      <c r="BT86" s="4">
        <f t="shared" si="147"/>
        <v>0.14000000000000001</v>
      </c>
      <c r="BU86" s="4">
        <f t="shared" si="147"/>
        <v>0.14000000000000001</v>
      </c>
      <c r="BV86" s="4">
        <f t="shared" si="147"/>
        <v>0.14000000000000001</v>
      </c>
      <c r="BW86" s="4">
        <f t="shared" si="147"/>
        <v>0.14000000000000001</v>
      </c>
      <c r="BX86" s="4">
        <f t="shared" si="147"/>
        <v>0.14000000000000001</v>
      </c>
      <c r="BY86" s="4">
        <f t="shared" si="147"/>
        <v>0.14000000000000001</v>
      </c>
      <c r="BZ86" s="4">
        <f t="shared" si="147"/>
        <v>0.14000000000000001</v>
      </c>
      <c r="CA86" s="4">
        <f t="shared" si="147"/>
        <v>0.14000000000000001</v>
      </c>
      <c r="CB86" s="4">
        <f t="shared" si="147"/>
        <v>0.14000000000000001</v>
      </c>
      <c r="CC86" s="269"/>
      <c r="CD86" s="269"/>
      <c r="CE86" s="269"/>
      <c r="CF86" s="269"/>
      <c r="CG86" s="269"/>
      <c r="CH86" s="269"/>
      <c r="CI86" s="269"/>
      <c r="CJ86" s="269"/>
      <c r="CK86" s="269"/>
      <c r="CL86" s="269"/>
    </row>
    <row r="87" spans="1:90">
      <c r="A87" s="1" t="s">
        <v>533</v>
      </c>
      <c r="B87" s="1" t="s">
        <v>532</v>
      </c>
      <c r="I87" s="40"/>
      <c r="J87" s="40"/>
      <c r="K87" s="40"/>
      <c r="L87" s="40"/>
      <c r="N87" s="40"/>
      <c r="O87" s="40"/>
      <c r="P87" s="40"/>
      <c r="Q87" s="40"/>
      <c r="S87" s="40"/>
      <c r="T87" s="40"/>
      <c r="U87" s="40"/>
      <c r="V87" s="40"/>
      <c r="X87" s="40"/>
      <c r="Y87" s="40"/>
      <c r="Z87" s="40"/>
      <c r="AA87" s="40"/>
      <c r="AC87" s="40"/>
      <c r="AD87" s="40"/>
      <c r="AE87" s="40"/>
      <c r="AF87" s="40"/>
      <c r="AH87" s="40"/>
      <c r="AI87" s="40"/>
      <c r="AJ87" s="40"/>
      <c r="AK87" s="42">
        <f t="shared" ref="AK87:CB87" si="148">AK86*AK25</f>
        <v>141884.69231746031</v>
      </c>
      <c r="AL87" s="31">
        <f t="shared" si="148"/>
        <v>515384.92952380952</v>
      </c>
      <c r="AM87" s="369">
        <f t="shared" si="148"/>
        <v>124766.93333333335</v>
      </c>
      <c r="AN87" s="369">
        <f t="shared" si="148"/>
        <v>98028.183751111108</v>
      </c>
      <c r="AO87" s="369">
        <f t="shared" si="148"/>
        <v>136911.6</v>
      </c>
      <c r="AP87" s="369">
        <f t="shared" si="148"/>
        <v>156289.95848888889</v>
      </c>
      <c r="AQ87" s="31">
        <f t="shared" si="148"/>
        <v>516972.79999999999</v>
      </c>
      <c r="AR87" s="229">
        <f t="shared" si="148"/>
        <v>136839.30777351113</v>
      </c>
      <c r="AS87" s="229">
        <f t="shared" si="148"/>
        <v>151216.58367855998</v>
      </c>
      <c r="AT87" s="31">
        <f t="shared" si="148"/>
        <v>654479.06666666665</v>
      </c>
      <c r="AU87" s="31">
        <f t="shared" si="148"/>
        <v>103978.95</v>
      </c>
      <c r="AV87" s="31">
        <f t="shared" si="148"/>
        <v>156057.29999999999</v>
      </c>
      <c r="AW87" s="31">
        <f t="shared" si="148"/>
        <v>144101.85</v>
      </c>
      <c r="AX87" s="31">
        <f t="shared" si="148"/>
        <v>168603</v>
      </c>
      <c r="AY87" s="229">
        <f t="shared" si="148"/>
        <v>687472.85608888906</v>
      </c>
      <c r="AZ87" s="619">
        <f t="shared" si="148"/>
        <v>146360.25</v>
      </c>
      <c r="BA87" s="619">
        <f t="shared" si="148"/>
        <v>160313.4</v>
      </c>
      <c r="BB87" s="619">
        <f t="shared" si="148"/>
        <v>120038.54999999999</v>
      </c>
      <c r="BC87" s="619">
        <f t="shared" si="148"/>
        <v>148836.57142857142</v>
      </c>
      <c r="BD87" s="229">
        <f t="shared" si="148"/>
        <v>528352.72000000009</v>
      </c>
      <c r="BE87" s="619">
        <f t="shared" si="148"/>
        <v>153159.29999999999</v>
      </c>
      <c r="BF87" s="619">
        <f t="shared" si="148"/>
        <v>155914.35</v>
      </c>
      <c r="BG87" s="619">
        <f t="shared" si="148"/>
        <v>142149.42857142858</v>
      </c>
      <c r="BH87" s="619">
        <f t="shared" si="148"/>
        <v>152895.42857142855</v>
      </c>
      <c r="BI87" s="229">
        <f t="shared" si="148"/>
        <v>532388.4</v>
      </c>
      <c r="BJ87" s="619">
        <f t="shared" ref="BJ87:BK87" si="149">BJ86*BJ25</f>
        <v>115979.4</v>
      </c>
      <c r="BK87" s="619">
        <f t="shared" si="149"/>
        <v>135807.85714285713</v>
      </c>
      <c r="BL87" s="619">
        <f t="shared" ref="BL87:BM87" si="150">BL86*BL25</f>
        <v>155546.59999999998</v>
      </c>
      <c r="BM87" s="619">
        <f t="shared" si="150"/>
        <v>144789.57142857142</v>
      </c>
      <c r="BN87" s="229">
        <f t="shared" si="148"/>
        <v>527530.56000000006</v>
      </c>
      <c r="BO87" s="229">
        <f t="shared" si="148"/>
        <v>128102.28571428571</v>
      </c>
      <c r="BP87" s="668"/>
      <c r="BQ87" s="668">
        <f t="shared" si="148"/>
        <v>143869.99999999997</v>
      </c>
      <c r="BR87" s="668">
        <f t="shared" si="148"/>
        <v>539302.49280000012</v>
      </c>
      <c r="BS87" s="229">
        <f t="shared" si="148"/>
        <v>551427.58358400012</v>
      </c>
      <c r="BT87" s="229">
        <f t="shared" si="148"/>
        <v>551427.58358400012</v>
      </c>
      <c r="BU87" s="229">
        <f t="shared" si="148"/>
        <v>551427.58358400012</v>
      </c>
      <c r="BV87" s="229">
        <f t="shared" si="148"/>
        <v>551427.58358400012</v>
      </c>
      <c r="BW87" s="229">
        <f t="shared" si="148"/>
        <v>551427.58358400012</v>
      </c>
      <c r="BX87" s="229">
        <f t="shared" si="148"/>
        <v>551427.58358400012</v>
      </c>
      <c r="BY87" s="229">
        <f t="shared" si="148"/>
        <v>551427.58358400012</v>
      </c>
      <c r="BZ87" s="229">
        <f t="shared" si="148"/>
        <v>551427.58358400012</v>
      </c>
      <c r="CA87" s="229">
        <f t="shared" si="148"/>
        <v>551427.58358400012</v>
      </c>
      <c r="CB87" s="229">
        <f t="shared" si="148"/>
        <v>551427.58358400012</v>
      </c>
      <c r="CC87" s="269"/>
      <c r="CD87" s="269"/>
      <c r="CE87" s="269"/>
      <c r="CF87" s="269"/>
      <c r="CG87" s="269"/>
      <c r="CH87" s="269"/>
      <c r="CI87" s="269"/>
      <c r="CJ87" s="269"/>
      <c r="CK87" s="269"/>
      <c r="CL87" s="269"/>
    </row>
    <row r="88" spans="1:90">
      <c r="A88" s="2" t="s">
        <v>534</v>
      </c>
      <c r="B88" s="1" t="s">
        <v>214</v>
      </c>
      <c r="I88" s="40"/>
      <c r="J88" s="40"/>
      <c r="K88" s="40"/>
      <c r="L88" s="40"/>
      <c r="N88" s="40"/>
      <c r="O88" s="40"/>
      <c r="P88" s="40"/>
      <c r="Q88" s="40"/>
      <c r="S88" s="40"/>
      <c r="T88" s="40"/>
      <c r="U88" s="40"/>
      <c r="V88" s="40"/>
      <c r="X88" s="40"/>
      <c r="Y88" s="40"/>
      <c r="Z88" s="40"/>
      <c r="AA88" s="40"/>
      <c r="AC88" s="40"/>
      <c r="AD88" s="40"/>
      <c r="AE88" s="40"/>
      <c r="AF88" s="40"/>
      <c r="AH88" s="40"/>
      <c r="AI88" s="40"/>
      <c r="AJ88" s="40"/>
      <c r="AK88" s="383">
        <f t="shared" ref="AK88:BQ88" si="151">AK87*AK85/$A$3</f>
        <v>1503.14867793093</v>
      </c>
      <c r="AL88" s="384">
        <f>AL87*AL85/$A$3</f>
        <v>4419.571866832639</v>
      </c>
      <c r="AM88" s="385">
        <f t="shared" si="151"/>
        <v>1652.1364719357505</v>
      </c>
      <c r="AN88" s="385">
        <f t="shared" si="151"/>
        <v>1814.4543512653877</v>
      </c>
      <c r="AO88" s="385">
        <f t="shared" si="151"/>
        <v>1038.5832828029399</v>
      </c>
      <c r="AP88" s="385">
        <f t="shared" si="151"/>
        <v>1578.5406932095607</v>
      </c>
      <c r="AQ88" s="384">
        <f t="shared" si="151"/>
        <v>5865.0757701691991</v>
      </c>
      <c r="AR88" s="17">
        <f>AR87*AR85/$A$3</f>
        <v>1044.8582358504639</v>
      </c>
      <c r="AS88" s="17">
        <f>AS87*AS85/$A$3</f>
        <v>1026.3450721028</v>
      </c>
      <c r="AT88" s="384">
        <f t="shared" si="151"/>
        <v>5376.7889579745242</v>
      </c>
      <c r="AU88" s="384">
        <f>AU87*AU85/$A$3</f>
        <v>1048.305837848302</v>
      </c>
      <c r="AV88" s="384">
        <f>AV87*AV85/$A$3</f>
        <v>1609.4165628290395</v>
      </c>
      <c r="AW88" s="384">
        <f>AW87*AW85/$A$3</f>
        <v>1521.6768662685524</v>
      </c>
      <c r="AX88" s="384">
        <f>AX87*AX85/$A$3</f>
        <v>1917.3564688761001</v>
      </c>
      <c r="AY88" s="17">
        <f t="shared" si="151"/>
        <v>6469.8489844967562</v>
      </c>
      <c r="AZ88" s="621">
        <f t="shared" si="151"/>
        <v>1967.7015956587497</v>
      </c>
      <c r="BA88" s="621">
        <f>BA87*BA85/$A$3</f>
        <v>2112.799155012</v>
      </c>
      <c r="BB88" s="621">
        <f>BB87*BB85/$A$3</f>
        <v>1522.2328602599998</v>
      </c>
      <c r="BC88" s="621">
        <f>BC87*BC85/$A$3</f>
        <v>1720.1042560000001</v>
      </c>
      <c r="BD88" s="17">
        <f t="shared" si="151"/>
        <v>7356.832159115419</v>
      </c>
      <c r="BE88" s="621">
        <f t="shared" si="151"/>
        <v>1765.7735696999998</v>
      </c>
      <c r="BF88" s="621">
        <f t="shared" si="151"/>
        <v>1758.161931201</v>
      </c>
      <c r="BG88" s="621">
        <f t="shared" si="151"/>
        <v>1599.071758518</v>
      </c>
      <c r="BH88" s="621">
        <f t="shared" si="151"/>
        <v>1731.9229671428568</v>
      </c>
      <c r="BI88" s="17">
        <f>SUM(BE88:BH88)</f>
        <v>6854.9302265618562</v>
      </c>
      <c r="BJ88" s="621">
        <f t="shared" ref="BJ88:BK88" si="152">BJ87*BJ85/$A$3</f>
        <v>1551.4564338</v>
      </c>
      <c r="BK88" s="621">
        <f t="shared" si="152"/>
        <v>1801.056639857143</v>
      </c>
      <c r="BL88" s="621">
        <f t="shared" ref="BL88:BM88" si="153">BL87*BL85/$A$3</f>
        <v>2025.2167319999999</v>
      </c>
      <c r="BM88" s="621">
        <f t="shared" si="153"/>
        <v>1750.458138012857</v>
      </c>
      <c r="BN88" s="17">
        <f t="shared" si="151"/>
        <v>7204.7156525400005</v>
      </c>
      <c r="BO88" s="17">
        <f t="shared" si="151"/>
        <v>1551.8656767599998</v>
      </c>
      <c r="BP88" s="668"/>
      <c r="BQ88" s="668">
        <f t="shared" si="151"/>
        <v>1733.5152964079996</v>
      </c>
      <c r="BR88" s="668">
        <f t="shared" ref="BR88:CB88" si="154">BR87*BR85/$A$3</f>
        <v>7033.3481774491756</v>
      </c>
      <c r="BS88" s="17">
        <f t="shared" si="154"/>
        <v>7849.334475732413</v>
      </c>
      <c r="BT88" s="17">
        <f t="shared" si="154"/>
        <v>8576.9212846969895</v>
      </c>
      <c r="BU88" s="17">
        <f t="shared" si="154"/>
        <v>9382.2747646292664</v>
      </c>
      <c r="BV88" s="17">
        <f t="shared" si="154"/>
        <v>10274.394584396796</v>
      </c>
      <c r="BW88" s="17">
        <f t="shared" si="154"/>
        <v>11127.576694049327</v>
      </c>
      <c r="BX88" s="17">
        <f t="shared" si="154"/>
        <v>11983.361348293425</v>
      </c>
      <c r="BY88" s="17">
        <f t="shared" si="154"/>
        <v>12827.742781912693</v>
      </c>
      <c r="BZ88" s="17">
        <f t="shared" si="154"/>
        <v>13645.928758041842</v>
      </c>
      <c r="CA88" s="17">
        <f t="shared" si="154"/>
        <v>14422.900973175383</v>
      </c>
      <c r="CB88" s="17">
        <f t="shared" si="154"/>
        <v>15144.046021834154</v>
      </c>
      <c r="CC88" s="269"/>
      <c r="CD88" s="269"/>
      <c r="CE88" s="269"/>
      <c r="CF88" s="269"/>
      <c r="CG88" s="269"/>
      <c r="CH88" s="269"/>
      <c r="CI88" s="269"/>
      <c r="CJ88" s="269"/>
      <c r="CK88" s="269"/>
      <c r="CL88" s="269"/>
    </row>
    <row r="89" spans="1:90">
      <c r="A89" s="2" t="s">
        <v>535</v>
      </c>
      <c r="I89" s="40"/>
      <c r="J89" s="40"/>
      <c r="K89" s="40"/>
      <c r="L89" s="40"/>
      <c r="N89" s="40"/>
      <c r="O89" s="40"/>
      <c r="P89" s="40"/>
      <c r="Q89" s="40"/>
      <c r="S89" s="40"/>
      <c r="T89" s="40"/>
      <c r="U89" s="40"/>
      <c r="V89" s="40"/>
      <c r="X89" s="40"/>
      <c r="Y89" s="40"/>
      <c r="Z89" s="40"/>
      <c r="AA89" s="40"/>
      <c r="AC89" s="40"/>
      <c r="AD89" s="40"/>
      <c r="AE89" s="40"/>
      <c r="AF89" s="40"/>
      <c r="AH89" s="40"/>
      <c r="AI89" s="40"/>
      <c r="AJ89" s="40"/>
      <c r="AK89" s="42">
        <f t="shared" ref="AK89:AT89" si="155">AK88/AK26*$A$3</f>
        <v>1291.4781622857147</v>
      </c>
      <c r="AL89" s="31">
        <f t="shared" si="155"/>
        <v>1045.3678896761905</v>
      </c>
      <c r="AM89" s="369">
        <f t="shared" si="155"/>
        <v>1765.5708691360003</v>
      </c>
      <c r="AN89" s="369">
        <f t="shared" si="155"/>
        <v>2467.9356239999997</v>
      </c>
      <c r="AO89" s="369">
        <f t="shared" si="155"/>
        <v>1011.4392866666666</v>
      </c>
      <c r="AP89" s="369">
        <f t="shared" si="155"/>
        <v>1346.6770000000001</v>
      </c>
      <c r="AQ89" s="31">
        <f t="shared" si="155"/>
        <v>1512.6716583333332</v>
      </c>
      <c r="AR89" s="229">
        <f t="shared" si="155"/>
        <v>1018.087812</v>
      </c>
      <c r="AS89" s="229">
        <f t="shared" si="155"/>
        <v>904.9669439999999</v>
      </c>
      <c r="AT89" s="31">
        <f t="shared" si="155"/>
        <v>1095.3829249999997</v>
      </c>
      <c r="AU89" s="31">
        <f>AU122</f>
        <v>1501.202</v>
      </c>
      <c r="AV89" s="31">
        <f>AV122</f>
        <v>1688.6030000000001</v>
      </c>
      <c r="AW89" s="31">
        <f>AW122</f>
        <v>1617.595</v>
      </c>
      <c r="AX89" s="31">
        <f>AX122</f>
        <v>1917.3564688761001</v>
      </c>
      <c r="AY89" s="229">
        <f>AY88/AY26*$A$3</f>
        <v>1254.8081333333334</v>
      </c>
      <c r="AZ89" s="619">
        <f>AZ122</f>
        <v>1954.193</v>
      </c>
      <c r="BA89" s="619">
        <f>BA122</f>
        <v>2054.547</v>
      </c>
      <c r="BB89" s="619">
        <f>BB122</f>
        <v>1517.7850000000001</v>
      </c>
      <c r="BC89" s="619">
        <f>BC122</f>
        <v>1736.1780000000008</v>
      </c>
      <c r="BD89" s="229">
        <f>BD88/BD26*$A$3</f>
        <v>1837.1605243744395</v>
      </c>
      <c r="BE89" s="619">
        <f>BE122</f>
        <v>1771.2729999999999</v>
      </c>
      <c r="BF89" s="619">
        <f>BF122</f>
        <v>1754.4190000000001</v>
      </c>
      <c r="BG89" s="619">
        <f>BG122</f>
        <v>1491.8779999999999</v>
      </c>
      <c r="BH89" s="619">
        <f>BH122</f>
        <v>1973.2449999999999</v>
      </c>
      <c r="BI89" s="229">
        <f t="shared" ref="BI89:CB89" si="156">BI88/BI26*$A$3</f>
        <v>1716.7742514204183</v>
      </c>
      <c r="BJ89" s="619">
        <f>BJ122</f>
        <v>1519.8119999999999</v>
      </c>
      <c r="BK89" s="619">
        <f>BK122</f>
        <v>1830.191</v>
      </c>
      <c r="BL89" s="619">
        <f>BL122</f>
        <v>1763.7</v>
      </c>
      <c r="BM89" s="619">
        <f>BM122</f>
        <v>1750.458138012857</v>
      </c>
      <c r="BN89" s="229">
        <f t="shared" si="156"/>
        <v>1820.9916666666666</v>
      </c>
      <c r="BO89" s="229">
        <f t="shared" si="156"/>
        <v>1730.61</v>
      </c>
      <c r="BP89" s="668"/>
      <c r="BQ89" s="668">
        <f t="shared" si="156"/>
        <v>1721.3111999999994</v>
      </c>
      <c r="BR89" s="668">
        <f t="shared" si="156"/>
        <v>1738.8752500000003</v>
      </c>
      <c r="BS89" s="229">
        <f t="shared" si="156"/>
        <v>1897.9426515000002</v>
      </c>
      <c r="BT89" s="229">
        <f t="shared" si="156"/>
        <v>2073.8706924915009</v>
      </c>
      <c r="BU89" s="229">
        <f t="shared" si="156"/>
        <v>2268.6024527220134</v>
      </c>
      <c r="BV89" s="229">
        <f t="shared" si="156"/>
        <v>2484.3140218263857</v>
      </c>
      <c r="BW89" s="229">
        <f t="shared" si="156"/>
        <v>2690.6105837084929</v>
      </c>
      <c r="BX89" s="229">
        <f t="shared" si="156"/>
        <v>2897.5364321113921</v>
      </c>
      <c r="BY89" s="229">
        <f t="shared" si="156"/>
        <v>3101.7050201560737</v>
      </c>
      <c r="BZ89" s="229">
        <f t="shared" si="156"/>
        <v>3299.5396347664764</v>
      </c>
      <c r="CA89" s="229">
        <f t="shared" si="156"/>
        <v>3487.4089007139928</v>
      </c>
      <c r="CB89" s="229">
        <f t="shared" si="156"/>
        <v>3661.7793457496932</v>
      </c>
      <c r="CC89" s="269"/>
      <c r="CD89" s="269"/>
      <c r="CE89" s="269"/>
      <c r="CF89" s="269"/>
      <c r="CG89" s="269"/>
      <c r="CH89" s="269"/>
      <c r="CI89" s="269"/>
      <c r="CJ89" s="269"/>
      <c r="CK89" s="269"/>
      <c r="CL89" s="269"/>
    </row>
    <row r="90" spans="1:90">
      <c r="A90" s="2" t="s">
        <v>536</v>
      </c>
      <c r="I90" s="40"/>
      <c r="J90" s="40"/>
      <c r="K90" s="40"/>
      <c r="L90" s="40"/>
      <c r="N90" s="40"/>
      <c r="O90" s="40"/>
      <c r="P90" s="40"/>
      <c r="Q90" s="40"/>
      <c r="S90" s="40"/>
      <c r="T90" s="40"/>
      <c r="U90" s="40"/>
      <c r="V90" s="40"/>
      <c r="X90" s="40"/>
      <c r="Y90" s="40"/>
      <c r="Z90" s="40"/>
      <c r="AA90" s="40"/>
      <c r="AC90" s="40"/>
      <c r="AD90" s="40"/>
      <c r="AE90" s="40"/>
      <c r="AF90" s="40"/>
      <c r="AH90" s="40"/>
      <c r="AI90" s="40">
        <f>484.641*4</f>
        <v>1938.5640000000001</v>
      </c>
      <c r="AJ90" s="40"/>
      <c r="AK90" s="42">
        <f t="shared" ref="AK90:AT90" si="157">AK89/20</f>
        <v>64.573908114285729</v>
      </c>
      <c r="AL90" s="31">
        <f t="shared" si="157"/>
        <v>52.26839448380953</v>
      </c>
      <c r="AM90" s="369">
        <f t="shared" si="157"/>
        <v>88.278543456800008</v>
      </c>
      <c r="AN90" s="369">
        <f t="shared" si="157"/>
        <v>123.39678119999999</v>
      </c>
      <c r="AO90" s="369">
        <f t="shared" si="157"/>
        <v>50.571964333333327</v>
      </c>
      <c r="AP90" s="369">
        <f t="shared" si="157"/>
        <v>67.333850000000012</v>
      </c>
      <c r="AQ90" s="31">
        <f t="shared" si="157"/>
        <v>75.633582916666654</v>
      </c>
      <c r="AR90" s="229">
        <f t="shared" si="157"/>
        <v>50.904390599999999</v>
      </c>
      <c r="AS90" s="229">
        <f t="shared" si="157"/>
        <v>45.248347199999998</v>
      </c>
      <c r="AT90" s="31">
        <f t="shared" si="157"/>
        <v>54.769146249999984</v>
      </c>
      <c r="AU90" s="31"/>
      <c r="AV90" s="31"/>
      <c r="AW90" s="31"/>
      <c r="AX90" s="31"/>
      <c r="AY90" s="229">
        <f>AY89/20</f>
        <v>62.740406666666672</v>
      </c>
      <c r="AZ90" s="619"/>
      <c r="BA90" s="619"/>
      <c r="BB90" s="619"/>
      <c r="BC90" s="619"/>
      <c r="BD90" s="229">
        <f>BD89/20</f>
        <v>91.858026218721974</v>
      </c>
      <c r="BE90" s="619"/>
      <c r="BF90" s="619"/>
      <c r="BG90" s="619"/>
      <c r="BH90" s="619"/>
      <c r="BI90" s="229">
        <f>BI89/20</f>
        <v>85.83871257102092</v>
      </c>
      <c r="BJ90" s="619"/>
      <c r="BK90" s="619"/>
      <c r="BL90" s="619"/>
      <c r="BM90" s="619"/>
      <c r="BN90" s="229">
        <f>BN89/20</f>
        <v>91.049583333333331</v>
      </c>
      <c r="BO90" s="229">
        <f>BO89/20</f>
        <v>86.530499999999989</v>
      </c>
      <c r="BP90" s="668"/>
      <c r="BQ90" s="668">
        <f>BQ89/20</f>
        <v>86.065559999999977</v>
      </c>
      <c r="BR90" s="668">
        <f t="shared" ref="BR90:CB90" si="158">BR89/20</f>
        <v>86.94376250000002</v>
      </c>
      <c r="BS90" s="229">
        <f t="shared" si="158"/>
        <v>94.897132575000015</v>
      </c>
      <c r="BT90" s="229">
        <f t="shared" si="158"/>
        <v>103.69353462457505</v>
      </c>
      <c r="BU90" s="229">
        <f t="shared" si="158"/>
        <v>113.43012263610066</v>
      </c>
      <c r="BV90" s="229">
        <f t="shared" si="158"/>
        <v>124.21570109131929</v>
      </c>
      <c r="BW90" s="229">
        <f t="shared" si="158"/>
        <v>134.53052918542465</v>
      </c>
      <c r="BX90" s="229">
        <f t="shared" si="158"/>
        <v>144.8768216055696</v>
      </c>
      <c r="BY90" s="229">
        <f t="shared" si="158"/>
        <v>155.08525100780369</v>
      </c>
      <c r="BZ90" s="229">
        <f t="shared" si="158"/>
        <v>164.97698173832381</v>
      </c>
      <c r="CA90" s="229">
        <f t="shared" si="158"/>
        <v>174.37044503569965</v>
      </c>
      <c r="CB90" s="229">
        <f t="shared" si="158"/>
        <v>183.08896728748465</v>
      </c>
      <c r="CC90" s="269"/>
      <c r="CD90" s="269"/>
      <c r="CE90" s="269"/>
      <c r="CF90" s="269"/>
      <c r="CG90" s="269"/>
      <c r="CH90" s="269"/>
      <c r="CI90" s="269"/>
      <c r="CJ90" s="269"/>
      <c r="CK90" s="269"/>
      <c r="CL90" s="269"/>
    </row>
    <row r="91" spans="1:90">
      <c r="I91" s="40"/>
      <c r="J91" s="40"/>
      <c r="K91" s="40"/>
      <c r="L91" s="40"/>
      <c r="N91" s="40"/>
      <c r="O91" s="40"/>
      <c r="P91" s="40"/>
      <c r="Q91" s="40"/>
      <c r="S91" s="40"/>
      <c r="T91" s="40"/>
      <c r="U91" s="40"/>
      <c r="V91" s="40"/>
      <c r="X91" s="40"/>
      <c r="Y91" s="40"/>
      <c r="Z91" s="40"/>
      <c r="AA91" s="40"/>
      <c r="AC91" s="40"/>
      <c r="AD91" s="40"/>
      <c r="AE91" s="40"/>
      <c r="AF91" s="40"/>
      <c r="AH91" s="40"/>
      <c r="AI91" s="40"/>
      <c r="AJ91" s="40"/>
      <c r="AK91" s="40"/>
      <c r="AM91" s="40"/>
      <c r="AN91" s="40"/>
      <c r="AO91" s="40"/>
      <c r="AP91" s="40"/>
      <c r="AR91" s="4"/>
      <c r="AS91" s="4"/>
      <c r="AY91" s="4"/>
      <c r="BD91" s="4"/>
      <c r="BE91" s="640"/>
      <c r="BF91" s="640"/>
      <c r="BG91" s="640"/>
      <c r="BH91" s="640"/>
      <c r="BI91" s="4"/>
      <c r="BJ91" s="640"/>
      <c r="BK91" s="640"/>
      <c r="BL91" s="640"/>
      <c r="BM91" s="640"/>
      <c r="BN91" s="4"/>
      <c r="BO91" s="4"/>
      <c r="BP91" s="668"/>
      <c r="BQ91" s="668"/>
      <c r="BR91" s="668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269"/>
      <c r="CD91" s="269"/>
      <c r="CE91" s="269"/>
      <c r="CF91" s="269"/>
      <c r="CG91" s="269"/>
      <c r="CH91" s="269"/>
      <c r="CI91" s="269"/>
      <c r="CJ91" s="269"/>
      <c r="CK91" s="269"/>
      <c r="CL91" s="269"/>
    </row>
    <row r="92" spans="1:90">
      <c r="I92" s="40"/>
      <c r="J92" s="40"/>
      <c r="K92" s="40"/>
      <c r="L92" s="40"/>
      <c r="N92" s="40"/>
      <c r="O92" s="40"/>
      <c r="P92" s="40"/>
      <c r="Q92" s="40"/>
      <c r="S92" s="40"/>
      <c r="T92" s="40"/>
      <c r="U92" s="40"/>
      <c r="V92" s="40"/>
      <c r="X92" s="40"/>
      <c r="Y92" s="40"/>
      <c r="Z92" s="40"/>
      <c r="AA92" s="40"/>
      <c r="AC92" s="40"/>
      <c r="AD92" s="40"/>
      <c r="AE92" s="40"/>
      <c r="AF92" s="40"/>
      <c r="AH92" s="40"/>
      <c r="AI92" s="40"/>
      <c r="AJ92" s="40"/>
      <c r="AK92" s="40"/>
      <c r="AM92" s="40"/>
      <c r="AN92" s="40"/>
      <c r="AO92" s="40"/>
      <c r="AP92" s="40"/>
      <c r="AR92" s="4"/>
      <c r="AS92" s="4"/>
      <c r="AY92" s="4"/>
      <c r="BD92" s="4"/>
      <c r="BE92" s="640"/>
      <c r="BF92" s="640"/>
      <c r="BG92" s="640"/>
      <c r="BH92" s="640"/>
      <c r="BI92" s="4"/>
      <c r="BJ92" s="640"/>
      <c r="BK92" s="640"/>
      <c r="BL92" s="640"/>
      <c r="BM92" s="640"/>
      <c r="BN92" s="4"/>
      <c r="BO92" s="4"/>
      <c r="BP92" s="668"/>
      <c r="BQ92" s="668"/>
      <c r="BR92" s="668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269"/>
      <c r="CD92" s="269"/>
      <c r="CE92" s="269"/>
      <c r="CF92" s="269"/>
      <c r="CG92" s="269"/>
      <c r="CH92" s="269"/>
      <c r="CI92" s="269"/>
      <c r="CJ92" s="269"/>
      <c r="CK92" s="269"/>
      <c r="CL92" s="269"/>
    </row>
    <row r="93" spans="1:90" s="36" customFormat="1">
      <c r="A93" s="109" t="s">
        <v>199</v>
      </c>
      <c r="B93" s="1" t="s">
        <v>78</v>
      </c>
      <c r="G93" s="92">
        <f>+G122</f>
        <v>1013.13</v>
      </c>
      <c r="H93" s="92">
        <f t="shared" ref="H93:M93" si="159">+H122</f>
        <v>953.36</v>
      </c>
      <c r="I93" s="88">
        <f t="shared" si="159"/>
        <v>510.13400000000001</v>
      </c>
      <c r="J93" s="88">
        <f t="shared" si="159"/>
        <v>239.07499999999999</v>
      </c>
      <c r="K93" s="88">
        <f t="shared" si="159"/>
        <v>261.72900000000004</v>
      </c>
      <c r="L93" s="88">
        <f t="shared" si="159"/>
        <v>1010.9380000000001</v>
      </c>
      <c r="M93" s="92">
        <f t="shared" si="159"/>
        <v>1010.938</v>
      </c>
      <c r="N93" s="88"/>
      <c r="O93" s="88"/>
      <c r="P93" s="88"/>
      <c r="Q93" s="88"/>
      <c r="R93" s="92">
        <f>+R122</f>
        <v>1123.7159999999999</v>
      </c>
      <c r="S93" s="88"/>
      <c r="T93" s="88"/>
      <c r="U93" s="88"/>
      <c r="V93" s="88"/>
      <c r="W93" s="92">
        <f t="shared" ref="W93:AB93" si="160">+W122</f>
        <v>1493.5139999999999</v>
      </c>
      <c r="X93" s="88">
        <f t="shared" si="160"/>
        <v>467.54700000000003</v>
      </c>
      <c r="Y93" s="88">
        <f t="shared" si="160"/>
        <v>564.41499999999996</v>
      </c>
      <c r="Z93" s="88">
        <f t="shared" si="160"/>
        <v>511.95600000000002</v>
      </c>
      <c r="AA93" s="88">
        <f t="shared" si="160"/>
        <v>570.7489999999998</v>
      </c>
      <c r="AB93" s="92">
        <f t="shared" si="160"/>
        <v>2114.6669999999999</v>
      </c>
      <c r="AC93" s="88">
        <f>+AC122</f>
        <v>532.71699999999998</v>
      </c>
      <c r="AD93" s="88">
        <f>+AD122</f>
        <v>416.00299999999999</v>
      </c>
      <c r="AE93" s="88">
        <f>+AE122</f>
        <v>458.06099999999998</v>
      </c>
      <c r="AF93" s="88">
        <f>+AF94*AF26/$A$3</f>
        <v>564.84349836902686</v>
      </c>
      <c r="AG93" s="92">
        <f>+AG122</f>
        <v>1971.6244983690267</v>
      </c>
      <c r="AH93" s="88">
        <f>+AH122</f>
        <v>800.375</v>
      </c>
      <c r="AI93" s="88">
        <f>+AI94*AI26/$A$3</f>
        <v>825.8292551304063</v>
      </c>
      <c r="AJ93" s="88">
        <f>+AJ94*AJ25/$A$3</f>
        <v>1206.567</v>
      </c>
      <c r="AK93" s="88">
        <f>+AK94*AK26/$A$3</f>
        <v>1630.5429651843617</v>
      </c>
      <c r="AL93" s="92">
        <f>+AL122</f>
        <v>4595.9750000000004</v>
      </c>
      <c r="AM93" s="88">
        <f>+AM122</f>
        <v>1822.7449999999999</v>
      </c>
      <c r="AN93" s="88">
        <f>+AN122</f>
        <v>2552.3470000000002</v>
      </c>
      <c r="AO93" s="88">
        <f>+AO122</f>
        <v>883.49099999999999</v>
      </c>
      <c r="AP93" s="88">
        <f>+AP122</f>
        <v>1578.5406932095607</v>
      </c>
      <c r="AQ93" s="92">
        <f>+AQ94*AQ$26/$A$3</f>
        <v>4425.729529981194</v>
      </c>
      <c r="AR93" s="333">
        <f t="shared" ref="AR93:CB93" si="161">+AR94*AR$26/$A$3</f>
        <v>1451.1919942367554</v>
      </c>
      <c r="AS93" s="333">
        <f t="shared" si="161"/>
        <v>1603.6641751606251</v>
      </c>
      <c r="AT93" s="92">
        <f t="shared" si="161"/>
        <v>5883.0458753463563</v>
      </c>
      <c r="AU93" s="92"/>
      <c r="AV93" s="92"/>
      <c r="AW93" s="92"/>
      <c r="AX93" s="92"/>
      <c r="AY93" s="333">
        <f t="shared" si="161"/>
        <v>6488.604883233801</v>
      </c>
      <c r="AZ93" s="636"/>
      <c r="BA93" s="636"/>
      <c r="BB93" s="636"/>
      <c r="BC93" s="636"/>
      <c r="BD93" s="333">
        <f t="shared" si="161"/>
        <v>5291.3629541473983</v>
      </c>
      <c r="BE93" s="636"/>
      <c r="BF93" s="636"/>
      <c r="BG93" s="636"/>
      <c r="BH93" s="636"/>
      <c r="BI93" s="333">
        <f t="shared" si="161"/>
        <v>5539.9131477219207</v>
      </c>
      <c r="BJ93" s="636"/>
      <c r="BK93" s="636"/>
      <c r="BL93" s="636"/>
      <c r="BM93" s="636"/>
      <c r="BN93" s="333">
        <f t="shared" si="161"/>
        <v>5763.8317428170176</v>
      </c>
      <c r="BO93" s="333"/>
      <c r="BP93" s="668"/>
      <c r="BQ93" s="668"/>
      <c r="BR93" s="668">
        <f t="shared" si="161"/>
        <v>6187.0752441906607</v>
      </c>
      <c r="BS93" s="333">
        <f t="shared" si="161"/>
        <v>6642.4876516429576</v>
      </c>
      <c r="BT93" s="333">
        <f t="shared" si="161"/>
        <v>6974.6120342251052</v>
      </c>
      <c r="BU93" s="333">
        <f t="shared" si="161"/>
        <v>7323.3426359363602</v>
      </c>
      <c r="BV93" s="333">
        <f t="shared" si="161"/>
        <v>7689.5097677331787</v>
      </c>
      <c r="BW93" s="333">
        <f t="shared" si="161"/>
        <v>8073.9852561198386</v>
      </c>
      <c r="BX93" s="333">
        <f t="shared" si="161"/>
        <v>8477.6845189258311</v>
      </c>
      <c r="BY93" s="333">
        <f t="shared" si="161"/>
        <v>8901.5687448721237</v>
      </c>
      <c r="BZ93" s="333">
        <f t="shared" si="161"/>
        <v>9346.6471821157302</v>
      </c>
      <c r="CA93" s="333">
        <f t="shared" si="161"/>
        <v>9813.9795412215153</v>
      </c>
      <c r="CB93" s="333">
        <f t="shared" si="161"/>
        <v>10304.678518282593</v>
      </c>
      <c r="CC93" s="213"/>
      <c r="CD93" s="213"/>
      <c r="CE93" s="213"/>
      <c r="CF93" s="213"/>
      <c r="CG93" s="213"/>
      <c r="CH93" s="213"/>
      <c r="CI93" s="213"/>
      <c r="CJ93" s="213"/>
      <c r="CK93" s="213"/>
      <c r="CL93" s="213"/>
    </row>
    <row r="94" spans="1:90">
      <c r="A94" s="1" t="s">
        <v>365</v>
      </c>
      <c r="B94" s="1" t="s">
        <v>366</v>
      </c>
      <c r="I94" s="40"/>
      <c r="J94" s="40"/>
      <c r="K94" s="40"/>
      <c r="L94" s="40"/>
      <c r="N94" s="40"/>
      <c r="O94" s="40"/>
      <c r="P94" s="40"/>
      <c r="Q94" s="40"/>
      <c r="R94" s="31">
        <f>+R93*$A$3/R$26</f>
        <v>758.05774837725198</v>
      </c>
      <c r="S94" s="40"/>
      <c r="T94" s="40"/>
      <c r="U94" s="40"/>
      <c r="V94" s="40"/>
      <c r="W94" s="31">
        <f t="shared" ref="W94:AB94" si="162">+W93*$A$3/W$26</f>
        <v>824.08365350076394</v>
      </c>
      <c r="X94" s="88">
        <f t="shared" si="162"/>
        <v>898.24096950322178</v>
      </c>
      <c r="Y94" s="88">
        <f t="shared" si="162"/>
        <v>1072.9956009109953</v>
      </c>
      <c r="Z94" s="88">
        <f t="shared" si="162"/>
        <v>1002.9306899659131</v>
      </c>
      <c r="AA94" s="88">
        <f t="shared" si="162"/>
        <v>1003.7918159386411</v>
      </c>
      <c r="AB94" s="92">
        <f t="shared" si="162"/>
        <v>994.86353168657104</v>
      </c>
      <c r="AC94" s="88">
        <f>+AC93*$A$3/AC$26</f>
        <v>945.11852192225331</v>
      </c>
      <c r="AD94" s="88">
        <f>+AD93*$A$3/AD$26</f>
        <v>684.70759410958203</v>
      </c>
      <c r="AE94" s="88">
        <f>+AE93*$A$3/AE$26</f>
        <v>752.12924391521449</v>
      </c>
      <c r="AF94" s="88">
        <f>+AE94*(1+AF95)</f>
        <v>789.73570611097523</v>
      </c>
      <c r="AG94" s="92">
        <f>+AG93*$A$3/AG$26</f>
        <v>775.4354487778968</v>
      </c>
      <c r="AH94" s="88">
        <f>+AH93*$A$3/AH$26</f>
        <v>840.49431514480705</v>
      </c>
      <c r="AI94" s="88">
        <f>+AH94*(1+AI95)</f>
        <v>848.89925829625508</v>
      </c>
      <c r="AJ94" s="88">
        <f>AJ122/AJ25*A3</f>
        <v>1077.6407924560615</v>
      </c>
      <c r="AK94" s="88">
        <f>+AJ94*(1+AK95)</f>
        <v>1400.9330301928801</v>
      </c>
      <c r="AL94" s="92">
        <f>+AL93*$A$3/AL$26</f>
        <v>1087.0927844415266</v>
      </c>
      <c r="AM94" s="88">
        <f>+AM93*$A$3/AM$26</f>
        <v>1947.8932452188187</v>
      </c>
      <c r="AN94" s="88">
        <f>+AN93*$A$3/AN$26</f>
        <v>3471.5825623921755</v>
      </c>
      <c r="AO94" s="88">
        <f>+AO93*$A$3/AO$26</f>
        <v>860.40043356443141</v>
      </c>
      <c r="AP94" s="88">
        <f>+AP93*$A$3/AP$26</f>
        <v>1346.6769999999999</v>
      </c>
      <c r="AQ94" s="92">
        <f>+AL94*(1+AQ95)</f>
        <v>1141.4474236636031</v>
      </c>
      <c r="AR94" s="333">
        <f>+AP94*(1+AR95)</f>
        <v>1414.0108499999999</v>
      </c>
      <c r="AS94" s="333">
        <f>+AP94*(1+AS95)</f>
        <v>1414.0108499999999</v>
      </c>
      <c r="AT94" s="92">
        <f>+AQ94*(1+AT95)</f>
        <v>1198.5197948467833</v>
      </c>
      <c r="AU94" s="92"/>
      <c r="AV94" s="92"/>
      <c r="AW94" s="92"/>
      <c r="AX94" s="92"/>
      <c r="AY94" s="333">
        <f>+AT94*(1+AY95)</f>
        <v>1258.4457845891225</v>
      </c>
      <c r="AZ94" s="636"/>
      <c r="BA94" s="636"/>
      <c r="BB94" s="636"/>
      <c r="BC94" s="636"/>
      <c r="BD94" s="333">
        <f>+AY94*(1+BD95)</f>
        <v>1321.3680738185788</v>
      </c>
      <c r="BE94" s="636"/>
      <c r="BF94" s="636"/>
      <c r="BG94" s="636"/>
      <c r="BH94" s="636"/>
      <c r="BI94" s="333">
        <f>+BD94*(1+BI95)</f>
        <v>1387.4364775095078</v>
      </c>
      <c r="BJ94" s="636"/>
      <c r="BK94" s="636"/>
      <c r="BL94" s="636"/>
      <c r="BM94" s="636"/>
      <c r="BN94" s="333">
        <f>+BI94*(1+BN95)</f>
        <v>1456.8083013849832</v>
      </c>
      <c r="BO94" s="333"/>
      <c r="BP94" s="668"/>
      <c r="BQ94" s="668"/>
      <c r="BR94" s="668">
        <f>+BN94*(1+BR95)</f>
        <v>1529.6487164542325</v>
      </c>
      <c r="BS94" s="333">
        <f t="shared" ref="BS94:CB94" si="163">+BR94*(1+BS95)</f>
        <v>1606.1311522769442</v>
      </c>
      <c r="BT94" s="333">
        <f t="shared" si="163"/>
        <v>1686.4377098907914</v>
      </c>
      <c r="BU94" s="333">
        <f t="shared" si="163"/>
        <v>1770.7595953853311</v>
      </c>
      <c r="BV94" s="333">
        <f t="shared" si="163"/>
        <v>1859.2975751545978</v>
      </c>
      <c r="BW94" s="333">
        <f t="shared" si="163"/>
        <v>1952.2624539123278</v>
      </c>
      <c r="BX94" s="333">
        <f t="shared" si="163"/>
        <v>2049.8755766079444</v>
      </c>
      <c r="BY94" s="333">
        <f t="shared" si="163"/>
        <v>2152.3693554383417</v>
      </c>
      <c r="BZ94" s="333">
        <f t="shared" si="163"/>
        <v>2259.9878232102587</v>
      </c>
      <c r="CA94" s="333">
        <f t="shared" si="163"/>
        <v>2372.9872143707717</v>
      </c>
      <c r="CB94" s="333">
        <f t="shared" si="163"/>
        <v>2491.6365750893106</v>
      </c>
      <c r="CC94" s="269"/>
      <c r="CD94" s="269"/>
      <c r="CE94" s="269"/>
      <c r="CF94" s="269"/>
      <c r="CG94" s="269"/>
      <c r="CH94" s="269"/>
      <c r="CI94" s="269"/>
      <c r="CJ94" s="269"/>
      <c r="CK94" s="269"/>
      <c r="CL94" s="269"/>
    </row>
    <row r="95" spans="1:90" s="377" customFormat="1">
      <c r="G95" s="378"/>
      <c r="H95" s="378"/>
      <c r="I95" s="374"/>
      <c r="J95" s="374"/>
      <c r="K95" s="374"/>
      <c r="L95" s="374"/>
      <c r="M95" s="378"/>
      <c r="N95" s="374"/>
      <c r="O95" s="374"/>
      <c r="P95" s="374"/>
      <c r="Q95" s="374"/>
      <c r="R95" s="378"/>
      <c r="S95" s="374"/>
      <c r="T95" s="374"/>
      <c r="U95" s="374"/>
      <c r="V95" s="374"/>
      <c r="W95" s="378">
        <f>+W94/R94-1</f>
        <v>8.7098780092745409E-2</v>
      </c>
      <c r="X95" s="374"/>
      <c r="Y95" s="374">
        <f>+Y94/X94-1</f>
        <v>0.19455206046148477</v>
      </c>
      <c r="Z95" s="374">
        <f>+Z94/Y94-1</f>
        <v>-6.5298413978208014E-2</v>
      </c>
      <c r="AA95" s="374">
        <f>+AA94/Z94-1</f>
        <v>8.5860965403039557E-4</v>
      </c>
      <c r="AB95" s="378">
        <f>+AB94/W94-1</f>
        <v>0.2072360948555676</v>
      </c>
      <c r="AC95" s="374">
        <f>+AC94/AA94-1</f>
        <v>-5.8451656095166116E-2</v>
      </c>
      <c r="AD95" s="374">
        <f>+AD94/AC94-1</f>
        <v>-0.27553256207806387</v>
      </c>
      <c r="AE95" s="374">
        <f>+AE94/AD94-1</f>
        <v>9.8467799080438123E-2</v>
      </c>
      <c r="AF95" s="374">
        <v>0.05</v>
      </c>
      <c r="AG95" s="378">
        <v>0</v>
      </c>
      <c r="AH95" s="374">
        <f>+AH94/AF94-1</f>
        <v>6.4272906291385379E-2</v>
      </c>
      <c r="AI95" s="374">
        <v>0.01</v>
      </c>
      <c r="AJ95" s="374">
        <f>+AJ94/AI94-1</f>
        <v>0.26945663095393879</v>
      </c>
      <c r="AK95" s="374">
        <v>0.3</v>
      </c>
      <c r="AL95" s="378">
        <v>0.02</v>
      </c>
      <c r="AM95" s="374">
        <v>0.3</v>
      </c>
      <c r="AN95" s="374">
        <v>0.3</v>
      </c>
      <c r="AO95" s="374">
        <v>0.3</v>
      </c>
      <c r="AP95" s="374">
        <v>0.3</v>
      </c>
      <c r="AQ95" s="378">
        <v>0.05</v>
      </c>
      <c r="AR95" s="379">
        <v>0.05</v>
      </c>
      <c r="AS95" s="379">
        <v>0.05</v>
      </c>
      <c r="AT95" s="378">
        <v>0.05</v>
      </c>
      <c r="AU95" s="378"/>
      <c r="AV95" s="378"/>
      <c r="AW95" s="378"/>
      <c r="AX95" s="378"/>
      <c r="AY95" s="379">
        <v>0.05</v>
      </c>
      <c r="AZ95" s="680"/>
      <c r="BA95" s="680"/>
      <c r="BB95" s="680"/>
      <c r="BC95" s="680"/>
      <c r="BD95" s="379">
        <v>0.05</v>
      </c>
      <c r="BE95" s="680"/>
      <c r="BF95" s="680"/>
      <c r="BG95" s="680"/>
      <c r="BH95" s="680"/>
      <c r="BI95" s="379">
        <v>0.05</v>
      </c>
      <c r="BJ95" s="680"/>
      <c r="BK95" s="680"/>
      <c r="BL95" s="680"/>
      <c r="BM95" s="680"/>
      <c r="BN95" s="379">
        <v>0.05</v>
      </c>
      <c r="BO95" s="379"/>
      <c r="BP95" s="668"/>
      <c r="BQ95" s="668"/>
      <c r="BR95" s="668">
        <v>0.05</v>
      </c>
      <c r="BS95" s="379">
        <v>0.05</v>
      </c>
      <c r="BT95" s="379">
        <v>0.05</v>
      </c>
      <c r="BU95" s="379">
        <v>0.05</v>
      </c>
      <c r="BV95" s="379">
        <v>0.05</v>
      </c>
      <c r="BW95" s="379">
        <v>0.05</v>
      </c>
      <c r="BX95" s="379">
        <v>0.05</v>
      </c>
      <c r="BY95" s="379">
        <v>0.05</v>
      </c>
      <c r="BZ95" s="379">
        <v>0.05</v>
      </c>
      <c r="CA95" s="379">
        <v>0.05</v>
      </c>
      <c r="CB95" s="379">
        <v>0.05</v>
      </c>
      <c r="CC95" s="787"/>
      <c r="CD95" s="787"/>
      <c r="CE95" s="787"/>
      <c r="CF95" s="787"/>
      <c r="CG95" s="787"/>
      <c r="CH95" s="787"/>
      <c r="CI95" s="787"/>
      <c r="CJ95" s="787"/>
      <c r="CK95" s="787"/>
      <c r="CL95" s="787"/>
    </row>
    <row r="96" spans="1:90">
      <c r="I96" s="358">
        <f>+Assumptions!I121</f>
        <v>99.733999999999995</v>
      </c>
      <c r="J96" s="358">
        <f>+Assumptions!J121</f>
        <v>55.453000000000003</v>
      </c>
      <c r="K96" s="358">
        <f>+Assumptions!K121</f>
        <v>47.36399999999999</v>
      </c>
      <c r="L96" s="40"/>
      <c r="N96" s="40"/>
      <c r="O96" s="40"/>
      <c r="P96" s="40"/>
      <c r="Q96" s="40"/>
      <c r="S96" s="40"/>
      <c r="T96" s="40"/>
      <c r="U96" s="40"/>
      <c r="V96" s="40"/>
      <c r="X96" s="40"/>
      <c r="Y96" s="40"/>
      <c r="Z96" s="40"/>
      <c r="AA96" s="40"/>
      <c r="AC96" s="40"/>
      <c r="AD96" s="40"/>
      <c r="AE96" s="40"/>
      <c r="AF96" s="40"/>
      <c r="AH96" s="40"/>
      <c r="AI96" s="40"/>
      <c r="AJ96" s="40"/>
      <c r="AK96" s="40"/>
      <c r="AM96" s="40"/>
      <c r="AN96" s="40"/>
      <c r="AO96" s="40"/>
      <c r="AP96" s="40"/>
      <c r="AR96" s="4"/>
      <c r="AS96" s="4"/>
      <c r="AY96" s="4"/>
      <c r="BD96" s="4"/>
      <c r="BE96" s="640"/>
      <c r="BF96" s="640"/>
      <c r="BG96" s="640"/>
      <c r="BH96" s="640"/>
      <c r="BI96" s="4"/>
      <c r="BJ96" s="640"/>
      <c r="BK96" s="640"/>
      <c r="BL96" s="640"/>
      <c r="BM96" s="640"/>
      <c r="BN96" s="4"/>
      <c r="BO96" s="4"/>
      <c r="BP96" s="668"/>
      <c r="BQ96" s="668"/>
      <c r="BR96" s="668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269"/>
      <c r="CD96" s="269"/>
      <c r="CE96" s="269"/>
      <c r="CF96" s="269"/>
      <c r="CG96" s="269"/>
      <c r="CH96" s="269"/>
      <c r="CI96" s="269"/>
      <c r="CJ96" s="269"/>
      <c r="CK96" s="269"/>
      <c r="CL96" s="269"/>
    </row>
    <row r="97" spans="1:90">
      <c r="A97" s="386" t="s">
        <v>197</v>
      </c>
      <c r="B97" s="354" t="s">
        <v>78</v>
      </c>
      <c r="I97" s="358"/>
      <c r="J97" s="358"/>
      <c r="K97" s="358"/>
      <c r="L97" s="40"/>
      <c r="M97" s="22">
        <f>+M120</f>
        <v>152.797</v>
      </c>
      <c r="N97" s="40">
        <f t="shared" ref="N97:Z97" si="164">+N120</f>
        <v>35.920999999999999</v>
      </c>
      <c r="O97" s="40">
        <f t="shared" si="164"/>
        <v>44.921999999999997</v>
      </c>
      <c r="P97" s="40">
        <f t="shared" si="164"/>
        <v>45.146609999999995</v>
      </c>
      <c r="Q97" s="40">
        <f t="shared" si="164"/>
        <v>45.372343049999991</v>
      </c>
      <c r="R97" s="10">
        <f t="shared" si="164"/>
        <v>161.91900000000001</v>
      </c>
      <c r="S97" s="40">
        <f t="shared" si="164"/>
        <v>41.234000000000002</v>
      </c>
      <c r="T97" s="40">
        <f t="shared" si="164"/>
        <v>0</v>
      </c>
      <c r="U97" s="40">
        <f t="shared" si="164"/>
        <v>0</v>
      </c>
      <c r="V97" s="40">
        <f t="shared" si="164"/>
        <v>0</v>
      </c>
      <c r="W97" s="22">
        <f>+W120</f>
        <v>185.91399999999999</v>
      </c>
      <c r="X97" s="40">
        <f>+X120</f>
        <v>47.179000000000002</v>
      </c>
      <c r="Y97" s="40">
        <f t="shared" si="164"/>
        <v>52.542000000000002</v>
      </c>
      <c r="Z97" s="40">
        <f t="shared" si="164"/>
        <v>52.460999999999999</v>
      </c>
      <c r="AA97" s="369">
        <f>+AA120</f>
        <v>78.672000000000025</v>
      </c>
      <c r="AB97" s="22">
        <f>+AB120</f>
        <v>230.85400000000001</v>
      </c>
      <c r="AC97" s="369">
        <f>+AC120</f>
        <v>65.123999999999995</v>
      </c>
      <c r="AD97" s="369">
        <f>+AD120</f>
        <v>75.194000000000003</v>
      </c>
      <c r="AE97" s="369">
        <f>+AE120</f>
        <v>58.183999999999997</v>
      </c>
      <c r="AF97" s="42">
        <f>+AF98*AF99/$A$3</f>
        <v>87.275999999999996</v>
      </c>
      <c r="AG97" s="22">
        <f>+AG120</f>
        <v>285.77799999999996</v>
      </c>
      <c r="AH97" s="42">
        <f>+AH120</f>
        <v>112.236</v>
      </c>
      <c r="AI97" s="42">
        <f>AI120</f>
        <v>123.62</v>
      </c>
      <c r="AJ97" s="42">
        <f>+AJ120</f>
        <v>112.673</v>
      </c>
      <c r="AK97" s="42">
        <f>+AK120</f>
        <v>130.26100000000002</v>
      </c>
      <c r="AL97" s="22">
        <f>+AL120</f>
        <v>478.79</v>
      </c>
      <c r="AM97" s="369">
        <f>+AM120</f>
        <v>165.32300000000001</v>
      </c>
      <c r="AN97" s="369">
        <f>AN99*AN98/A3</f>
        <v>165.32300000000001</v>
      </c>
      <c r="AO97" s="369">
        <f>AO99*AO98/A3</f>
        <v>165.32300000000001</v>
      </c>
      <c r="AP97" s="369">
        <f>AP99*AP98/A3</f>
        <v>165.32300000000001</v>
      </c>
      <c r="AQ97" s="22">
        <f>+AQ120</f>
        <v>641.40800000000002</v>
      </c>
      <c r="AR97" s="333">
        <f>+AR99*AR98/$A$3</f>
        <v>183.23299166666669</v>
      </c>
      <c r="AS97" s="333">
        <f>+AS99*AS98/$A$3</f>
        <v>183.23299166666669</v>
      </c>
      <c r="AT97" s="22">
        <f>AT120</f>
        <v>695.73900000000003</v>
      </c>
      <c r="AU97" s="22">
        <f>+AU120</f>
        <v>177.67099999999999</v>
      </c>
      <c r="AV97" s="22">
        <f>+AV120</f>
        <v>189.84399999999999</v>
      </c>
      <c r="AW97" s="22">
        <f>+AW120</f>
        <v>196.65700000000001</v>
      </c>
      <c r="AX97" s="22">
        <f>+AX120</f>
        <v>190</v>
      </c>
      <c r="AY97" s="22">
        <f>AY120</f>
        <v>804.95699999999999</v>
      </c>
      <c r="AZ97" s="677">
        <f>AZ120</f>
        <v>211.09200000000001</v>
      </c>
      <c r="BA97" s="677">
        <f>+BA99*BA98/$A$3</f>
        <v>211.09200000000001</v>
      </c>
      <c r="BB97" s="677">
        <f>+BB99*BB98/$A$3</f>
        <v>211.09200000000001</v>
      </c>
      <c r="BC97" s="677">
        <f>+BC99*BC98/$A$3</f>
        <v>211.09200000000001</v>
      </c>
      <c r="BD97" s="22">
        <f>BD120</f>
        <v>941.31600000000003</v>
      </c>
      <c r="BE97" s="677">
        <f t="shared" ref="BE97:BJ97" si="165">BE120</f>
        <v>253.83600000000001</v>
      </c>
      <c r="BF97" s="677">
        <f t="shared" si="165"/>
        <v>282.82600000000002</v>
      </c>
      <c r="BG97" s="677">
        <f t="shared" si="165"/>
        <v>275.70100000000002</v>
      </c>
      <c r="BH97" s="677">
        <f t="shared" si="165"/>
        <v>306.76599999999985</v>
      </c>
      <c r="BI97" s="333">
        <f t="shared" si="165"/>
        <v>1119.1289999999999</v>
      </c>
      <c r="BJ97" s="677">
        <f t="shared" si="165"/>
        <v>286.67399999999998</v>
      </c>
      <c r="BK97" s="677">
        <f t="shared" ref="BK97:BQ97" si="166">+BK99*BK98/$A$3</f>
        <v>286.67399999999998</v>
      </c>
      <c r="BL97" s="677">
        <f t="shared" si="166"/>
        <v>286.67399999999998</v>
      </c>
      <c r="BM97" s="622">
        <f t="shared" si="166"/>
        <v>286.67399999999998</v>
      </c>
      <c r="BN97" s="333">
        <f t="shared" ref="BN97" si="167">BN120</f>
        <v>1345.3679999999999</v>
      </c>
      <c r="BO97" s="333">
        <f t="shared" si="166"/>
        <v>286.67399999999998</v>
      </c>
      <c r="BP97" s="668"/>
      <c r="BQ97" s="668">
        <f t="shared" si="166"/>
        <v>286.67399999999998</v>
      </c>
      <c r="BR97" s="668">
        <f t="shared" ref="BR97:CB97" si="168">+BR99*BR98/$A$3</f>
        <v>1412.6364000000001</v>
      </c>
      <c r="BS97" s="333">
        <f t="shared" si="168"/>
        <v>1483.2682199999999</v>
      </c>
      <c r="BT97" s="333">
        <f t="shared" si="168"/>
        <v>1557.4316309999999</v>
      </c>
      <c r="BU97" s="333">
        <f t="shared" si="168"/>
        <v>1635.3032125500001</v>
      </c>
      <c r="BV97" s="333">
        <f t="shared" si="168"/>
        <v>1717.0683731775002</v>
      </c>
      <c r="BW97" s="333">
        <f t="shared" si="168"/>
        <v>1802.9217918363754</v>
      </c>
      <c r="BX97" s="333">
        <f t="shared" si="168"/>
        <v>1893.0678814281941</v>
      </c>
      <c r="BY97" s="333">
        <f t="shared" si="168"/>
        <v>1987.721275499604</v>
      </c>
      <c r="BZ97" s="333">
        <f t="shared" si="168"/>
        <v>2087.1073392745843</v>
      </c>
      <c r="CA97" s="333">
        <f t="shared" si="168"/>
        <v>2191.4627062383142</v>
      </c>
      <c r="CB97" s="333">
        <f t="shared" si="168"/>
        <v>2301.0358415502296</v>
      </c>
      <c r="CC97" s="269"/>
      <c r="CD97" s="269"/>
      <c r="CE97" s="269"/>
      <c r="CF97" s="269"/>
      <c r="CG97" s="269"/>
      <c r="CH97" s="269"/>
      <c r="CI97" s="269"/>
      <c r="CJ97" s="269"/>
      <c r="CK97" s="269"/>
      <c r="CL97" s="269"/>
    </row>
    <row r="98" spans="1:90">
      <c r="A98" s="113" t="s">
        <v>392</v>
      </c>
      <c r="B98" s="338"/>
      <c r="I98" s="358"/>
      <c r="J98" s="358"/>
      <c r="K98" s="358"/>
      <c r="L98" s="40"/>
      <c r="M98" s="10">
        <v>604</v>
      </c>
      <c r="N98" s="40"/>
      <c r="O98" s="40"/>
      <c r="P98" s="40"/>
      <c r="Q98" s="40"/>
      <c r="R98" s="10">
        <v>607</v>
      </c>
      <c r="S98" s="40"/>
      <c r="T98" s="40"/>
      <c r="U98" s="40"/>
      <c r="V98" s="40"/>
      <c r="W98" s="10">
        <v>665</v>
      </c>
      <c r="X98" s="40">
        <f>+W98</f>
        <v>665</v>
      </c>
      <c r="Y98" s="40">
        <f>+AB98</f>
        <v>750</v>
      </c>
      <c r="Z98" s="40">
        <f>+AB98</f>
        <v>750</v>
      </c>
      <c r="AA98" s="40">
        <f>+AB98</f>
        <v>750</v>
      </c>
      <c r="AB98" s="10">
        <v>750</v>
      </c>
      <c r="AC98" s="40">
        <f>+AB98</f>
        <v>750</v>
      </c>
      <c r="AD98" s="40">
        <f>+AC98</f>
        <v>750</v>
      </c>
      <c r="AE98" s="40">
        <f>+AD98</f>
        <v>750</v>
      </c>
      <c r="AF98" s="40">
        <f>+AE98</f>
        <v>750</v>
      </c>
      <c r="AG98" s="10">
        <f>+AB98</f>
        <v>750</v>
      </c>
      <c r="AH98" s="40">
        <v>900</v>
      </c>
      <c r="AI98" s="40">
        <f>+AH98</f>
        <v>900</v>
      </c>
      <c r="AJ98" s="40">
        <f>+AI98</f>
        <v>900</v>
      </c>
      <c r="AK98" s="40">
        <f>+AJ98</f>
        <v>900</v>
      </c>
      <c r="AL98" s="10">
        <f>+AI98</f>
        <v>900</v>
      </c>
      <c r="AM98" s="40">
        <f>+AL98</f>
        <v>900</v>
      </c>
      <c r="AN98" s="40">
        <f>+AM98</f>
        <v>900</v>
      </c>
      <c r="AO98" s="40">
        <f>+AN98</f>
        <v>900</v>
      </c>
      <c r="AP98" s="40">
        <f>+AO98</f>
        <v>900</v>
      </c>
      <c r="AQ98" s="10">
        <v>950</v>
      </c>
      <c r="AR98" s="4">
        <v>950</v>
      </c>
      <c r="AS98" s="4">
        <v>950</v>
      </c>
      <c r="AT98" s="10">
        <v>950</v>
      </c>
      <c r="AU98" s="10">
        <v>950</v>
      </c>
      <c r="AV98" s="10">
        <v>950</v>
      </c>
      <c r="AW98" s="10">
        <v>950</v>
      </c>
      <c r="AX98" s="10">
        <v>950</v>
      </c>
      <c r="AY98" s="10">
        <v>950</v>
      </c>
      <c r="AZ98" s="640">
        <v>950</v>
      </c>
      <c r="BA98" s="640">
        <v>950</v>
      </c>
      <c r="BB98" s="640">
        <v>950</v>
      </c>
      <c r="BC98" s="640">
        <v>950</v>
      </c>
      <c r="BD98" s="10">
        <v>950</v>
      </c>
      <c r="BE98" s="640">
        <v>950</v>
      </c>
      <c r="BF98" s="640">
        <v>950</v>
      </c>
      <c r="BG98" s="640">
        <v>950</v>
      </c>
      <c r="BH98" s="640">
        <v>950</v>
      </c>
      <c r="BI98" s="4">
        <v>950</v>
      </c>
      <c r="BJ98" s="640">
        <v>950</v>
      </c>
      <c r="BK98" s="640">
        <v>950</v>
      </c>
      <c r="BL98" s="640">
        <v>950</v>
      </c>
      <c r="BM98" s="622">
        <v>950</v>
      </c>
      <c r="BN98" s="4">
        <v>950</v>
      </c>
      <c r="BO98" s="4">
        <v>950</v>
      </c>
      <c r="BP98" s="668"/>
      <c r="BQ98" s="668">
        <f>BO98</f>
        <v>950</v>
      </c>
      <c r="BR98" s="668">
        <v>950</v>
      </c>
      <c r="BS98" s="4">
        <v>950</v>
      </c>
      <c r="BT98" s="4">
        <v>950</v>
      </c>
      <c r="BU98" s="4">
        <v>950</v>
      </c>
      <c r="BV98" s="4">
        <v>950</v>
      </c>
      <c r="BW98" s="4">
        <v>950</v>
      </c>
      <c r="BX98" s="4">
        <v>950</v>
      </c>
      <c r="BY98" s="4">
        <v>950</v>
      </c>
      <c r="BZ98" s="4">
        <v>950</v>
      </c>
      <c r="CA98" s="4">
        <v>950</v>
      </c>
      <c r="CB98" s="4">
        <v>950</v>
      </c>
      <c r="CC98" s="269"/>
      <c r="CD98" s="269"/>
      <c r="CE98" s="269"/>
      <c r="CF98" s="269"/>
      <c r="CG98" s="269"/>
      <c r="CH98" s="269"/>
      <c r="CI98" s="269"/>
      <c r="CJ98" s="269"/>
      <c r="CK98" s="269"/>
      <c r="CL98" s="269"/>
    </row>
    <row r="99" spans="1:90" s="36" customFormat="1">
      <c r="A99" s="109" t="s">
        <v>393</v>
      </c>
      <c r="B99" s="332" t="s">
        <v>361</v>
      </c>
      <c r="G99" s="92"/>
      <c r="H99" s="92"/>
      <c r="I99" s="358"/>
      <c r="J99" s="358"/>
      <c r="K99" s="358"/>
      <c r="L99" s="88"/>
      <c r="M99" s="92">
        <f>+M97*$A$3/M98</f>
        <v>252975.1655629139</v>
      </c>
      <c r="N99" s="88"/>
      <c r="O99" s="88"/>
      <c r="P99" s="88"/>
      <c r="Q99" s="88"/>
      <c r="R99" s="92">
        <f>+R97*$A$3/R98</f>
        <v>266752.88303130149</v>
      </c>
      <c r="S99" s="88"/>
      <c r="T99" s="88"/>
      <c r="U99" s="88"/>
      <c r="V99" s="88"/>
      <c r="W99" s="92">
        <f t="shared" ref="W99:AC99" si="169">+W97*$A$3/W98</f>
        <v>279569.92481203005</v>
      </c>
      <c r="X99" s="88">
        <f t="shared" si="169"/>
        <v>70945.864661654137</v>
      </c>
      <c r="Y99" s="88">
        <f t="shared" si="169"/>
        <v>70056</v>
      </c>
      <c r="Z99" s="88">
        <f t="shared" si="169"/>
        <v>69948</v>
      </c>
      <c r="AA99" s="88">
        <f t="shared" si="169"/>
        <v>104896.00000000004</v>
      </c>
      <c r="AB99" s="92">
        <f t="shared" si="169"/>
        <v>307805.33333333331</v>
      </c>
      <c r="AC99" s="88">
        <f t="shared" si="169"/>
        <v>86831.999999999985</v>
      </c>
      <c r="AD99" s="88">
        <f>+AD97*$A$3/AD98</f>
        <v>100258.66666666667</v>
      </c>
      <c r="AE99" s="88">
        <f>+AE97*$A$3/AE98</f>
        <v>77578.666666666672</v>
      </c>
      <c r="AF99" s="88">
        <f>+AE99*(1+AF100)</f>
        <v>116368</v>
      </c>
      <c r="AG99" s="92">
        <f>+AG97*$A$3/AG98</f>
        <v>381037.33333333326</v>
      </c>
      <c r="AH99" s="88">
        <f>+AH97*$A$3/AH98</f>
        <v>124706.66666666667</v>
      </c>
      <c r="AI99" s="88">
        <f>+AI97*$A$3/AI98</f>
        <v>137355.55555555556</v>
      </c>
      <c r="AJ99" s="74">
        <f>+AJ97*$A$3/AJ98</f>
        <v>125192.22222222222</v>
      </c>
      <c r="AK99" s="74">
        <f>+AJ99*(1+AK100)</f>
        <v>187788.33333333331</v>
      </c>
      <c r="AL99" s="92">
        <f>+AL97*$A$3/AL98</f>
        <v>531988.88888888888</v>
      </c>
      <c r="AM99" s="88">
        <f>+AM97*$A$3/AM98</f>
        <v>183692.22222222222</v>
      </c>
      <c r="AN99" s="88">
        <f>AM99</f>
        <v>183692.22222222222</v>
      </c>
      <c r="AO99" s="88">
        <f>AN99</f>
        <v>183692.22222222222</v>
      </c>
      <c r="AP99" s="88">
        <f>AO99</f>
        <v>183692.22222222222</v>
      </c>
      <c r="AQ99" s="92">
        <f>+AQ97*$A$3/AQ98</f>
        <v>675166.31578947371</v>
      </c>
      <c r="AR99" s="333">
        <f>+AP99*(1+AR100)</f>
        <v>192876.83333333334</v>
      </c>
      <c r="AS99" s="333">
        <f>+AP99*(1+AS100)</f>
        <v>192876.83333333334</v>
      </c>
      <c r="AT99" s="92">
        <f t="shared" ref="AT99:AY99" si="170">+AT97*$A$3/AT98</f>
        <v>732356.84210526315</v>
      </c>
      <c r="AU99" s="92">
        <f t="shared" si="170"/>
        <v>187022.10526315789</v>
      </c>
      <c r="AV99" s="92">
        <f t="shared" si="170"/>
        <v>199835.78947368421</v>
      </c>
      <c r="AW99" s="92">
        <f t="shared" si="170"/>
        <v>207007.36842105264</v>
      </c>
      <c r="AX99" s="92">
        <f t="shared" si="170"/>
        <v>200000</v>
      </c>
      <c r="AY99" s="92">
        <f t="shared" si="170"/>
        <v>847323.15789473685</v>
      </c>
      <c r="AZ99" s="636">
        <f>AZ97*$A$3/AZ98</f>
        <v>222202.10526315789</v>
      </c>
      <c r="BA99" s="636">
        <f>AZ99</f>
        <v>222202.10526315789</v>
      </c>
      <c r="BB99" s="636">
        <f>BA99</f>
        <v>222202.10526315789</v>
      </c>
      <c r="BC99" s="636">
        <f>BB99</f>
        <v>222202.10526315789</v>
      </c>
      <c r="BD99" s="92">
        <f>+BD97*$A$3/BD98</f>
        <v>990858.94736842101</v>
      </c>
      <c r="BE99" s="636">
        <f t="shared" ref="BE99:BJ99" si="171">+BE97*$A$3/BE98</f>
        <v>267195.78947368421</v>
      </c>
      <c r="BF99" s="636">
        <f t="shared" si="171"/>
        <v>297711.57894736843</v>
      </c>
      <c r="BG99" s="636">
        <f t="shared" si="171"/>
        <v>290211.57894736843</v>
      </c>
      <c r="BH99" s="636">
        <f t="shared" si="171"/>
        <v>322911.57894736825</v>
      </c>
      <c r="BI99" s="333">
        <f t="shared" si="171"/>
        <v>1178030.5263157894</v>
      </c>
      <c r="BJ99" s="636">
        <f t="shared" si="171"/>
        <v>301762.10526315792</v>
      </c>
      <c r="BK99" s="636">
        <f>BJ99</f>
        <v>301762.10526315792</v>
      </c>
      <c r="BL99" s="636">
        <f>BK99</f>
        <v>301762.10526315792</v>
      </c>
      <c r="BM99" s="622">
        <f>BL99</f>
        <v>301762.10526315792</v>
      </c>
      <c r="BN99" s="333">
        <f t="shared" ref="BN99" si="172">+BN97*$A$3/BN98</f>
        <v>1416176.8421052631</v>
      </c>
      <c r="BO99" s="333">
        <f>BM99</f>
        <v>301762.10526315792</v>
      </c>
      <c r="BP99" s="668"/>
      <c r="BQ99" s="668">
        <f>BO99</f>
        <v>301762.10526315792</v>
      </c>
      <c r="BR99" s="668">
        <f>+BN99*(1+BR100)</f>
        <v>1486985.6842105263</v>
      </c>
      <c r="BS99" s="333">
        <f t="shared" ref="BS99:CB99" si="173">+BR99*(1+BS100)</f>
        <v>1561334.9684210527</v>
      </c>
      <c r="BT99" s="333">
        <f t="shared" si="173"/>
        <v>1639401.7168421054</v>
      </c>
      <c r="BU99" s="333">
        <f t="shared" si="173"/>
        <v>1721371.8026842107</v>
      </c>
      <c r="BV99" s="333">
        <f t="shared" si="173"/>
        <v>1807440.3928184214</v>
      </c>
      <c r="BW99" s="333">
        <f t="shared" si="173"/>
        <v>1897812.4124593425</v>
      </c>
      <c r="BX99" s="333">
        <f t="shared" si="173"/>
        <v>1992703.0330823096</v>
      </c>
      <c r="BY99" s="333">
        <f t="shared" si="173"/>
        <v>2092338.1847364253</v>
      </c>
      <c r="BZ99" s="333">
        <f t="shared" si="173"/>
        <v>2196955.0939732469</v>
      </c>
      <c r="CA99" s="333">
        <f t="shared" si="173"/>
        <v>2306802.8486719094</v>
      </c>
      <c r="CB99" s="333">
        <f t="shared" si="173"/>
        <v>2422142.9911055048</v>
      </c>
      <c r="CC99" s="213"/>
      <c r="CD99" s="213"/>
      <c r="CE99" s="213"/>
      <c r="CF99" s="213"/>
      <c r="CG99" s="213"/>
      <c r="CH99" s="213"/>
      <c r="CI99" s="213"/>
      <c r="CJ99" s="213"/>
      <c r="CK99" s="213"/>
      <c r="CL99" s="213"/>
    </row>
    <row r="100" spans="1:90">
      <c r="I100" s="358"/>
      <c r="J100" s="358"/>
      <c r="K100" s="358"/>
      <c r="L100" s="40"/>
      <c r="N100" s="40"/>
      <c r="O100" s="40"/>
      <c r="P100" s="40"/>
      <c r="Q100" s="40"/>
      <c r="R100" s="378">
        <f>+R99/M99-1</f>
        <v>5.4462727350053308E-2</v>
      </c>
      <c r="S100" s="40"/>
      <c r="T100" s="40"/>
      <c r="U100" s="40"/>
      <c r="V100" s="40"/>
      <c r="W100" s="378">
        <f>+W99/R99-1</f>
        <v>4.80483720928504E-2</v>
      </c>
      <c r="X100" s="40"/>
      <c r="Y100" s="40"/>
      <c r="Z100" s="40"/>
      <c r="AA100" s="40"/>
      <c r="AB100" s="378">
        <f>+AB99/W99-1</f>
        <v>0.10099587264362375</v>
      </c>
      <c r="AC100" s="40"/>
      <c r="AD100" s="374"/>
      <c r="AE100" s="374"/>
      <c r="AF100" s="374">
        <v>0.5</v>
      </c>
      <c r="AG100" s="378"/>
      <c r="AH100" s="374">
        <v>0</v>
      </c>
      <c r="AI100" s="374">
        <v>0</v>
      </c>
      <c r="AJ100" s="374"/>
      <c r="AK100" s="374">
        <v>0.5</v>
      </c>
      <c r="AL100" s="378">
        <v>0</v>
      </c>
      <c r="AM100" s="374">
        <v>0.05</v>
      </c>
      <c r="AN100" s="374">
        <v>0.05</v>
      </c>
      <c r="AO100" s="374">
        <v>0.05</v>
      </c>
      <c r="AP100" s="374">
        <v>0.05</v>
      </c>
      <c r="AQ100" s="378">
        <v>0.1</v>
      </c>
      <c r="AR100" s="379">
        <v>0.05</v>
      </c>
      <c r="AS100" s="379">
        <v>0.05</v>
      </c>
      <c r="AT100" s="379">
        <f>AT99/AQ99-1</f>
        <v>8.470583466373971E-2</v>
      </c>
      <c r="AU100" s="378"/>
      <c r="AV100" s="378"/>
      <c r="AW100" s="378"/>
      <c r="AX100" s="378"/>
      <c r="AY100" s="379">
        <f>AY99/AT99-1</f>
        <v>0.15698128177376858</v>
      </c>
      <c r="AZ100" s="680"/>
      <c r="BA100" s="680"/>
      <c r="BB100" s="680"/>
      <c r="BC100" s="680"/>
      <c r="BD100" s="379">
        <f>BD99/AY99-1</f>
        <v>0.16939911075995351</v>
      </c>
      <c r="BE100" s="680"/>
      <c r="BF100" s="680"/>
      <c r="BG100" s="680"/>
      <c r="BH100" s="680"/>
      <c r="BI100" s="379">
        <v>0.05</v>
      </c>
      <c r="BJ100" s="680"/>
      <c r="BK100" s="680"/>
      <c r="BL100" s="680"/>
      <c r="BM100" s="680"/>
      <c r="BN100" s="379">
        <v>0.05</v>
      </c>
      <c r="BO100" s="379"/>
      <c r="BP100" s="668"/>
      <c r="BQ100" s="668"/>
      <c r="BR100" s="668">
        <v>0.05</v>
      </c>
      <c r="BS100" s="379">
        <v>0.05</v>
      </c>
      <c r="BT100" s="379">
        <v>0.05</v>
      </c>
      <c r="BU100" s="379">
        <v>0.05</v>
      </c>
      <c r="BV100" s="379">
        <v>0.05</v>
      </c>
      <c r="BW100" s="379">
        <v>0.05</v>
      </c>
      <c r="BX100" s="379">
        <v>0.05</v>
      </c>
      <c r="BY100" s="379">
        <v>0.05</v>
      </c>
      <c r="BZ100" s="379">
        <v>0.05</v>
      </c>
      <c r="CA100" s="379">
        <v>0.05</v>
      </c>
      <c r="CB100" s="379">
        <v>0.05</v>
      </c>
      <c r="CC100" s="269"/>
      <c r="CD100" s="269"/>
      <c r="CE100" s="269"/>
      <c r="CF100" s="269"/>
      <c r="CG100" s="269"/>
      <c r="CH100" s="269"/>
      <c r="CI100" s="269"/>
      <c r="CJ100" s="269"/>
      <c r="CK100" s="269"/>
      <c r="CL100" s="269"/>
    </row>
    <row r="101" spans="1:90">
      <c r="I101" s="358"/>
      <c r="J101" s="358"/>
      <c r="K101" s="358"/>
      <c r="L101" s="40"/>
      <c r="N101" s="40"/>
      <c r="O101" s="40"/>
      <c r="P101" s="40"/>
      <c r="Q101" s="40"/>
      <c r="S101" s="40"/>
      <c r="T101" s="40"/>
      <c r="U101" s="40"/>
      <c r="V101" s="40"/>
      <c r="X101" s="40"/>
      <c r="Y101" s="40"/>
      <c r="Z101" s="40"/>
      <c r="AA101" s="40"/>
      <c r="AC101" s="40"/>
      <c r="AD101" s="40"/>
      <c r="AE101" s="40"/>
      <c r="AF101" s="40"/>
      <c r="AH101" s="40"/>
      <c r="AI101" s="40"/>
      <c r="AJ101" s="40"/>
      <c r="AK101" s="40"/>
      <c r="AM101" s="40"/>
      <c r="AN101" s="40"/>
      <c r="AO101" s="40"/>
      <c r="AP101" s="40"/>
      <c r="AR101" s="4"/>
      <c r="AS101" s="4"/>
      <c r="AY101" s="4"/>
      <c r="BD101" s="4"/>
      <c r="BE101" s="640"/>
      <c r="BF101" s="640"/>
      <c r="BG101" s="640"/>
      <c r="BH101" s="640"/>
      <c r="BI101" s="4"/>
      <c r="BJ101" s="640"/>
      <c r="BK101" s="640"/>
      <c r="BL101" s="640"/>
      <c r="BM101" s="640"/>
      <c r="BN101" s="4"/>
      <c r="BO101" s="4"/>
      <c r="BP101" s="668"/>
      <c r="BQ101" s="668"/>
      <c r="BR101" s="668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269"/>
      <c r="CD101" s="269"/>
      <c r="CE101" s="269"/>
      <c r="CF101" s="269"/>
      <c r="CG101" s="269"/>
      <c r="CH101" s="269"/>
      <c r="CI101" s="269"/>
      <c r="CJ101" s="269"/>
      <c r="CK101" s="269"/>
      <c r="CL101" s="269"/>
    </row>
    <row r="102" spans="1:90">
      <c r="A102" s="109" t="s">
        <v>200</v>
      </c>
      <c r="B102" s="332" t="s">
        <v>78</v>
      </c>
      <c r="I102" s="358"/>
      <c r="J102" s="358"/>
      <c r="K102" s="358"/>
      <c r="L102" s="40"/>
      <c r="N102" s="40"/>
      <c r="O102" s="40"/>
      <c r="P102" s="40"/>
      <c r="Q102" s="40"/>
      <c r="R102" s="31">
        <f t="shared" ref="R102:W102" si="174">+R124</f>
        <v>9.6370000000000005</v>
      </c>
      <c r="S102" s="40">
        <f t="shared" si="174"/>
        <v>1.3080000000000001</v>
      </c>
      <c r="T102" s="40">
        <f t="shared" si="174"/>
        <v>0</v>
      </c>
      <c r="U102" s="40">
        <f t="shared" si="174"/>
        <v>0</v>
      </c>
      <c r="V102" s="40">
        <f t="shared" si="174"/>
        <v>0</v>
      </c>
      <c r="W102" s="31">
        <f t="shared" si="174"/>
        <v>9.9969999999999999</v>
      </c>
      <c r="X102" s="40">
        <f t="shared" ref="X102:AC102" si="175">+X124</f>
        <v>1.8680000000000001</v>
      </c>
      <c r="Y102" s="40">
        <f t="shared" si="175"/>
        <v>2.7610000000000001</v>
      </c>
      <c r="Z102" s="40">
        <f t="shared" si="175"/>
        <v>5.8650000000000002</v>
      </c>
      <c r="AA102" s="40">
        <f t="shared" si="175"/>
        <v>7.738999999999999</v>
      </c>
      <c r="AB102" s="31">
        <f t="shared" si="175"/>
        <v>18.233000000000001</v>
      </c>
      <c r="AC102" s="42">
        <f t="shared" si="175"/>
        <v>6.516</v>
      </c>
      <c r="AD102" s="42">
        <f>+AD124</f>
        <v>3.1859999999999999</v>
      </c>
      <c r="AE102" s="42">
        <f>+AE124</f>
        <v>4.9550000000000001</v>
      </c>
      <c r="AF102" s="42">
        <f>+AF103*AF26/$A$3</f>
        <v>7.1523105008203078</v>
      </c>
      <c r="AG102" s="31">
        <f t="shared" ref="AG102:AO102" si="176">+AG124</f>
        <v>21.80931050082031</v>
      </c>
      <c r="AH102" s="42">
        <f t="shared" si="176"/>
        <v>13.731</v>
      </c>
      <c r="AI102" s="42">
        <f t="shared" si="176"/>
        <v>28.782</v>
      </c>
      <c r="AJ102" s="42">
        <f t="shared" si="176"/>
        <v>17.408000000000001</v>
      </c>
      <c r="AK102" s="42">
        <f t="shared" si="176"/>
        <v>38.561</v>
      </c>
      <c r="AL102" s="31">
        <f t="shared" si="176"/>
        <v>98.481999999999999</v>
      </c>
      <c r="AM102" s="42">
        <f t="shared" si="176"/>
        <v>32.286999999999999</v>
      </c>
      <c r="AN102" s="42">
        <f t="shared" si="176"/>
        <v>28.212</v>
      </c>
      <c r="AO102" s="42">
        <f t="shared" si="176"/>
        <v>32.213000000000001</v>
      </c>
      <c r="AP102" s="42">
        <f>AP103*AP26/A3</f>
        <v>44.97943489479939</v>
      </c>
      <c r="AQ102" s="31">
        <f>+AQ124</f>
        <v>131.911</v>
      </c>
      <c r="AR102" s="333">
        <f>+AR105*BS!N43</f>
        <v>0</v>
      </c>
      <c r="AS102" s="333">
        <f>+AS105*BS!N43</f>
        <v>0</v>
      </c>
      <c r="AT102" s="31">
        <f>+AT124</f>
        <v>165.95099999999999</v>
      </c>
      <c r="AU102" s="31">
        <f>+AU124</f>
        <v>64.596000000000004</v>
      </c>
      <c r="AV102" s="31">
        <f>AV26*AV103/$A$3</f>
        <v>70.472775104128445</v>
      </c>
      <c r="AW102" s="31">
        <f>AW26*AW103/$A$3</f>
        <v>66.541559876556533</v>
      </c>
      <c r="AX102" s="31">
        <f>AX26*AX103/$A$3</f>
        <v>78.346889008783478</v>
      </c>
      <c r="AY102" s="333">
        <f>+AY105*BS!P43</f>
        <v>133.3510126663362</v>
      </c>
      <c r="AZ102" s="619">
        <f>AZ124</f>
        <v>46.744</v>
      </c>
      <c r="BA102" s="619">
        <f>BA26*BA103/$A$3</f>
        <v>0</v>
      </c>
      <c r="BB102" s="619">
        <f>BB26*BB103/$A$3</f>
        <v>0</v>
      </c>
      <c r="BC102" s="619">
        <f>BC26*BC103/$A$3</f>
        <v>0</v>
      </c>
      <c r="BD102" s="333">
        <f>+BD105*BS!Q43</f>
        <v>165.19632442308546</v>
      </c>
      <c r="BE102" s="619">
        <f>BE26*BE103/$A$3</f>
        <v>0</v>
      </c>
      <c r="BF102" s="619">
        <f>BF26*BF103/$A$3</f>
        <v>0</v>
      </c>
      <c r="BG102" s="619">
        <f>BG26*BG103/$A$3</f>
        <v>0</v>
      </c>
      <c r="BH102" s="619">
        <f>BH26*BH103/$A$3</f>
        <v>0</v>
      </c>
      <c r="BI102" s="333">
        <f>+BI105*BS!R43</f>
        <v>148.05189961707137</v>
      </c>
      <c r="BJ102" s="619">
        <f>BJ26*BJ103/$A$3</f>
        <v>0</v>
      </c>
      <c r="BK102" s="619">
        <f>BK26*BK103/$A$3</f>
        <v>0</v>
      </c>
      <c r="BL102" s="619">
        <f>BL26*BL103/$A$3</f>
        <v>0</v>
      </c>
      <c r="BM102" s="619">
        <f>BM26*BM103/$A$3</f>
        <v>0</v>
      </c>
      <c r="BN102" s="333">
        <f>+BN105*BS!S43</f>
        <v>156.86828467760316</v>
      </c>
      <c r="BO102" s="333"/>
      <c r="BP102" s="668"/>
      <c r="BQ102" s="668"/>
      <c r="BR102" s="668">
        <f>+BR105*BS!U43</f>
        <v>178.47918229733813</v>
      </c>
      <c r="BS102" s="333">
        <f>+BS105*BS!V43</f>
        <v>172.62226967912522</v>
      </c>
      <c r="BT102" s="333">
        <f>+BT105*BS!W43</f>
        <v>166.64818857659969</v>
      </c>
      <c r="BU102" s="333">
        <f>+BU105*BS!X43</f>
        <v>160.55459501528034</v>
      </c>
      <c r="BV102" s="333">
        <f>+BV105*BS!Y43</f>
        <v>154.33909812909721</v>
      </c>
      <c r="BW102" s="333">
        <f>+BW105*BS!Z43</f>
        <v>147.99925922231796</v>
      </c>
      <c r="BX102" s="333">
        <f>BX105*BS!AA43</f>
        <v>141.53259081270758</v>
      </c>
      <c r="BY102" s="333">
        <f>+BY105*BS!AB43</f>
        <v>134.93655565554664</v>
      </c>
      <c r="BZ102" s="333">
        <f>+BZ105*BS!AC43</f>
        <v>128.20856574812464</v>
      </c>
      <c r="CA102" s="333">
        <f>+CA105*BS!AD43</f>
        <v>121.34598131431827</v>
      </c>
      <c r="CB102" s="333">
        <f>+CB105*BS!AE43</f>
        <v>0</v>
      </c>
      <c r="CC102" s="269"/>
      <c r="CD102" s="269"/>
      <c r="CE102" s="269"/>
      <c r="CF102" s="269"/>
      <c r="CG102" s="269"/>
      <c r="CH102" s="269"/>
      <c r="CI102" s="269"/>
      <c r="CJ102" s="269"/>
      <c r="CK102" s="269"/>
      <c r="CL102" s="269"/>
    </row>
    <row r="103" spans="1:90">
      <c r="A103" s="36" t="s">
        <v>394</v>
      </c>
      <c r="B103" s="338" t="s">
        <v>361</v>
      </c>
      <c r="I103" s="358"/>
      <c r="J103" s="358"/>
      <c r="K103" s="358"/>
      <c r="L103" s="40"/>
      <c r="N103" s="40"/>
      <c r="O103" s="40"/>
      <c r="P103" s="40"/>
      <c r="Q103" s="40"/>
      <c r="R103" s="92">
        <f>+R102*$A$3/R26</f>
        <v>6.5011110646387316</v>
      </c>
      <c r="S103" s="40"/>
      <c r="T103" s="40"/>
      <c r="U103" s="40"/>
      <c r="V103" s="40"/>
      <c r="W103" s="92">
        <f t="shared" ref="W103:AE103" si="177">+W102*$A$3/W26</f>
        <v>5.5160944484264203</v>
      </c>
      <c r="X103" s="88">
        <f t="shared" si="177"/>
        <v>3.5887603407401145</v>
      </c>
      <c r="Y103" s="88">
        <f t="shared" si="177"/>
        <v>5.2488698105388032</v>
      </c>
      <c r="Z103" s="88">
        <f t="shared" si="177"/>
        <v>11.489636798182032</v>
      </c>
      <c r="AA103" s="88">
        <f t="shared" si="177"/>
        <v>13.61079014338903</v>
      </c>
      <c r="AB103" s="92">
        <f t="shared" si="177"/>
        <v>8.5778738559031993</v>
      </c>
      <c r="AC103" s="88">
        <f t="shared" si="177"/>
        <v>11.560344965235581</v>
      </c>
      <c r="AD103" s="88">
        <f t="shared" si="177"/>
        <v>5.243900632526997</v>
      </c>
      <c r="AE103" s="88">
        <f t="shared" si="177"/>
        <v>8.136035164748554</v>
      </c>
      <c r="AF103" s="88">
        <v>10</v>
      </c>
      <c r="AG103" s="92">
        <f t="shared" ref="AG103:AN103" si="178">+AG102*$A$3/AG26</f>
        <v>8.577552414128478</v>
      </c>
      <c r="AH103" s="88">
        <f t="shared" si="178"/>
        <v>14.419275266285611</v>
      </c>
      <c r="AI103" s="88">
        <f t="shared" si="178"/>
        <v>29.586041303931054</v>
      </c>
      <c r="AJ103" s="88">
        <f t="shared" si="178"/>
        <v>14.807514223708466</v>
      </c>
      <c r="AK103" s="88">
        <f t="shared" si="178"/>
        <v>33.130913892330078</v>
      </c>
      <c r="AL103" s="92">
        <f t="shared" si="178"/>
        <v>23.294093548674748</v>
      </c>
      <c r="AM103" s="88">
        <f t="shared" si="178"/>
        <v>34.503800152177071</v>
      </c>
      <c r="AN103" s="88">
        <f t="shared" si="178"/>
        <v>38.37263790942535</v>
      </c>
      <c r="AO103" s="88">
        <f>AN103</f>
        <v>38.37263790942535</v>
      </c>
      <c r="AP103" s="88">
        <f>AO103</f>
        <v>38.37263790942535</v>
      </c>
      <c r="AQ103" s="92">
        <f>+AQ102*$A$3/AQ26</f>
        <v>34.021390164692093</v>
      </c>
      <c r="AR103" s="333"/>
      <c r="AS103" s="333"/>
      <c r="AT103" s="92">
        <f>+AT102*$A$3/AT26</f>
        <v>33.80826236764792</v>
      </c>
      <c r="AU103" s="92">
        <f>AU102*$A$3/AU26</f>
        <v>66.383235859032737</v>
      </c>
      <c r="AV103" s="92">
        <f>AU103</f>
        <v>66.383235859032737</v>
      </c>
      <c r="AW103" s="92">
        <f>AV103</f>
        <v>66.383235859032737</v>
      </c>
      <c r="AX103" s="92">
        <f>AW103</f>
        <v>66.383235859032737</v>
      </c>
      <c r="AY103" s="333"/>
      <c r="AZ103" s="636">
        <f>AY103</f>
        <v>0</v>
      </c>
      <c r="BA103" s="636">
        <f>AZ103</f>
        <v>0</v>
      </c>
      <c r="BB103" s="636">
        <f>BA103</f>
        <v>0</v>
      </c>
      <c r="BC103" s="636">
        <f>BB103</f>
        <v>0</v>
      </c>
      <c r="BD103" s="333"/>
      <c r="BE103" s="636">
        <f>BD103</f>
        <v>0</v>
      </c>
      <c r="BF103" s="636">
        <f>BE103</f>
        <v>0</v>
      </c>
      <c r="BG103" s="636">
        <f>BF103</f>
        <v>0</v>
      </c>
      <c r="BH103" s="636">
        <f>BG103</f>
        <v>0</v>
      </c>
      <c r="BI103" s="333"/>
      <c r="BJ103" s="636">
        <f>BI103</f>
        <v>0</v>
      </c>
      <c r="BK103" s="636">
        <f>BJ103</f>
        <v>0</v>
      </c>
      <c r="BL103" s="636">
        <f>BK103</f>
        <v>0</v>
      </c>
      <c r="BM103" s="636">
        <f>BL103</f>
        <v>0</v>
      </c>
      <c r="BN103" s="333"/>
      <c r="BO103" s="333"/>
      <c r="BP103" s="668"/>
      <c r="BQ103" s="668"/>
      <c r="BR103" s="668"/>
      <c r="BS103" s="333"/>
      <c r="BT103" s="333"/>
      <c r="BU103" s="333"/>
      <c r="BV103" s="333"/>
      <c r="BW103" s="333"/>
      <c r="BX103" s="333"/>
      <c r="BY103" s="333"/>
      <c r="BZ103" s="333"/>
      <c r="CA103" s="333"/>
      <c r="CB103" s="333"/>
      <c r="CC103" s="269"/>
      <c r="CD103" s="269"/>
      <c r="CE103" s="269"/>
      <c r="CF103" s="269"/>
      <c r="CG103" s="269"/>
      <c r="CH103" s="269"/>
      <c r="CI103" s="269"/>
      <c r="CJ103" s="269"/>
      <c r="CK103" s="269"/>
      <c r="CL103" s="269"/>
    </row>
    <row r="104" spans="1:90">
      <c r="I104" s="358"/>
      <c r="J104" s="358"/>
      <c r="K104" s="358"/>
      <c r="L104" s="40"/>
      <c r="N104" s="40"/>
      <c r="O104" s="40"/>
      <c r="P104" s="40"/>
      <c r="Q104" s="40"/>
      <c r="S104" s="40"/>
      <c r="T104" s="40"/>
      <c r="U104" s="40"/>
      <c r="V104" s="40"/>
      <c r="W104" s="387">
        <f>+W103/R103-1</f>
        <v>-0.15151511894175718</v>
      </c>
      <c r="X104" s="40"/>
      <c r="Y104" s="40"/>
      <c r="Z104" s="40"/>
      <c r="AA104" s="40"/>
      <c r="AB104" s="387">
        <f>+AB103/W103-1</f>
        <v>0.55506290476048958</v>
      </c>
      <c r="AC104" s="40"/>
      <c r="AD104" s="40"/>
      <c r="AE104" s="40"/>
      <c r="AF104" s="40"/>
      <c r="AG104" s="387"/>
      <c r="AH104" s="40"/>
      <c r="AI104" s="40"/>
      <c r="AJ104" s="40"/>
      <c r="AK104" s="40"/>
      <c r="AL104" s="375"/>
      <c r="AM104" s="40"/>
      <c r="AN104" s="40"/>
      <c r="AO104" s="40"/>
      <c r="AP104" s="40"/>
      <c r="AQ104" s="375"/>
      <c r="AR104" s="376"/>
      <c r="AS104" s="376"/>
      <c r="AT104" s="375"/>
      <c r="AU104" s="375"/>
      <c r="AV104" s="375"/>
      <c r="AW104" s="375"/>
      <c r="AX104" s="375"/>
      <c r="AY104" s="376"/>
      <c r="AZ104" s="679"/>
      <c r="BA104" s="679"/>
      <c r="BB104" s="679"/>
      <c r="BC104" s="679"/>
      <c r="BD104" s="376"/>
      <c r="BE104" s="679"/>
      <c r="BF104" s="679"/>
      <c r="BG104" s="679"/>
      <c r="BH104" s="679"/>
      <c r="BI104" s="376"/>
      <c r="BJ104" s="679"/>
      <c r="BK104" s="679"/>
      <c r="BL104" s="679"/>
      <c r="BM104" s="679"/>
      <c r="BN104" s="376"/>
      <c r="BO104" s="376"/>
      <c r="BP104" s="668"/>
      <c r="BQ104" s="668"/>
      <c r="BR104" s="668"/>
      <c r="BS104" s="376"/>
      <c r="BT104" s="376"/>
      <c r="BU104" s="376"/>
      <c r="BV104" s="376"/>
      <c r="BW104" s="376"/>
      <c r="BX104" s="376"/>
      <c r="BY104" s="376"/>
      <c r="BZ104" s="376"/>
      <c r="CA104" s="376"/>
      <c r="CB104" s="376"/>
      <c r="CC104" s="269"/>
      <c r="CD104" s="269"/>
      <c r="CE104" s="269"/>
      <c r="CF104" s="269"/>
      <c r="CG104" s="269"/>
      <c r="CH104" s="269"/>
      <c r="CI104" s="269"/>
      <c r="CJ104" s="269"/>
      <c r="CK104" s="269"/>
      <c r="CL104" s="269"/>
    </row>
    <row r="105" spans="1:90" s="388" customFormat="1">
      <c r="G105" s="389"/>
      <c r="H105" s="389"/>
      <c r="I105" s="390"/>
      <c r="J105" s="390"/>
      <c r="K105" s="390"/>
      <c r="L105" s="312"/>
      <c r="M105" s="389"/>
      <c r="N105" s="312"/>
      <c r="O105" s="312"/>
      <c r="P105" s="312"/>
      <c r="Q105" s="312"/>
      <c r="R105" s="391" t="e">
        <f>+R102/BS!#REF!</f>
        <v>#REF!</v>
      </c>
      <c r="S105" s="312"/>
      <c r="T105" s="312"/>
      <c r="U105" s="312"/>
      <c r="V105" s="312"/>
      <c r="W105" s="391">
        <f>+W102/BS!J43</f>
        <v>1.5061990403536891E-3</v>
      </c>
      <c r="X105" s="312"/>
      <c r="Y105" s="312"/>
      <c r="Z105" s="312"/>
      <c r="AA105" s="312"/>
      <c r="AB105" s="391">
        <f>+AB102/BS!K43</f>
        <v>2.424045660814683E-3</v>
      </c>
      <c r="AC105" s="312"/>
      <c r="AD105" s="312"/>
      <c r="AE105" s="312"/>
      <c r="AF105" s="312"/>
      <c r="AG105" s="391">
        <f>+AG102/BS!L43</f>
        <v>9.8606353392472379E-4</v>
      </c>
      <c r="AH105" s="312"/>
      <c r="AI105" s="312"/>
      <c r="AJ105" s="312"/>
      <c r="AK105" s="312"/>
      <c r="AL105" s="392">
        <f>+AL102/BS!M43</f>
        <v>4.2859454395603007E-3</v>
      </c>
      <c r="AM105" s="312"/>
      <c r="AN105" s="312"/>
      <c r="AO105" s="312"/>
      <c r="AP105" s="312"/>
      <c r="AQ105" s="392">
        <f>+AQ102/BS!N43</f>
        <v>5.4182256458025413E-3</v>
      </c>
      <c r="AR105" s="393">
        <f>AP105</f>
        <v>0</v>
      </c>
      <c r="AS105" s="393">
        <f>AP105</f>
        <v>0</v>
      </c>
      <c r="AT105" s="392">
        <f>+AT102/BS!O43</f>
        <v>6.5574354785033978E-3</v>
      </c>
      <c r="AU105" s="392"/>
      <c r="AV105" s="392"/>
      <c r="AW105" s="392"/>
      <c r="AX105" s="392"/>
      <c r="AY105" s="393">
        <f>AQ105</f>
        <v>5.4182256458025413E-3</v>
      </c>
      <c r="AZ105" s="682"/>
      <c r="BA105" s="682"/>
      <c r="BB105" s="682"/>
      <c r="BC105" s="682"/>
      <c r="BD105" s="393">
        <f>AT105</f>
        <v>6.5574354785033978E-3</v>
      </c>
      <c r="BE105" s="682"/>
      <c r="BF105" s="682"/>
      <c r="BG105" s="682"/>
      <c r="BH105" s="682"/>
      <c r="BI105" s="393">
        <f>AY105</f>
        <v>5.4182256458025413E-3</v>
      </c>
      <c r="BJ105" s="682"/>
      <c r="BK105" s="682"/>
      <c r="BL105" s="682"/>
      <c r="BM105" s="682"/>
      <c r="BN105" s="393">
        <f>BI105</f>
        <v>5.4182256458025413E-3</v>
      </c>
      <c r="BO105" s="393"/>
      <c r="BP105" s="668"/>
      <c r="BQ105" s="668"/>
      <c r="BR105" s="668">
        <f>BD105</f>
        <v>6.5574354785033978E-3</v>
      </c>
      <c r="BS105" s="393">
        <f>BR105</f>
        <v>6.5574354785033978E-3</v>
      </c>
      <c r="BT105" s="393">
        <f t="shared" ref="BT105:CB105" si="179">BR105</f>
        <v>6.5574354785033978E-3</v>
      </c>
      <c r="BU105" s="393">
        <f t="shared" si="179"/>
        <v>6.5574354785033978E-3</v>
      </c>
      <c r="BV105" s="393">
        <f t="shared" si="179"/>
        <v>6.5574354785033978E-3</v>
      </c>
      <c r="BW105" s="393">
        <f t="shared" si="179"/>
        <v>6.5574354785033978E-3</v>
      </c>
      <c r="BX105" s="393">
        <f t="shared" si="179"/>
        <v>6.5574354785033978E-3</v>
      </c>
      <c r="BY105" s="393">
        <f t="shared" si="179"/>
        <v>6.5574354785033978E-3</v>
      </c>
      <c r="BZ105" s="393">
        <f t="shared" si="179"/>
        <v>6.5574354785033978E-3</v>
      </c>
      <c r="CA105" s="393">
        <f t="shared" si="179"/>
        <v>6.5574354785033978E-3</v>
      </c>
      <c r="CB105" s="393">
        <f t="shared" si="179"/>
        <v>6.5574354785033978E-3</v>
      </c>
      <c r="CC105" s="788"/>
      <c r="CD105" s="788"/>
      <c r="CE105" s="788"/>
      <c r="CF105" s="788"/>
      <c r="CG105" s="788"/>
      <c r="CH105" s="788"/>
      <c r="CI105" s="788"/>
      <c r="CJ105" s="788"/>
      <c r="CK105" s="788"/>
      <c r="CL105" s="788"/>
    </row>
    <row r="106" spans="1:90">
      <c r="I106" s="358"/>
      <c r="J106" s="358"/>
      <c r="K106" s="358"/>
      <c r="L106" s="40"/>
      <c r="N106" s="40"/>
      <c r="O106" s="40"/>
      <c r="P106" s="40"/>
      <c r="Q106" s="40"/>
      <c r="S106" s="40"/>
      <c r="T106" s="40"/>
      <c r="U106" s="40"/>
      <c r="V106" s="40"/>
      <c r="X106" s="40"/>
      <c r="Y106" s="40"/>
      <c r="Z106" s="40"/>
      <c r="AA106" s="40"/>
      <c r="AC106" s="40"/>
      <c r="AD106" s="40"/>
      <c r="AE106" s="40"/>
      <c r="AF106" s="40"/>
      <c r="AH106" s="40"/>
      <c r="AI106" s="40"/>
      <c r="AJ106" s="40"/>
      <c r="AK106" s="40"/>
      <c r="AM106" s="40"/>
      <c r="AN106" s="40"/>
      <c r="AO106" s="40"/>
      <c r="AP106" s="40"/>
      <c r="AR106" s="4"/>
      <c r="AS106" s="4"/>
      <c r="AY106" s="4"/>
      <c r="BD106" s="4"/>
      <c r="BE106" s="640"/>
      <c r="BF106" s="640"/>
      <c r="BG106" s="640"/>
      <c r="BH106" s="640"/>
      <c r="BI106" s="4"/>
      <c r="BJ106" s="640"/>
      <c r="BK106" s="640"/>
      <c r="BL106" s="640"/>
      <c r="BM106" s="640"/>
      <c r="BN106" s="4"/>
      <c r="BO106" s="4"/>
      <c r="BP106" s="668"/>
      <c r="BQ106" s="668"/>
      <c r="BR106" s="668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269"/>
      <c r="CD106" s="269"/>
      <c r="CE106" s="269"/>
      <c r="CF106" s="269"/>
      <c r="CG106" s="269"/>
      <c r="CH106" s="269"/>
      <c r="CI106" s="269"/>
      <c r="CJ106" s="269"/>
      <c r="CK106" s="269"/>
      <c r="CL106" s="269"/>
    </row>
    <row r="107" spans="1:90">
      <c r="A107" s="1" t="s">
        <v>95</v>
      </c>
      <c r="B107" s="1" t="s">
        <v>78</v>
      </c>
      <c r="C107" s="370">
        <f>Assumptions!C123/C26</f>
        <v>1.6761311321277306E-4</v>
      </c>
      <c r="D107" s="370">
        <f>Assumptions!D123/D26</f>
        <v>8.507096001112841E-5</v>
      </c>
      <c r="E107" s="370">
        <f>Assumptions!E123/E26</f>
        <v>9.5063085692898992E-5</v>
      </c>
      <c r="F107" s="370">
        <f>Assumptions!F123/F26</f>
        <v>1.515550172625014E-4</v>
      </c>
      <c r="G107" s="371">
        <f>Assumptions!G123/G26</f>
        <v>1.6561499115636503E-4</v>
      </c>
      <c r="H107" s="371">
        <f>Assumptions!H123/H26</f>
        <v>1.6419964562062829E-4</v>
      </c>
      <c r="I107" s="372">
        <f>Assumptions!I123/I26</f>
        <v>1.6836797920383184E-4</v>
      </c>
      <c r="J107" s="372">
        <f>Assumptions!J123/J26</f>
        <v>1.1621950311483955E-4</v>
      </c>
      <c r="K107" s="372">
        <f>Assumptions!K123/K26</f>
        <v>1.9596229315855485E-4</v>
      </c>
      <c r="L107" s="372"/>
      <c r="M107" s="371">
        <f>Assumptions!M123/M26</f>
        <v>1.5610929196115196E-4</v>
      </c>
      <c r="N107" s="372">
        <f>Assumptions!N123/N26</f>
        <v>2.0329681159910005E-4</v>
      </c>
      <c r="O107" s="372">
        <f>Assumptions!O123/O26</f>
        <v>1.95607761486826E-4</v>
      </c>
      <c r="P107" s="372">
        <f>O107</f>
        <v>1.95607761486826E-4</v>
      </c>
      <c r="Q107" s="372">
        <f>P107</f>
        <v>1.95607761486826E-4</v>
      </c>
      <c r="R107" s="371">
        <f>Assumptions!R123/R26</f>
        <v>2.286688406745451E-4</v>
      </c>
      <c r="S107" s="372"/>
      <c r="T107" s="372"/>
      <c r="U107" s="372"/>
      <c r="V107" s="372"/>
      <c r="W107" s="371">
        <f>Assumptions!W123/W26</f>
        <v>1.9740411944162579E-4</v>
      </c>
      <c r="X107" s="372">
        <f>Assumptions!X123/X26</f>
        <v>2.1823236262617337E-4</v>
      </c>
      <c r="Y107" s="372">
        <f>Assumptions!Y123/Y26</f>
        <v>1.6578330019124821E-4</v>
      </c>
      <c r="Z107" s="372">
        <f>Assumptions!Z123/Z26</f>
        <v>1.5793010226070603E-4</v>
      </c>
      <c r="AA107" s="372">
        <f>Assumptions!AA123/AA26</f>
        <v>1.8765267950889299E-4</v>
      </c>
      <c r="AB107" s="371">
        <f>Assumptions!AB123/AB26</f>
        <v>1.8259114549641628E-4</v>
      </c>
      <c r="AC107" s="372">
        <f>Assumptions!AC123/AC26</f>
        <v>1.4491236598533492E-4</v>
      </c>
      <c r="AD107" s="372">
        <f>+AC107</f>
        <v>1.4491236598533492E-4</v>
      </c>
      <c r="AE107" s="372">
        <f>+AD107</f>
        <v>1.4491236598533492E-4</v>
      </c>
      <c r="AF107" s="372">
        <f>+AE107</f>
        <v>1.4491236598533492E-4</v>
      </c>
      <c r="AG107" s="371">
        <f>Assumptions!AG123/AG26</f>
        <v>1.4015433148374429E-4</v>
      </c>
      <c r="AH107" s="372">
        <f>Assumptions!AH123/AH26</f>
        <v>1.3756750995256583E-4</v>
      </c>
      <c r="AI107" s="372">
        <f>Assumptions!AI123/AI26</f>
        <v>1.2265841076337895E-4</v>
      </c>
      <c r="AJ107" s="372">
        <f>Assumptions!AJ123/AJ26</f>
        <v>1.9931196549449962E-4</v>
      </c>
      <c r="AK107" s="372">
        <f>Assumptions!AK123/AK26</f>
        <v>2.3825887815586116E-4</v>
      </c>
      <c r="AL107" s="371">
        <f>Assumptions!AL123/AL26</f>
        <v>1.8022516378031239E-4</v>
      </c>
      <c r="AM107" s="372">
        <f>Assumptions!AM123/AM26</f>
        <v>2.1148765912335749E-4</v>
      </c>
      <c r="AN107" s="372">
        <f>Assumptions!AN123/AN26</f>
        <v>2.5490356321173919E-4</v>
      </c>
      <c r="AO107" s="372">
        <f>Assumptions!AO123/AO26</f>
        <v>2.7485959309997594E-4</v>
      </c>
      <c r="AP107" s="372">
        <f>AO107</f>
        <v>2.7485959309997594E-4</v>
      </c>
      <c r="AQ107" s="371">
        <f>Assumptions!AQ123/AQ26</f>
        <v>2.2690349150542027E-4</v>
      </c>
      <c r="AR107" s="394">
        <f>AP107</f>
        <v>2.7485959309997594E-4</v>
      </c>
      <c r="AS107" s="394">
        <f>AP107</f>
        <v>2.7485959309997594E-4</v>
      </c>
      <c r="AT107" s="371">
        <f>Assumptions!AT123/AT26</f>
        <v>2.2339802872228354E-4</v>
      </c>
      <c r="AU107" s="371">
        <f>Assumptions!AU123/AU26</f>
        <v>2.7774677646270543E-4</v>
      </c>
      <c r="AV107" s="371">
        <f>AU107</f>
        <v>2.7774677646270543E-4</v>
      </c>
      <c r="AW107" s="371">
        <f>AV107</f>
        <v>2.7774677646270543E-4</v>
      </c>
      <c r="AX107" s="371">
        <f>AW107</f>
        <v>2.7774677646270543E-4</v>
      </c>
      <c r="AY107" s="394">
        <f>AT107</f>
        <v>2.2339802872228354E-4</v>
      </c>
      <c r="AZ107" s="678">
        <f>AY107</f>
        <v>2.2339802872228354E-4</v>
      </c>
      <c r="BA107" s="678">
        <f>AZ107</f>
        <v>2.2339802872228354E-4</v>
      </c>
      <c r="BB107" s="678">
        <f>BA107</f>
        <v>2.2339802872228354E-4</v>
      </c>
      <c r="BC107" s="678">
        <f>BB107</f>
        <v>2.2339802872228354E-4</v>
      </c>
      <c r="BD107" s="394">
        <f>BD123/BD26</f>
        <v>3.4344947555948893E-4</v>
      </c>
      <c r="BE107" s="678">
        <f t="shared" ref="BE107:BJ107" si="180">BE123/BE26</f>
        <v>4.1582238970062663E-4</v>
      </c>
      <c r="BF107" s="678">
        <f t="shared" si="180"/>
        <v>3.6241802110065582E-4</v>
      </c>
      <c r="BG107" s="678">
        <f t="shared" si="180"/>
        <v>4.2231715920671006E-4</v>
      </c>
      <c r="BH107" s="678">
        <f t="shared" si="180"/>
        <v>4.5560177450881437E-4</v>
      </c>
      <c r="BI107" s="394">
        <f t="shared" si="180"/>
        <v>4.1329325231979756E-4</v>
      </c>
      <c r="BJ107" s="678">
        <f t="shared" si="180"/>
        <v>3.6768018582856559E-4</v>
      </c>
      <c r="BK107" s="678">
        <f>BJ107</f>
        <v>3.6768018582856559E-4</v>
      </c>
      <c r="BL107" s="678">
        <f>BK107</f>
        <v>3.6768018582856559E-4</v>
      </c>
      <c r="BM107" s="678">
        <f>BL107</f>
        <v>3.6768018582856559E-4</v>
      </c>
      <c r="BN107" s="394">
        <f t="shared" ref="BN107" si="181">BN123/BN26</f>
        <v>4.3591382964935086E-4</v>
      </c>
      <c r="BO107" s="394">
        <f>BM107</f>
        <v>3.6768018582856559E-4</v>
      </c>
      <c r="BP107" s="668"/>
      <c r="BQ107" s="668">
        <f>BO107</f>
        <v>3.6768018582856559E-4</v>
      </c>
      <c r="BR107" s="668">
        <f>BN107</f>
        <v>4.3591382964935086E-4</v>
      </c>
      <c r="BS107" s="394">
        <f t="shared" ref="BS107:CB107" si="182">BR107</f>
        <v>4.3591382964935086E-4</v>
      </c>
      <c r="BT107" s="394">
        <f t="shared" si="182"/>
        <v>4.3591382964935086E-4</v>
      </c>
      <c r="BU107" s="394">
        <f t="shared" si="182"/>
        <v>4.3591382964935086E-4</v>
      </c>
      <c r="BV107" s="394">
        <f t="shared" si="182"/>
        <v>4.3591382964935086E-4</v>
      </c>
      <c r="BW107" s="394">
        <f t="shared" si="182"/>
        <v>4.3591382964935086E-4</v>
      </c>
      <c r="BX107" s="394">
        <f t="shared" si="182"/>
        <v>4.3591382964935086E-4</v>
      </c>
      <c r="BY107" s="394">
        <f t="shared" si="182"/>
        <v>4.3591382964935086E-4</v>
      </c>
      <c r="BZ107" s="394">
        <f t="shared" si="182"/>
        <v>4.3591382964935086E-4</v>
      </c>
      <c r="CA107" s="394">
        <f t="shared" si="182"/>
        <v>4.3591382964935086E-4</v>
      </c>
      <c r="CB107" s="394">
        <f t="shared" si="182"/>
        <v>4.3591382964935086E-4</v>
      </c>
      <c r="CC107" s="269"/>
      <c r="CD107" s="269"/>
      <c r="CE107" s="269"/>
      <c r="CF107" s="269"/>
      <c r="CG107" s="269"/>
      <c r="CH107" s="269"/>
      <c r="CI107" s="269"/>
      <c r="CJ107" s="269"/>
      <c r="CK107" s="269"/>
      <c r="CL107" s="269"/>
    </row>
    <row r="108" spans="1:90">
      <c r="A108" s="1" t="s">
        <v>96</v>
      </c>
      <c r="B108" s="1" t="s">
        <v>78</v>
      </c>
      <c r="F108" s="131"/>
      <c r="G108" s="92">
        <f>G107*G26</f>
        <v>180.154</v>
      </c>
      <c r="H108" s="92">
        <f>H107*H26</f>
        <v>183.85499999999999</v>
      </c>
      <c r="I108" s="88">
        <f>I107*I26</f>
        <v>116.84299999999999</v>
      </c>
      <c r="J108" s="88">
        <f>J107*J26</f>
        <v>46.826000000000001</v>
      </c>
      <c r="K108" s="88">
        <f>K107*K26</f>
        <v>60.545000000000002</v>
      </c>
      <c r="L108" s="88"/>
      <c r="M108" s="92">
        <f t="shared" ref="M108:R108" si="183">M107*M26</f>
        <v>224.214</v>
      </c>
      <c r="N108" s="88">
        <f t="shared" si="183"/>
        <v>72.197000000000003</v>
      </c>
      <c r="O108" s="88">
        <f t="shared" si="183"/>
        <v>65.012</v>
      </c>
      <c r="P108" s="88">
        <f t="shared" si="183"/>
        <v>72.757480531593856</v>
      </c>
      <c r="Q108" s="88">
        <f t="shared" si="183"/>
        <v>82.725652056962502</v>
      </c>
      <c r="R108" s="92">
        <f t="shared" si="183"/>
        <v>338.97</v>
      </c>
      <c r="S108" s="88"/>
      <c r="T108" s="88"/>
      <c r="U108" s="88"/>
      <c r="V108" s="88"/>
      <c r="W108" s="92">
        <f t="shared" ref="W108:AG108" si="184">W107*W26</f>
        <v>357.762</v>
      </c>
      <c r="X108" s="88">
        <f t="shared" si="184"/>
        <v>113.593</v>
      </c>
      <c r="Y108" s="88">
        <f t="shared" si="184"/>
        <v>87.204999999999998</v>
      </c>
      <c r="Z108" s="88">
        <f t="shared" si="184"/>
        <v>80.617000000000004</v>
      </c>
      <c r="AA108" s="88">
        <f t="shared" si="184"/>
        <v>106.69799999999999</v>
      </c>
      <c r="AB108" s="92">
        <f t="shared" si="184"/>
        <v>388.113</v>
      </c>
      <c r="AC108" s="88">
        <f t="shared" si="184"/>
        <v>81.680000000000007</v>
      </c>
      <c r="AD108" s="88">
        <f t="shared" si="184"/>
        <v>88.043391815148041</v>
      </c>
      <c r="AE108" s="88">
        <f t="shared" si="184"/>
        <v>88.254384220022686</v>
      </c>
      <c r="AF108" s="88">
        <f t="shared" si="184"/>
        <v>103.64582369356266</v>
      </c>
      <c r="AG108" s="92">
        <f t="shared" si="184"/>
        <v>356.35682369356266</v>
      </c>
      <c r="AH108" s="88">
        <f>+AH123</f>
        <v>131.001</v>
      </c>
      <c r="AI108" s="88">
        <f>+AI123</f>
        <v>119.325</v>
      </c>
      <c r="AJ108" s="88">
        <f>+AJ123</f>
        <v>234.315</v>
      </c>
      <c r="AK108" s="88">
        <f>+AK123</f>
        <v>277.30900000000003</v>
      </c>
      <c r="AL108" s="92">
        <f t="shared" ref="AL108:CB108" si="185">AL107*AL26</f>
        <v>761.95</v>
      </c>
      <c r="AM108" s="88">
        <f t="shared" si="185"/>
        <v>197.9</v>
      </c>
      <c r="AN108" s="88">
        <f t="shared" si="185"/>
        <v>187.40800000000002</v>
      </c>
      <c r="AO108" s="88">
        <f t="shared" si="185"/>
        <v>282.23599999999999</v>
      </c>
      <c r="AP108" s="88">
        <f t="shared" si="185"/>
        <v>322.18345796901099</v>
      </c>
      <c r="AQ108" s="92">
        <f t="shared" si="185"/>
        <v>879.77200000000005</v>
      </c>
      <c r="AR108" s="333">
        <f t="shared" si="185"/>
        <v>282.08697341032229</v>
      </c>
      <c r="AS108" s="333">
        <f t="shared" si="185"/>
        <v>311.7249649489309</v>
      </c>
      <c r="AT108" s="92">
        <f t="shared" si="185"/>
        <v>1096.57</v>
      </c>
      <c r="AU108" s="92">
        <f t="shared" si="185"/>
        <v>270.26900000000001</v>
      </c>
      <c r="AV108" s="92">
        <f t="shared" si="185"/>
        <v>294.85736662669041</v>
      </c>
      <c r="AW108" s="92">
        <f t="shared" si="185"/>
        <v>278.40920252456897</v>
      </c>
      <c r="AX108" s="92">
        <f t="shared" si="185"/>
        <v>327.80257826359065</v>
      </c>
      <c r="AY108" s="333">
        <f t="shared" si="185"/>
        <v>1151.8506063775194</v>
      </c>
      <c r="AZ108" s="636">
        <f t="shared" si="185"/>
        <v>213.31384170575964</v>
      </c>
      <c r="BA108" s="636">
        <f t="shared" si="185"/>
        <v>217.20297798778589</v>
      </c>
      <c r="BB108" s="636">
        <f t="shared" si="185"/>
        <v>226.0694223497446</v>
      </c>
      <c r="BC108" s="636">
        <f t="shared" si="185"/>
        <v>232.74857661248345</v>
      </c>
      <c r="BD108" s="333">
        <f t="shared" si="185"/>
        <v>1375.329</v>
      </c>
      <c r="BE108" s="636">
        <f t="shared" si="185"/>
        <v>404.31700000000001</v>
      </c>
      <c r="BF108" s="636">
        <f t="shared" si="185"/>
        <v>338.08600000000001</v>
      </c>
      <c r="BG108" s="636">
        <f t="shared" si="185"/>
        <v>420.22500000000002</v>
      </c>
      <c r="BH108" s="636">
        <f t="shared" si="185"/>
        <v>487.61599999999976</v>
      </c>
      <c r="BI108" s="333">
        <f t="shared" si="185"/>
        <v>1650.2439999999999</v>
      </c>
      <c r="BJ108" s="636">
        <f t="shared" ref="BJ108:BK108" si="186">BJ107*BJ26</f>
        <v>329.87200000000001</v>
      </c>
      <c r="BK108" s="636">
        <f t="shared" si="186"/>
        <v>349.53700705885501</v>
      </c>
      <c r="BL108" s="636">
        <f t="shared" ref="BL108:BQ108" si="187">BL107*BL26</f>
        <v>400.33981955101092</v>
      </c>
      <c r="BM108" s="636">
        <f t="shared" si="187"/>
        <v>372.65379570226861</v>
      </c>
      <c r="BN108" s="333">
        <f t="shared" si="185"/>
        <v>1724.684</v>
      </c>
      <c r="BO108" s="247">
        <f t="shared" si="187"/>
        <v>329.70470551544804</v>
      </c>
      <c r="BP108" s="668"/>
      <c r="BQ108" s="668">
        <f t="shared" si="187"/>
        <v>370.28703834609013</v>
      </c>
      <c r="BR108" s="668">
        <f t="shared" si="185"/>
        <v>1763.1706123191711</v>
      </c>
      <c r="BS108" s="333">
        <f t="shared" si="185"/>
        <v>1802.8118230079174</v>
      </c>
      <c r="BT108" s="333">
        <f t="shared" si="185"/>
        <v>1802.8118230079174</v>
      </c>
      <c r="BU108" s="333">
        <f t="shared" si="185"/>
        <v>1802.8118230079174</v>
      </c>
      <c r="BV108" s="333">
        <f t="shared" si="185"/>
        <v>1802.8118230079174</v>
      </c>
      <c r="BW108" s="333">
        <f t="shared" si="185"/>
        <v>1802.8118230079174</v>
      </c>
      <c r="BX108" s="333">
        <f t="shared" si="185"/>
        <v>1802.8118230079174</v>
      </c>
      <c r="BY108" s="333">
        <f t="shared" si="185"/>
        <v>1802.8118230079174</v>
      </c>
      <c r="BZ108" s="333">
        <f t="shared" si="185"/>
        <v>1802.8118230079174</v>
      </c>
      <c r="CA108" s="333">
        <f t="shared" si="185"/>
        <v>1802.8118230079174</v>
      </c>
      <c r="CB108" s="333">
        <f t="shared" si="185"/>
        <v>1802.8118230079174</v>
      </c>
      <c r="CC108" s="269"/>
      <c r="CD108" s="269"/>
      <c r="CE108" s="269"/>
      <c r="CF108" s="269"/>
      <c r="CG108" s="269"/>
      <c r="CH108" s="269"/>
      <c r="CI108" s="269"/>
      <c r="CJ108" s="269"/>
      <c r="CK108" s="269"/>
      <c r="CL108" s="269"/>
    </row>
    <row r="109" spans="1:90">
      <c r="I109" s="40"/>
      <c r="J109" s="40"/>
      <c r="K109" s="40"/>
      <c r="L109" s="40"/>
      <c r="N109" s="40"/>
      <c r="O109" s="40"/>
      <c r="P109" s="40"/>
      <c r="Q109" s="40"/>
      <c r="S109" s="40"/>
      <c r="T109" s="40"/>
      <c r="U109" s="40"/>
      <c r="V109" s="40"/>
      <c r="X109" s="40"/>
      <c r="Y109" s="40"/>
      <c r="Z109" s="40"/>
      <c r="AA109" s="40"/>
      <c r="AC109" s="40"/>
      <c r="AD109" s="40"/>
      <c r="AE109" s="40"/>
      <c r="AF109" s="40"/>
      <c r="AH109" s="40"/>
      <c r="AI109" s="40"/>
      <c r="AJ109" s="40"/>
      <c r="AK109" s="40"/>
      <c r="AM109" s="40"/>
      <c r="AN109" s="40"/>
      <c r="AO109" s="40"/>
      <c r="AP109" s="40"/>
      <c r="AR109" s="4"/>
      <c r="AS109" s="4"/>
      <c r="AY109" s="4"/>
      <c r="BD109" s="4"/>
      <c r="BE109" s="640"/>
      <c r="BF109" s="640"/>
      <c r="BG109" s="640"/>
      <c r="BH109" s="640"/>
      <c r="BI109" s="4"/>
      <c r="BJ109" s="640"/>
      <c r="BK109" s="640"/>
      <c r="BL109" s="640"/>
      <c r="BM109" s="640"/>
      <c r="BN109" s="4"/>
      <c r="BO109" s="4"/>
      <c r="BP109" s="668"/>
      <c r="BQ109" s="668"/>
      <c r="BR109" s="668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269"/>
      <c r="CD109" s="269"/>
      <c r="CE109" s="269"/>
      <c r="CF109" s="269"/>
      <c r="CG109" s="269"/>
      <c r="CH109" s="269"/>
      <c r="CI109" s="269"/>
      <c r="CJ109" s="269"/>
      <c r="CK109" s="269"/>
      <c r="CL109" s="269"/>
    </row>
    <row r="110" spans="1:90">
      <c r="A110" s="1" t="s">
        <v>97</v>
      </c>
      <c r="C110" s="34">
        <f>Assumptions!C128/IS!C12</f>
        <v>1.5264241307099913E-2</v>
      </c>
      <c r="D110" s="34">
        <f>Assumptions!D128/IS!D12</f>
        <v>2.0516827107393724E-2</v>
      </c>
      <c r="E110" s="34">
        <f>Assumptions!E128/IS!E12</f>
        <v>2.8409417766240948E-2</v>
      </c>
      <c r="F110" s="34">
        <f>Assumptions!F128/IS!F12</f>
        <v>3.3972655243909813E-2</v>
      </c>
      <c r="G110" s="259">
        <f>+Assumptions!G128/IS!G12</f>
        <v>2.3566206552782472E-2</v>
      </c>
      <c r="H110" s="259">
        <f>+Assumptions!H128/IS!H12</f>
        <v>1.8959014276917915E-2</v>
      </c>
      <c r="I110" s="395">
        <f>+Assumptions!I128/IS!I12</f>
        <v>1.8400215717108266E-2</v>
      </c>
      <c r="J110" s="395">
        <f>+Assumptions!J128/IS!J12</f>
        <v>3.0711203807719294E-2</v>
      </c>
      <c r="K110" s="395" t="e">
        <f>+Assumptions!K128/IS!K12</f>
        <v>#DIV/0!</v>
      </c>
      <c r="L110" s="395"/>
      <c r="M110" s="259">
        <f>+Assumptions!M128/IS!M12</f>
        <v>1.9253637860352023E-2</v>
      </c>
      <c r="N110" s="395">
        <f>+Assumptions!N128/IS!N12</f>
        <v>1.5188372254802468E-2</v>
      </c>
      <c r="O110" s="395">
        <f>+Assumptions!O128/IS!O12</f>
        <v>2.0433762005270195E-2</v>
      </c>
      <c r="P110" s="395">
        <f>+N110</f>
        <v>1.5188372254802468E-2</v>
      </c>
      <c r="Q110" s="395">
        <f>+P110</f>
        <v>1.5188372254802468E-2</v>
      </c>
      <c r="R110" s="259">
        <f>+Assumptions!R128/IS!R12</f>
        <v>1.6769531744977025E-2</v>
      </c>
      <c r="S110" s="395"/>
      <c r="T110" s="395"/>
      <c r="U110" s="395"/>
      <c r="V110" s="395"/>
      <c r="W110" s="259">
        <f>+Assumptions!W128/IS!W12</f>
        <v>1.2849934464235657E-2</v>
      </c>
      <c r="X110" s="395">
        <f>+Assumptions!X128/IS!X12</f>
        <v>1.0451906934985902E-2</v>
      </c>
      <c r="Y110" s="395">
        <f>+Assumptions!Y128/IS!Y12</f>
        <v>1.3024577730192491E-2</v>
      </c>
      <c r="Z110" s="395">
        <f>+Assumptions!Z128/IS!Z12</f>
        <v>1.2260075584704393E-2</v>
      </c>
      <c r="AA110" s="395">
        <f>+Assumptions!AA128/IS!AA12</f>
        <v>1.1400482090039259E-2</v>
      </c>
      <c r="AB110" s="259">
        <f>+Assumptions!AB128/IS!AB12</f>
        <v>1.1762687342918536E-2</v>
      </c>
      <c r="AC110" s="395">
        <f>+Assumptions!AC128/IS!AC12</f>
        <v>1.2725563615115211E-2</v>
      </c>
      <c r="AD110" s="395">
        <f>+Assumptions!AD128/IS!AD12</f>
        <v>1.7404277546814739E-2</v>
      </c>
      <c r="AE110" s="395">
        <f>+Assumptions!AE128/IS!AE12</f>
        <v>1.2614923959022575E-2</v>
      </c>
      <c r="AF110" s="395">
        <v>1.4999999999999999E-2</v>
      </c>
      <c r="AG110" s="259">
        <f>+Assumptions!AG128/IS!AG12</f>
        <v>1.429074595478708E-2</v>
      </c>
      <c r="AH110" s="395">
        <f>+Assumptions!AH128/IS!AH12</f>
        <v>1.9325330705096719E-2</v>
      </c>
      <c r="AI110" s="395">
        <f>+AH110</f>
        <v>1.9325330705096719E-2</v>
      </c>
      <c r="AJ110" s="395">
        <v>1.9300000000000001E-2</v>
      </c>
      <c r="AK110" s="395">
        <v>1.2500000000000001E-2</v>
      </c>
      <c r="AL110" s="259">
        <f>+Assumptions!AL128/IS!AL12</f>
        <v>1.4487068772961241E-2</v>
      </c>
      <c r="AM110" s="395">
        <f>+Assumptions!AM128/IS!AM12</f>
        <v>6.0817668150186461E-3</v>
      </c>
      <c r="AN110" s="395">
        <f>+Assumptions!AN128/IS!AN12</f>
        <v>1.1678207909227344E-2</v>
      </c>
      <c r="AO110" s="395">
        <f>AN110</f>
        <v>1.1678207909227344E-2</v>
      </c>
      <c r="AP110" s="395">
        <f>AO110</f>
        <v>1.1678207909227344E-2</v>
      </c>
      <c r="AQ110" s="259">
        <v>1.4999999999999999E-2</v>
      </c>
      <c r="AR110" s="366">
        <v>1.4999999999999999E-2</v>
      </c>
      <c r="AS110" s="366">
        <v>1.4999999999999999E-2</v>
      </c>
      <c r="AT110" s="259">
        <v>1.4999999999999999E-2</v>
      </c>
      <c r="AU110" s="259"/>
      <c r="AV110" s="259"/>
      <c r="AW110" s="259"/>
      <c r="AX110" s="259"/>
      <c r="AY110" s="366">
        <v>1.4999999999999999E-2</v>
      </c>
      <c r="AZ110" s="683"/>
      <c r="BA110" s="683"/>
      <c r="BB110" s="683"/>
      <c r="BC110" s="683"/>
      <c r="BD110" s="366">
        <v>1.4999999999999999E-2</v>
      </c>
      <c r="BE110" s="683"/>
      <c r="BF110" s="683"/>
      <c r="BG110" s="683"/>
      <c r="BH110" s="683"/>
      <c r="BI110" s="366">
        <v>1.4999999999999999E-2</v>
      </c>
      <c r="BJ110" s="683"/>
      <c r="BK110" s="683"/>
      <c r="BL110" s="683"/>
      <c r="BM110" s="683"/>
      <c r="BN110" s="366">
        <v>1.4999999999999999E-2</v>
      </c>
      <c r="BO110" s="366"/>
      <c r="BP110" s="668"/>
      <c r="BQ110" s="668"/>
      <c r="BR110" s="668">
        <v>1.4999999999999999E-2</v>
      </c>
      <c r="BS110" s="366">
        <v>1.4999999999999999E-2</v>
      </c>
      <c r="BT110" s="366">
        <v>1.4999999999999999E-2</v>
      </c>
      <c r="BU110" s="366">
        <v>1.4999999999999999E-2</v>
      </c>
      <c r="BV110" s="366">
        <v>1.4999999999999999E-2</v>
      </c>
      <c r="BW110" s="366">
        <v>1.4999999999999999E-2</v>
      </c>
      <c r="BX110" s="366">
        <v>1.4999999999999999E-2</v>
      </c>
      <c r="BY110" s="366">
        <v>1.4999999999999999E-2</v>
      </c>
      <c r="BZ110" s="366">
        <v>1.4999999999999999E-2</v>
      </c>
      <c r="CA110" s="366">
        <v>1.4999999999999999E-2</v>
      </c>
      <c r="CB110" s="366">
        <v>1.4999999999999999E-2</v>
      </c>
      <c r="CC110" s="269"/>
      <c r="CD110" s="269"/>
      <c r="CE110" s="269"/>
      <c r="CF110" s="269"/>
      <c r="CG110" s="269"/>
      <c r="CH110" s="269"/>
      <c r="CI110" s="269"/>
      <c r="CJ110" s="269"/>
      <c r="CK110" s="269"/>
      <c r="CL110" s="269"/>
    </row>
    <row r="111" spans="1:90">
      <c r="G111" s="314"/>
      <c r="H111" s="314"/>
      <c r="I111" s="186"/>
      <c r="J111" s="186"/>
      <c r="K111" s="186"/>
      <c r="L111" s="40"/>
      <c r="M111" s="314"/>
      <c r="N111" s="40"/>
      <c r="O111" s="40"/>
      <c r="P111" s="40"/>
      <c r="Q111" s="40"/>
      <c r="S111" s="40"/>
      <c r="T111" s="40"/>
      <c r="U111" s="40"/>
      <c r="V111" s="40"/>
      <c r="X111" s="40"/>
      <c r="Y111" s="40"/>
      <c r="Z111" s="40"/>
      <c r="AA111" s="40"/>
      <c r="AC111" s="40"/>
      <c r="AD111" s="40"/>
      <c r="AE111" s="40"/>
      <c r="AF111" s="40"/>
      <c r="AH111" s="40"/>
      <c r="AI111" s="40"/>
      <c r="AJ111" s="312">
        <f>AJ128/IS!AJ12</f>
        <v>1.0640673769932593E-2</v>
      </c>
      <c r="AK111" s="40"/>
      <c r="AM111" s="395">
        <f>AVERAGE(AH130:AK130)</f>
        <v>1.5380453180933378E-2</v>
      </c>
      <c r="AN111" s="395">
        <f>AVERAGE(AI130:AL130)</f>
        <v>1.4170887697899509E-2</v>
      </c>
      <c r="AO111" s="395">
        <f>AVERAGE(AJ130:AM130)</f>
        <v>1.0770641213931736E-2</v>
      </c>
      <c r="AP111" s="395">
        <f>AVERAGE(AK130:AN130)</f>
        <v>8.8088651004187245E-3</v>
      </c>
      <c r="AR111" s="4"/>
      <c r="AS111" s="4"/>
      <c r="AY111" s="4"/>
      <c r="BD111" s="4"/>
      <c r="BE111" s="640"/>
      <c r="BF111" s="640"/>
      <c r="BG111" s="640"/>
      <c r="BH111" s="640"/>
      <c r="BI111" s="4"/>
      <c r="BJ111" s="640"/>
      <c r="BK111" s="640"/>
      <c r="BL111" s="640"/>
      <c r="BM111" s="640"/>
      <c r="BN111" s="4"/>
      <c r="BO111" s="4"/>
      <c r="BP111" s="668"/>
      <c r="BQ111" s="668"/>
      <c r="BR111" s="668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269"/>
      <c r="CD111" s="269"/>
      <c r="CE111" s="269"/>
      <c r="CF111" s="269"/>
      <c r="CG111" s="269"/>
      <c r="CH111" s="269"/>
      <c r="CI111" s="269"/>
      <c r="CJ111" s="269"/>
      <c r="CK111" s="269"/>
      <c r="CL111" s="269"/>
    </row>
    <row r="112" spans="1:90">
      <c r="A112" s="284" t="s">
        <v>10</v>
      </c>
      <c r="B112" s="73"/>
      <c r="C112" s="11"/>
      <c r="D112" s="11"/>
      <c r="E112" s="11"/>
      <c r="F112" s="11"/>
      <c r="G112" s="11"/>
      <c r="H112" s="1"/>
      <c r="I112" s="40"/>
      <c r="J112" s="40"/>
      <c r="K112" s="40"/>
      <c r="L112" s="40"/>
      <c r="M112" s="1"/>
      <c r="N112" s="40"/>
      <c r="O112" s="40"/>
      <c r="P112" s="40"/>
      <c r="Q112" s="40"/>
      <c r="R112" s="1"/>
      <c r="S112" s="40"/>
      <c r="T112" s="40"/>
      <c r="U112" s="40"/>
      <c r="V112" s="40"/>
      <c r="W112" s="1"/>
      <c r="X112" s="40"/>
      <c r="Y112" s="40"/>
      <c r="Z112" s="40"/>
      <c r="AA112" s="40"/>
      <c r="AB112" s="1"/>
      <c r="AC112" s="40"/>
      <c r="AD112" s="40"/>
      <c r="AE112" s="40"/>
      <c r="AF112" s="40"/>
      <c r="AG112" s="1"/>
      <c r="AH112" s="40"/>
      <c r="AI112" s="40"/>
      <c r="AJ112" s="40"/>
      <c r="AK112" s="40"/>
      <c r="AM112" s="40"/>
      <c r="AN112" s="40"/>
      <c r="AO112" s="40"/>
      <c r="AP112" s="40"/>
      <c r="AR112" s="4"/>
      <c r="AS112" s="4"/>
      <c r="AY112" s="4"/>
      <c r="BD112" s="4"/>
      <c r="BE112" s="640"/>
      <c r="BF112" s="640"/>
      <c r="BG112" s="640"/>
      <c r="BH112" s="640"/>
      <c r="BI112" s="4"/>
      <c r="BJ112" s="640"/>
      <c r="BK112" s="640"/>
      <c r="BL112" s="640"/>
      <c r="BM112" s="640"/>
      <c r="BN112" s="4"/>
      <c r="BO112" s="4"/>
      <c r="BP112" s="668"/>
      <c r="BQ112" s="668"/>
      <c r="BR112" s="668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269"/>
      <c r="CD112" s="269"/>
      <c r="CE112" s="269"/>
      <c r="CF112" s="269"/>
      <c r="CG112" s="269"/>
      <c r="CH112" s="269"/>
      <c r="CI112" s="269"/>
      <c r="CJ112" s="269"/>
      <c r="CK112" s="269"/>
      <c r="CL112" s="269"/>
    </row>
    <row r="113" spans="1:90">
      <c r="A113" s="73"/>
      <c r="B113" s="73"/>
      <c r="C113" s="27"/>
      <c r="D113" s="27"/>
      <c r="E113" s="27"/>
      <c r="F113" s="27"/>
      <c r="G113" s="27"/>
      <c r="H113" s="12"/>
      <c r="I113" s="42"/>
      <c r="J113" s="42"/>
      <c r="K113" s="42"/>
      <c r="L113" s="42"/>
      <c r="M113" s="1"/>
      <c r="N113" s="40"/>
      <c r="O113" s="40"/>
      <c r="P113" s="40"/>
      <c r="Q113" s="40"/>
      <c r="R113" s="1"/>
      <c r="S113" s="40"/>
      <c r="T113" s="40"/>
      <c r="U113" s="40"/>
      <c r="V113" s="40"/>
      <c r="W113" s="1"/>
      <c r="X113" s="40"/>
      <c r="Y113" s="40"/>
      <c r="Z113" s="40"/>
      <c r="AA113" s="40"/>
      <c r="AB113" s="1"/>
      <c r="AC113" s="40"/>
      <c r="AD113" s="40"/>
      <c r="AE113" s="40"/>
      <c r="AF113" s="40"/>
      <c r="AG113" s="1"/>
      <c r="AH113" s="40"/>
      <c r="AI113" s="40"/>
      <c r="AJ113" s="40"/>
      <c r="AK113" s="40"/>
      <c r="AM113" s="40"/>
      <c r="AN113" s="40"/>
      <c r="AO113" s="40"/>
      <c r="AP113" s="40"/>
      <c r="AR113" s="4"/>
      <c r="AS113" s="4"/>
      <c r="AY113" s="4"/>
      <c r="BD113" s="4"/>
      <c r="BE113" s="640"/>
      <c r="BF113" s="640"/>
      <c r="BG113" s="640"/>
      <c r="BH113" s="640"/>
      <c r="BI113" s="4"/>
      <c r="BJ113" s="640"/>
      <c r="BK113" s="640"/>
      <c r="BL113" s="640"/>
      <c r="BM113" s="640"/>
      <c r="BN113" s="4"/>
      <c r="BO113" s="4"/>
      <c r="BP113" s="668"/>
      <c r="BQ113" s="668"/>
      <c r="BR113" s="668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269"/>
      <c r="CD113" s="269"/>
      <c r="CE113" s="269"/>
      <c r="CF113" s="269"/>
      <c r="CG113" s="269"/>
      <c r="CH113" s="269"/>
      <c r="CI113" s="269"/>
      <c r="CJ113" s="269"/>
      <c r="CK113" s="269"/>
      <c r="CL113" s="269"/>
    </row>
    <row r="114" spans="1:90">
      <c r="A114" s="73" t="s">
        <v>192</v>
      </c>
      <c r="B114" s="73"/>
      <c r="C114" s="11"/>
      <c r="D114" s="11"/>
      <c r="E114" s="11"/>
      <c r="F114" s="11"/>
      <c r="G114" s="12"/>
      <c r="H114" s="12"/>
      <c r="I114" s="42"/>
      <c r="J114" s="42"/>
      <c r="K114" s="42"/>
      <c r="L114" s="42"/>
      <c r="M114" s="1"/>
      <c r="N114" s="40"/>
      <c r="O114" s="40"/>
      <c r="P114" s="40"/>
      <c r="Q114" s="40"/>
      <c r="R114" s="1"/>
      <c r="S114" s="40"/>
      <c r="T114" s="40"/>
      <c r="U114" s="40"/>
      <c r="V114" s="40"/>
      <c r="W114" s="1"/>
      <c r="X114" s="40"/>
      <c r="Y114" s="40"/>
      <c r="Z114" s="40"/>
      <c r="AA114" s="40"/>
      <c r="AB114" s="1"/>
      <c r="AC114" s="40"/>
      <c r="AD114" s="40"/>
      <c r="AE114" s="40"/>
      <c r="AF114" s="40"/>
      <c r="AG114" s="1"/>
      <c r="AH114" s="40"/>
      <c r="AI114" s="40"/>
      <c r="AJ114" s="40"/>
      <c r="AK114" s="40"/>
      <c r="AM114" s="40"/>
      <c r="AN114" s="40"/>
      <c r="AO114" s="40"/>
      <c r="AP114" s="40"/>
      <c r="AR114" s="4"/>
      <c r="AS114" s="4"/>
      <c r="AY114" s="4"/>
      <c r="BD114" s="4"/>
      <c r="BE114" s="640"/>
      <c r="BF114" s="640"/>
      <c r="BG114" s="640"/>
      <c r="BH114" s="640"/>
      <c r="BI114" s="4"/>
      <c r="BJ114" s="640"/>
      <c r="BK114" s="640"/>
      <c r="BL114" s="640"/>
      <c r="BM114" s="640"/>
      <c r="BN114" s="4"/>
      <c r="BO114" s="4"/>
      <c r="BP114" s="668"/>
      <c r="BQ114" s="668"/>
      <c r="BR114" s="668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269"/>
      <c r="CD114" s="269"/>
      <c r="CE114" s="269"/>
      <c r="CF114" s="269"/>
      <c r="CG114" s="269"/>
      <c r="CH114" s="269"/>
      <c r="CI114" s="269"/>
      <c r="CJ114" s="269"/>
      <c r="CK114" s="269"/>
      <c r="CL114" s="269"/>
    </row>
    <row r="115" spans="1:90">
      <c r="A115" s="396" t="s">
        <v>193</v>
      </c>
      <c r="B115" s="73"/>
      <c r="C115" s="36">
        <v>16.681999999999999</v>
      </c>
      <c r="D115" s="36">
        <f>C118</f>
        <v>21.463999999999999</v>
      </c>
      <c r="E115" s="36">
        <f>D118</f>
        <v>25.678999999999998</v>
      </c>
      <c r="F115" s="36">
        <v>37.067</v>
      </c>
      <c r="G115" s="11">
        <f>F118</f>
        <v>27.74</v>
      </c>
      <c r="H115" s="11">
        <f>G118</f>
        <v>30.231999999999999</v>
      </c>
      <c r="I115" s="74"/>
      <c r="J115" s="74"/>
      <c r="K115" s="74"/>
      <c r="L115" s="74"/>
      <c r="M115" s="11">
        <f>H118</f>
        <v>0</v>
      </c>
      <c r="N115" s="74">
        <f>M118</f>
        <v>0</v>
      </c>
      <c r="O115" s="74">
        <f>N118</f>
        <v>0</v>
      </c>
      <c r="P115" s="74">
        <f>O118</f>
        <v>0</v>
      </c>
      <c r="Q115" s="74">
        <f>P118</f>
        <v>0</v>
      </c>
      <c r="R115" s="11">
        <f>M118</f>
        <v>0</v>
      </c>
      <c r="S115" s="74"/>
      <c r="T115" s="74"/>
      <c r="U115" s="74"/>
      <c r="V115" s="74"/>
      <c r="W115" s="11">
        <f>R118</f>
        <v>0</v>
      </c>
      <c r="X115" s="74"/>
      <c r="Y115" s="74"/>
      <c r="Z115" s="74"/>
      <c r="AA115" s="74"/>
      <c r="AB115" s="11">
        <f>W118</f>
        <v>0</v>
      </c>
      <c r="AC115" s="74"/>
      <c r="AD115" s="74"/>
      <c r="AE115" s="74"/>
      <c r="AF115" s="74"/>
      <c r="AG115" s="11">
        <f>AB118</f>
        <v>0</v>
      </c>
      <c r="AH115" s="74"/>
      <c r="AI115" s="74"/>
      <c r="AJ115" s="74"/>
      <c r="AK115" s="74"/>
      <c r="AM115" s="74"/>
      <c r="AN115" s="74"/>
      <c r="AO115" s="74"/>
      <c r="AP115" s="74"/>
      <c r="AR115" s="4"/>
      <c r="AS115" s="4"/>
      <c r="AY115" s="4"/>
      <c r="BD115" s="76"/>
      <c r="BE115" s="640"/>
      <c r="BF115" s="640"/>
      <c r="BG115" s="640"/>
      <c r="BH115" s="640"/>
      <c r="BI115" s="4"/>
      <c r="BJ115" s="640"/>
      <c r="BK115" s="640"/>
      <c r="BL115" s="640"/>
      <c r="BM115" s="640"/>
      <c r="BN115" s="4"/>
      <c r="BO115" s="4"/>
      <c r="BP115" s="668"/>
      <c r="BQ115" s="668"/>
      <c r="BR115" s="668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269"/>
      <c r="CD115" s="269"/>
      <c r="CE115" s="269"/>
      <c r="CF115" s="269"/>
      <c r="CG115" s="269"/>
      <c r="CH115" s="269"/>
      <c r="CI115" s="269"/>
      <c r="CJ115" s="269"/>
      <c r="CK115" s="269"/>
      <c r="CL115" s="269"/>
    </row>
    <row r="116" spans="1:90">
      <c r="A116" s="73" t="s">
        <v>194</v>
      </c>
      <c r="B116" s="73"/>
      <c r="C116" s="36">
        <v>176.392</v>
      </c>
      <c r="D116" s="36">
        <v>164.48400000000001</v>
      </c>
      <c r="E116" s="36">
        <v>287.09300000000002</v>
      </c>
      <c r="F116" s="36">
        <v>281.60199999999998</v>
      </c>
      <c r="G116" s="11">
        <v>238.95500000000001</v>
      </c>
      <c r="H116" s="397"/>
      <c r="I116" s="398"/>
      <c r="J116" s="398"/>
      <c r="K116" s="398"/>
      <c r="L116" s="398"/>
      <c r="M116" s="1"/>
      <c r="N116" s="40"/>
      <c r="O116" s="40"/>
      <c r="P116" s="40"/>
      <c r="Q116" s="40"/>
      <c r="R116" s="1"/>
      <c r="S116" s="40"/>
      <c r="T116" s="40"/>
      <c r="U116" s="40"/>
      <c r="V116" s="40"/>
      <c r="W116" s="1"/>
      <c r="X116" s="40"/>
      <c r="Y116" s="40"/>
      <c r="Z116" s="40"/>
      <c r="AA116" s="40"/>
      <c r="AB116" s="1"/>
      <c r="AC116" s="40"/>
      <c r="AD116" s="40"/>
      <c r="AE116" s="40"/>
      <c r="AF116" s="40"/>
      <c r="AG116" s="1"/>
      <c r="AH116" s="40"/>
      <c r="AI116" s="40"/>
      <c r="AJ116" s="40"/>
      <c r="AK116" s="40"/>
      <c r="AM116" s="40"/>
      <c r="AN116" s="40"/>
      <c r="AO116" s="40"/>
      <c r="AP116" s="40"/>
      <c r="AR116" s="4"/>
      <c r="AS116" s="4"/>
      <c r="AY116" s="4"/>
      <c r="BD116" s="76"/>
      <c r="BE116" s="640"/>
      <c r="BF116" s="640"/>
      <c r="BG116" s="640"/>
      <c r="BH116" s="640"/>
      <c r="BI116" s="229">
        <f>BI119+BI120+BI121+BI122</f>
        <v>12410.440999999999</v>
      </c>
      <c r="BJ116" s="640"/>
      <c r="BK116" s="640"/>
      <c r="BL116" s="640"/>
      <c r="BM116" s="640"/>
      <c r="BN116" s="4"/>
      <c r="BO116" s="4"/>
      <c r="BP116" s="668"/>
      <c r="BQ116" s="668"/>
      <c r="BR116" s="668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269"/>
      <c r="CD116" s="269"/>
      <c r="CE116" s="269"/>
      <c r="CF116" s="269"/>
      <c r="CG116" s="269"/>
      <c r="CH116" s="269"/>
      <c r="CI116" s="269"/>
      <c r="CJ116" s="269"/>
      <c r="CK116" s="269"/>
      <c r="CL116" s="269"/>
    </row>
    <row r="117" spans="1:90">
      <c r="A117" s="73"/>
      <c r="B117" s="73"/>
      <c r="C117" s="36">
        <f>C115+C116</f>
        <v>193.07399999999998</v>
      </c>
      <c r="D117" s="36">
        <f>D115+D116</f>
        <v>185.94800000000001</v>
      </c>
      <c r="E117" s="36">
        <f>E115+E116</f>
        <v>312.77199999999999</v>
      </c>
      <c r="F117" s="36">
        <f>F115+F116</f>
        <v>318.66899999999998</v>
      </c>
      <c r="G117" s="36">
        <f>G115+G116</f>
        <v>266.69499999999999</v>
      </c>
      <c r="H117" s="397"/>
      <c r="I117" s="398"/>
      <c r="J117" s="398"/>
      <c r="K117" s="398"/>
      <c r="L117" s="398"/>
      <c r="M117" s="1"/>
      <c r="N117" s="40"/>
      <c r="O117" s="40"/>
      <c r="P117" s="40"/>
      <c r="Q117" s="40"/>
      <c r="R117" s="1"/>
      <c r="S117" s="40"/>
      <c r="T117" s="40"/>
      <c r="U117" s="40"/>
      <c r="V117" s="40"/>
      <c r="W117" s="1"/>
      <c r="X117" s="40"/>
      <c r="Y117" s="40"/>
      <c r="Z117" s="40"/>
      <c r="AA117" s="40"/>
      <c r="AB117" s="1"/>
      <c r="AC117" s="40"/>
      <c r="AD117" s="40"/>
      <c r="AE117" s="40"/>
      <c r="AF117" s="40"/>
      <c r="AG117" s="1"/>
      <c r="AH117" s="40"/>
      <c r="AI117" s="40"/>
      <c r="AJ117" s="40"/>
      <c r="AK117" s="40"/>
      <c r="AM117" s="40"/>
      <c r="AN117" s="42"/>
      <c r="AO117" s="40"/>
      <c r="AP117" s="40"/>
      <c r="AR117" s="4"/>
      <c r="AS117" s="4"/>
      <c r="AY117" s="4"/>
      <c r="BD117" s="76"/>
      <c r="BE117" s="640"/>
      <c r="BF117" s="640"/>
      <c r="BG117" s="640"/>
      <c r="BH117" s="640"/>
      <c r="BI117" s="20">
        <f>BI116/BI140</f>
        <v>0.79605561723003382</v>
      </c>
      <c r="BJ117" s="640"/>
      <c r="BK117" s="640"/>
      <c r="BL117" s="640"/>
      <c r="BM117" s="640"/>
      <c r="BN117" s="4"/>
      <c r="BO117" s="4"/>
      <c r="BP117" s="668"/>
      <c r="BQ117" s="668"/>
      <c r="BR117" s="668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269"/>
      <c r="CD117" s="269"/>
      <c r="CE117" s="269"/>
      <c r="CF117" s="269"/>
      <c r="CG117" s="269"/>
      <c r="CH117" s="269"/>
      <c r="CI117" s="269"/>
      <c r="CJ117" s="269"/>
      <c r="CK117" s="269"/>
      <c r="CL117" s="269"/>
    </row>
    <row r="118" spans="1:90">
      <c r="A118" s="227" t="s">
        <v>195</v>
      </c>
      <c r="B118" s="73"/>
      <c r="C118" s="36">
        <v>21.463999999999999</v>
      </c>
      <c r="D118" s="36">
        <v>25.678999999999998</v>
      </c>
      <c r="E118" s="36">
        <v>37.067</v>
      </c>
      <c r="F118" s="36">
        <v>27.74</v>
      </c>
      <c r="G118" s="11">
        <v>30.231999999999999</v>
      </c>
      <c r="H118" s="397"/>
      <c r="I118" s="398"/>
      <c r="J118" s="398"/>
      <c r="K118" s="398"/>
      <c r="L118" s="398"/>
      <c r="M118" s="1"/>
      <c r="N118" s="40"/>
      <c r="O118" s="40"/>
      <c r="P118" s="40"/>
      <c r="Q118" s="40"/>
      <c r="R118" s="1"/>
      <c r="S118" s="40"/>
      <c r="T118" s="40"/>
      <c r="U118" s="40"/>
      <c r="V118" s="40"/>
      <c r="W118" s="1"/>
      <c r="X118" s="40"/>
      <c r="Y118" s="40"/>
      <c r="Z118" s="40"/>
      <c r="AA118" s="40"/>
      <c r="AB118" s="1"/>
      <c r="AC118" s="40"/>
      <c r="AD118" s="40"/>
      <c r="AE118" s="40"/>
      <c r="AF118" s="40"/>
      <c r="AG118" s="1"/>
      <c r="AH118" s="40"/>
      <c r="AI118" s="40"/>
      <c r="AJ118" s="40"/>
      <c r="AK118" s="40"/>
      <c r="AM118" s="40"/>
      <c r="AN118" s="40"/>
      <c r="AO118" s="40"/>
      <c r="AP118" s="40"/>
      <c r="AR118" s="4"/>
      <c r="AS118" s="4"/>
      <c r="AW118" s="10">
        <f>AW122/AV122-1</f>
        <v>-4.2051328820332579E-2</v>
      </c>
      <c r="AX118" s="10">
        <f>AX122/AW122-1</f>
        <v>0.18531305356167649</v>
      </c>
      <c r="AY118" s="4"/>
      <c r="AZ118" s="649">
        <f>AZ122/AY122-1</f>
        <v>-0.68276365759131341</v>
      </c>
      <c r="BA118" s="649">
        <f>BA122/AZ122-1</f>
        <v>5.1353167266487976E-2</v>
      </c>
      <c r="BB118" s="649">
        <f>BB122/BA122-1</f>
        <v>-0.26125564418823222</v>
      </c>
      <c r="BC118" s="649">
        <f>BC122/BB122-1</f>
        <v>0.14388928603194828</v>
      </c>
      <c r="BD118" s="604">
        <f>BD122/AY122-1</f>
        <v>0.17899989188406473</v>
      </c>
      <c r="BE118" s="649">
        <f>BE122/BD122-1</f>
        <v>-0.75611380501171532</v>
      </c>
      <c r="BF118" s="649">
        <f>BF122/BE122-1</f>
        <v>-9.5151904872935456E-3</v>
      </c>
      <c r="BG118" s="649">
        <f>BG122/BF122-1</f>
        <v>-0.14964555217425268</v>
      </c>
      <c r="BH118" s="649">
        <f>BH122/BG122-1</f>
        <v>0.32265842113095045</v>
      </c>
      <c r="BI118" s="4"/>
      <c r="BJ118" s="649">
        <f>BJ122/BI122-1</f>
        <v>-0.78259873848757266</v>
      </c>
      <c r="BK118" s="649">
        <f>BK122/BJ122-1</f>
        <v>0.20422196955939298</v>
      </c>
      <c r="BL118" s="649">
        <f>BL122/BK122-1</f>
        <v>-3.6330087952568868E-2</v>
      </c>
      <c r="BM118" s="649">
        <f>BM122/BL122-1</f>
        <v>-7.5080013534858381E-3</v>
      </c>
      <c r="BN118" s="4"/>
      <c r="BO118" s="4"/>
      <c r="BP118" s="668"/>
      <c r="BQ118" s="668"/>
      <c r="BR118" s="668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269"/>
      <c r="CD118" s="269"/>
      <c r="CE118" s="269"/>
      <c r="CF118" s="269"/>
      <c r="CG118" s="269"/>
      <c r="CH118" s="269"/>
      <c r="CI118" s="269"/>
      <c r="CJ118" s="269"/>
      <c r="CK118" s="269"/>
      <c r="CL118" s="269"/>
    </row>
    <row r="119" spans="1:90">
      <c r="A119" s="73" t="s">
        <v>196</v>
      </c>
      <c r="B119" s="73"/>
      <c r="C119" s="36">
        <f>C117-C118</f>
        <v>171.60999999999999</v>
      </c>
      <c r="D119" s="36">
        <f>D117-D118</f>
        <v>160.26900000000001</v>
      </c>
      <c r="E119" s="36">
        <f>E117-E118</f>
        <v>275.70499999999998</v>
      </c>
      <c r="F119" s="36">
        <f>F117-F118</f>
        <v>290.92899999999997</v>
      </c>
      <c r="G119" s="36">
        <f>G117-G118</f>
        <v>236.46299999999999</v>
      </c>
      <c r="H119" s="286">
        <v>240.499</v>
      </c>
      <c r="I119" s="142">
        <v>148.27600000000001</v>
      </c>
      <c r="J119" s="142">
        <v>94.706000000000003</v>
      </c>
      <c r="K119" s="142">
        <f t="shared" ref="K119:K129" si="188">+M119-J119-I119</f>
        <v>74.286999999999978</v>
      </c>
      <c r="L119" s="142">
        <f t="shared" ref="L119:L138" si="189">+K119+J119+I119</f>
        <v>317.26900000000001</v>
      </c>
      <c r="M119" s="286">
        <v>317.26900000000001</v>
      </c>
      <c r="N119" s="74">
        <v>80.774000000000001</v>
      </c>
      <c r="O119" s="74">
        <v>75.44</v>
      </c>
      <c r="P119" s="74">
        <f>Assumptions!P71</f>
        <v>84.850003890973298</v>
      </c>
      <c r="Q119" s="74">
        <f>Assumptions!Q71</f>
        <v>96.957291633372321</v>
      </c>
      <c r="R119" s="286">
        <v>330.53500000000003</v>
      </c>
      <c r="S119" s="74">
        <v>97.775000000000006</v>
      </c>
      <c r="T119" s="74"/>
      <c r="U119" s="74"/>
      <c r="V119" s="74"/>
      <c r="W119" s="286">
        <v>374.28699999999998</v>
      </c>
      <c r="X119" s="74">
        <v>106.02</v>
      </c>
      <c r="Y119" s="74">
        <v>109.501</v>
      </c>
      <c r="Z119" s="74">
        <v>120.246</v>
      </c>
      <c r="AA119" s="74">
        <f>+AB119-Z119-Y119-X119</f>
        <v>128.31299999999999</v>
      </c>
      <c r="AB119" s="286">
        <v>464.08</v>
      </c>
      <c r="AC119" s="74">
        <v>131.14099999999999</v>
      </c>
      <c r="AD119" s="74">
        <v>139.131</v>
      </c>
      <c r="AE119" s="74">
        <v>154.018</v>
      </c>
      <c r="AF119" s="74">
        <f>Assumptions!AF71</f>
        <v>180.87852082042468</v>
      </c>
      <c r="AG119" s="286">
        <f t="shared" ref="AG119:AG128" si="190">SUM(AC119:AF119)</f>
        <v>605.16852082042465</v>
      </c>
      <c r="AH119" s="74">
        <v>284.16399999999999</v>
      </c>
      <c r="AI119" s="74">
        <v>326.80799999999999</v>
      </c>
      <c r="AJ119" s="74">
        <v>377.22399999999999</v>
      </c>
      <c r="AK119" s="74">
        <f>AL119-SUM(AH119:AJ119)</f>
        <v>392.97300000000018</v>
      </c>
      <c r="AL119" s="339">
        <v>1381.1690000000001</v>
      </c>
      <c r="AM119" s="74">
        <v>357.84699999999998</v>
      </c>
      <c r="AN119" s="74">
        <v>371.56299999999999</v>
      </c>
      <c r="AO119" s="74">
        <v>388.88299999999998</v>
      </c>
      <c r="AP119" s="74">
        <f>Assumptions!AP71</f>
        <v>429.19135952016666</v>
      </c>
      <c r="AQ119" s="339">
        <v>1527.43</v>
      </c>
      <c r="AR119" s="399">
        <f>Assumptions!AR71</f>
        <v>413.35524059030166</v>
      </c>
      <c r="AS119" s="399">
        <f>Assumptions!AS71</f>
        <v>456.7851763117028</v>
      </c>
      <c r="AT119" s="339">
        <v>1912.808</v>
      </c>
      <c r="AU119" s="339">
        <v>402.596</v>
      </c>
      <c r="AV119" s="339">
        <v>467.78399999999999</v>
      </c>
      <c r="AW119" s="339">
        <v>455.726</v>
      </c>
      <c r="AX119" s="339">
        <f>Assumptions!AX71</f>
        <v>536.57765773230847</v>
      </c>
      <c r="AY119" s="399">
        <v>1805.8979999999999</v>
      </c>
      <c r="AZ119" s="684">
        <v>451.96</v>
      </c>
      <c r="BA119" s="684">
        <v>480.18400000000003</v>
      </c>
      <c r="BB119" s="684">
        <v>440.18</v>
      </c>
      <c r="BC119" s="684">
        <f t="shared" ref="BC119:BC126" si="191">BD119-SUM(AZ119:BB119)</f>
        <v>505.56299999999987</v>
      </c>
      <c r="BD119" s="399">
        <v>1877.8869999999999</v>
      </c>
      <c r="BE119" s="684">
        <v>474.51400000000001</v>
      </c>
      <c r="BF119" s="684">
        <v>480.779</v>
      </c>
      <c r="BG119" s="684">
        <v>477.55900000000003</v>
      </c>
      <c r="BH119" s="684">
        <f>BI119-SUM(BE119:BG119)</f>
        <v>603.88999999999987</v>
      </c>
      <c r="BI119" s="399">
        <v>2036.742</v>
      </c>
      <c r="BJ119" s="684">
        <v>483.84</v>
      </c>
      <c r="BK119" s="684">
        <v>516.54100000000005</v>
      </c>
      <c r="BL119" s="684">
        <v>611.577</v>
      </c>
      <c r="BM119" s="684">
        <f>Assumptions!BM71</f>
        <v>569.28259264793599</v>
      </c>
      <c r="BN119" s="399">
        <v>2150.587</v>
      </c>
      <c r="BO119" s="684">
        <f>Assumptions!BO71</f>
        <v>503.67164303357146</v>
      </c>
      <c r="BP119" s="668">
        <v>475.74799999999999</v>
      </c>
      <c r="BQ119" s="668">
        <f>Assumptions!BQ71</f>
        <v>565.66702833748866</v>
      </c>
      <c r="BR119" s="668">
        <f>Assumptions!BR71</f>
        <v>2274.6703190076641</v>
      </c>
      <c r="BS119" s="399">
        <f>Assumptions!BS71</f>
        <v>2442.1021095151796</v>
      </c>
      <c r="BT119" s="399">
        <f>Assumptions!BT71</f>
        <v>2564.2072149909386</v>
      </c>
      <c r="BU119" s="399">
        <f>Assumptions!BU71</f>
        <v>2692.4175757404855</v>
      </c>
      <c r="BV119" s="399">
        <f>Assumptions!BV71</f>
        <v>2827.0384545275101</v>
      </c>
      <c r="BW119" s="399">
        <f>Assumptions!BW71</f>
        <v>2968.3903772538861</v>
      </c>
      <c r="BX119" s="399">
        <f>Assumptions!BX71</f>
        <v>3116.8098961165806</v>
      </c>
      <c r="BY119" s="399">
        <f>Assumptions!BY71</f>
        <v>3272.6503909224098</v>
      </c>
      <c r="BZ119" s="399">
        <f>Assumptions!BZ71</f>
        <v>3436.2829104685302</v>
      </c>
      <c r="CA119" s="399">
        <f>Assumptions!CA71</f>
        <v>3608.0970559919569</v>
      </c>
      <c r="CB119" s="399">
        <f>Assumptions!CB71</f>
        <v>3788.5019087915548</v>
      </c>
      <c r="CC119" s="269"/>
      <c r="CD119" s="269"/>
      <c r="CE119" s="269"/>
      <c r="CF119" s="269"/>
      <c r="CG119" s="269"/>
      <c r="CH119" s="269"/>
      <c r="CI119" s="269"/>
      <c r="CJ119" s="269"/>
      <c r="CK119" s="269"/>
      <c r="CL119" s="269"/>
    </row>
    <row r="120" spans="1:90">
      <c r="A120" s="400" t="s">
        <v>197</v>
      </c>
      <c r="B120" s="73"/>
      <c r="C120" s="36">
        <v>66.882999999999996</v>
      </c>
      <c r="D120" s="36">
        <v>74.397999999999996</v>
      </c>
      <c r="E120" s="36">
        <v>96.165999999999997</v>
      </c>
      <c r="F120" s="36">
        <v>106.134</v>
      </c>
      <c r="G120" s="11">
        <v>118.777</v>
      </c>
      <c r="H120" s="286">
        <v>123.18</v>
      </c>
      <c r="I120" s="142">
        <v>68.998000000000005</v>
      </c>
      <c r="J120" s="142">
        <v>39.302999999999997</v>
      </c>
      <c r="K120" s="142">
        <f t="shared" si="188"/>
        <v>44.495999999999995</v>
      </c>
      <c r="L120" s="142">
        <f t="shared" si="189"/>
        <v>152.797</v>
      </c>
      <c r="M120" s="286">
        <v>152.797</v>
      </c>
      <c r="N120" s="74">
        <v>35.920999999999999</v>
      </c>
      <c r="O120" s="74">
        <v>44.921999999999997</v>
      </c>
      <c r="P120" s="74">
        <f>O120*(1+Assumptions!P5)</f>
        <v>45.146609999999995</v>
      </c>
      <c r="Q120" s="74">
        <f>P120*(1+Assumptions!Q5)</f>
        <v>45.372343049999991</v>
      </c>
      <c r="R120" s="286">
        <v>161.91900000000001</v>
      </c>
      <c r="S120" s="74">
        <v>41.234000000000002</v>
      </c>
      <c r="T120" s="74"/>
      <c r="U120" s="74"/>
      <c r="V120" s="74"/>
      <c r="W120" s="286">
        <v>185.91399999999999</v>
      </c>
      <c r="X120" s="74">
        <v>47.179000000000002</v>
      </c>
      <c r="Y120" s="74">
        <v>52.542000000000002</v>
      </c>
      <c r="Z120" s="74">
        <v>52.460999999999999</v>
      </c>
      <c r="AA120" s="74">
        <f>+AB120-Z120-Y120-X120</f>
        <v>78.672000000000025</v>
      </c>
      <c r="AB120" s="286">
        <v>230.85400000000001</v>
      </c>
      <c r="AC120" s="74">
        <v>65.123999999999995</v>
      </c>
      <c r="AD120" s="74">
        <v>75.194000000000003</v>
      </c>
      <c r="AE120" s="74">
        <v>58.183999999999997</v>
      </c>
      <c r="AF120" s="74">
        <f>+AF97</f>
        <v>87.275999999999996</v>
      </c>
      <c r="AG120" s="286">
        <f t="shared" si="190"/>
        <v>285.77799999999996</v>
      </c>
      <c r="AH120" s="74">
        <v>112.236</v>
      </c>
      <c r="AI120" s="74">
        <v>123.62</v>
      </c>
      <c r="AJ120" s="74">
        <v>112.673</v>
      </c>
      <c r="AK120" s="74">
        <f t="shared" ref="AK120:AK126" si="192">AL120-SUM(AH120:AJ120)</f>
        <v>130.26100000000002</v>
      </c>
      <c r="AL120" s="339">
        <v>478.79</v>
      </c>
      <c r="AM120" s="74">
        <v>165.32300000000001</v>
      </c>
      <c r="AN120" s="74">
        <v>149.97300000000001</v>
      </c>
      <c r="AO120" s="74">
        <v>151.435</v>
      </c>
      <c r="AP120" s="74">
        <f>+AP97</f>
        <v>165.32300000000001</v>
      </c>
      <c r="AQ120" s="339">
        <v>641.40800000000002</v>
      </c>
      <c r="AR120" s="401">
        <f>+AR97</f>
        <v>183.23299166666669</v>
      </c>
      <c r="AS120" s="401">
        <f>+AS97</f>
        <v>183.23299166666669</v>
      </c>
      <c r="AT120" s="339">
        <v>695.73900000000003</v>
      </c>
      <c r="AU120" s="339">
        <v>177.67099999999999</v>
      </c>
      <c r="AV120" s="339">
        <v>189.84399999999999</v>
      </c>
      <c r="AW120" s="339">
        <v>196.65700000000001</v>
      </c>
      <c r="AX120" s="339">
        <v>190</v>
      </c>
      <c r="AY120" s="401">
        <v>804.95699999999999</v>
      </c>
      <c r="AZ120" s="684">
        <v>211.09200000000001</v>
      </c>
      <c r="BA120" s="684">
        <v>234.661</v>
      </c>
      <c r="BB120" s="684">
        <v>234.82400000000001</v>
      </c>
      <c r="BC120" s="684">
        <f t="shared" si="191"/>
        <v>260.73900000000003</v>
      </c>
      <c r="BD120" s="401">
        <v>941.31600000000003</v>
      </c>
      <c r="BE120" s="684">
        <v>253.83600000000001</v>
      </c>
      <c r="BF120" s="684">
        <v>282.82600000000002</v>
      </c>
      <c r="BG120" s="684">
        <v>275.70100000000002</v>
      </c>
      <c r="BH120" s="684">
        <f t="shared" ref="BH120:BH128" si="193">BI120-SUM(BE120:BG120)</f>
        <v>306.76599999999985</v>
      </c>
      <c r="BI120" s="401">
        <v>1119.1289999999999</v>
      </c>
      <c r="BJ120" s="684">
        <v>286.67399999999998</v>
      </c>
      <c r="BK120" s="684">
        <v>360.14</v>
      </c>
      <c r="BL120" s="684">
        <v>323.27199999999999</v>
      </c>
      <c r="BM120" s="684">
        <f>BL120*1.03</f>
        <v>332.97016000000002</v>
      </c>
      <c r="BN120" s="401">
        <v>1345.3679999999999</v>
      </c>
      <c r="BO120" s="401">
        <f>BM120*1.05</f>
        <v>349.61866800000001</v>
      </c>
      <c r="BP120" s="668">
        <v>315.54300000000001</v>
      </c>
      <c r="BQ120" s="668">
        <f>BP120*1.05</f>
        <v>331.32015000000001</v>
      </c>
      <c r="BR120" s="668">
        <f t="shared" ref="BR120:CB120" si="194">+BR97</f>
        <v>1412.6364000000001</v>
      </c>
      <c r="BS120" s="401">
        <f t="shared" si="194"/>
        <v>1483.2682199999999</v>
      </c>
      <c r="BT120" s="401">
        <f t="shared" si="194"/>
        <v>1557.4316309999999</v>
      </c>
      <c r="BU120" s="401">
        <f t="shared" si="194"/>
        <v>1635.3032125500001</v>
      </c>
      <c r="BV120" s="401">
        <f t="shared" si="194"/>
        <v>1717.0683731775002</v>
      </c>
      <c r="BW120" s="401">
        <f t="shared" si="194"/>
        <v>1802.9217918363754</v>
      </c>
      <c r="BX120" s="401">
        <f t="shared" si="194"/>
        <v>1893.0678814281941</v>
      </c>
      <c r="BY120" s="401">
        <f t="shared" si="194"/>
        <v>1987.721275499604</v>
      </c>
      <c r="BZ120" s="401">
        <f t="shared" si="194"/>
        <v>2087.1073392745843</v>
      </c>
      <c r="CA120" s="401">
        <f t="shared" si="194"/>
        <v>2191.4627062383142</v>
      </c>
      <c r="CB120" s="401">
        <f t="shared" si="194"/>
        <v>2301.0358415502296</v>
      </c>
      <c r="CC120" s="269"/>
      <c r="CD120" s="269"/>
      <c r="CE120" s="269"/>
      <c r="CF120" s="269"/>
      <c r="CG120" s="269"/>
      <c r="CH120" s="269"/>
      <c r="CI120" s="269"/>
      <c r="CJ120" s="269"/>
      <c r="CK120" s="269"/>
      <c r="CL120" s="269"/>
    </row>
    <row r="121" spans="1:90">
      <c r="A121" s="396" t="s">
        <v>198</v>
      </c>
      <c r="B121" s="73"/>
      <c r="C121" s="36">
        <v>243.38399999999999</v>
      </c>
      <c r="D121" s="36">
        <v>289.99799999999999</v>
      </c>
      <c r="E121" s="36">
        <v>438.096</v>
      </c>
      <c r="F121" s="36">
        <v>64.918999999999997</v>
      </c>
      <c r="G121" s="11">
        <v>130.48699999999999</v>
      </c>
      <c r="H121" s="286">
        <v>125.367</v>
      </c>
      <c r="I121" s="142">
        <v>99.733999999999995</v>
      </c>
      <c r="J121" s="142">
        <v>55.453000000000003</v>
      </c>
      <c r="K121" s="142">
        <f t="shared" si="188"/>
        <v>47.36399999999999</v>
      </c>
      <c r="L121" s="142">
        <f t="shared" si="189"/>
        <v>202.55099999999999</v>
      </c>
      <c r="M121" s="286">
        <v>202.55099999999999</v>
      </c>
      <c r="N121" s="74">
        <v>54.402000000000001</v>
      </c>
      <c r="O121" s="74">
        <v>43.534999999999997</v>
      </c>
      <c r="P121" s="74">
        <f>Assumptions!P246</f>
        <v>52.2970136</v>
      </c>
      <c r="Q121" s="74">
        <f>Assumptions!Q246</f>
        <v>59.461989599999995</v>
      </c>
      <c r="R121" s="286">
        <v>217.911</v>
      </c>
      <c r="S121" s="74">
        <v>69.78</v>
      </c>
      <c r="T121" s="74"/>
      <c r="U121" s="74"/>
      <c r="V121" s="74"/>
      <c r="W121" s="286">
        <v>322.97899999999998</v>
      </c>
      <c r="X121" s="74">
        <v>112.739</v>
      </c>
      <c r="Y121" s="74">
        <v>126.256</v>
      </c>
      <c r="Z121" s="74">
        <v>118.852</v>
      </c>
      <c r="AA121" s="74">
        <f t="shared" ref="AA121:AA128" si="195">+AB121-Z121-Y121-X121</f>
        <v>112.77800000000002</v>
      </c>
      <c r="AB121" s="286">
        <v>470.625</v>
      </c>
      <c r="AC121" s="74">
        <v>45.884999999999998</v>
      </c>
      <c r="AD121" s="74">
        <v>239.9</v>
      </c>
      <c r="AE121" s="74">
        <v>148.119</v>
      </c>
      <c r="AF121" s="74">
        <f>+AF74</f>
        <v>158.29517666191251</v>
      </c>
      <c r="AG121" s="286">
        <f t="shared" si="190"/>
        <v>592.19917666191247</v>
      </c>
      <c r="AH121" s="74">
        <v>410.34300000000002</v>
      </c>
      <c r="AI121" s="74">
        <v>427.64299999999997</v>
      </c>
      <c r="AJ121" s="74">
        <v>330.39</v>
      </c>
      <c r="AK121" s="74">
        <f t="shared" si="192"/>
        <v>476.38300000000004</v>
      </c>
      <c r="AL121" s="339">
        <v>1644.759</v>
      </c>
      <c r="AM121" s="74">
        <v>368.399</v>
      </c>
      <c r="AN121" s="74">
        <v>370.99200000000002</v>
      </c>
      <c r="AO121" s="74">
        <v>245.822</v>
      </c>
      <c r="AP121" s="74">
        <f>+AP74</f>
        <v>300.25853096415165</v>
      </c>
      <c r="AQ121" s="339">
        <v>1427.6310000000001</v>
      </c>
      <c r="AR121" s="399">
        <f>+AR74</f>
        <v>462.0683266389546</v>
      </c>
      <c r="AS121" s="399">
        <f>+AS74</f>
        <v>510.61639317892917</v>
      </c>
      <c r="AT121" s="339">
        <v>1991.2429999999999</v>
      </c>
      <c r="AU121" s="339">
        <v>457.20100000000002</v>
      </c>
      <c r="AV121" s="339">
        <v>513.51199999999994</v>
      </c>
      <c r="AW121" s="339">
        <v>455.26799999999997</v>
      </c>
      <c r="AX121" s="339">
        <f>+AX74</f>
        <v>570.88808563637122</v>
      </c>
      <c r="AY121" s="399">
        <v>1880.289</v>
      </c>
      <c r="AZ121" s="684">
        <v>472.82</v>
      </c>
      <c r="BA121" s="684">
        <v>553.41899999999998</v>
      </c>
      <c r="BB121" s="684">
        <v>542.12699999999995</v>
      </c>
      <c r="BC121" s="684">
        <f t="shared" si="191"/>
        <v>541.62100000000009</v>
      </c>
      <c r="BD121" s="399">
        <v>2109.9870000000001</v>
      </c>
      <c r="BE121" s="684">
        <v>607.87400000000002</v>
      </c>
      <c r="BF121" s="684">
        <v>586.18299999999999</v>
      </c>
      <c r="BG121" s="684">
        <v>463.12799999999999</v>
      </c>
      <c r="BH121" s="684">
        <f t="shared" si="193"/>
        <v>606.57000000000016</v>
      </c>
      <c r="BI121" s="399">
        <v>2263.7550000000001</v>
      </c>
      <c r="BJ121" s="684">
        <v>544.07100000000003</v>
      </c>
      <c r="BK121" s="684">
        <v>748.03399999999999</v>
      </c>
      <c r="BL121" s="684">
        <v>767.33500000000004</v>
      </c>
      <c r="BM121" s="684">
        <f>+BM74</f>
        <v>629.99853386636983</v>
      </c>
      <c r="BN121" s="399">
        <v>2400.8580000000002</v>
      </c>
      <c r="BO121" s="684">
        <f>+BO74</f>
        <v>585.25944899271701</v>
      </c>
      <c r="BP121" s="668">
        <v>628.22799999999995</v>
      </c>
      <c r="BQ121" s="668">
        <f>+BQ74</f>
        <v>657.29722508138059</v>
      </c>
      <c r="BR121" s="668">
        <f>Power!G55</f>
        <v>2735.1437563194677</v>
      </c>
      <c r="BS121" s="399">
        <f>Power!H55</f>
        <v>2963.4914011790092</v>
      </c>
      <c r="BT121" s="399">
        <f>Power!I55</f>
        <v>3106.8974234475363</v>
      </c>
      <c r="BU121" s="399">
        <f>Power!J55</f>
        <v>3257.3783758736818</v>
      </c>
      <c r="BV121" s="399">
        <f>Power!K55</f>
        <v>3415.2860975462099</v>
      </c>
      <c r="BW121" s="399">
        <f>Power!L55</f>
        <v>3580.9899813599413</v>
      </c>
      <c r="BX121" s="399">
        <f>Power!M55</f>
        <v>3754.8778509430877</v>
      </c>
      <c r="BY121" s="399">
        <f>Power!N55</f>
        <v>3937.3568814156938</v>
      </c>
      <c r="BZ121" s="399">
        <f>Power!O55</f>
        <v>4128.8545661704402</v>
      </c>
      <c r="CA121" s="399">
        <f>Power!P55</f>
        <v>4329.8197319766023</v>
      </c>
      <c r="CB121" s="399">
        <f>Power!Q55</f>
        <v>4540.7236048230261</v>
      </c>
      <c r="CC121" s="269"/>
      <c r="CD121" s="269"/>
      <c r="CE121" s="269"/>
      <c r="CF121" s="269"/>
      <c r="CG121" s="269"/>
      <c r="CH121" s="269"/>
      <c r="CI121" s="269"/>
      <c r="CJ121" s="269"/>
      <c r="CK121" s="269"/>
      <c r="CL121" s="269"/>
    </row>
    <row r="122" spans="1:90">
      <c r="A122" s="73" t="s">
        <v>199</v>
      </c>
      <c r="B122" s="73"/>
      <c r="C122" s="36">
        <v>334.92399999999998</v>
      </c>
      <c r="D122" s="36">
        <v>383.77</v>
      </c>
      <c r="E122" s="36">
        <v>486.74</v>
      </c>
      <c r="F122" s="36">
        <v>933.10900000000004</v>
      </c>
      <c r="G122" s="12">
        <v>1013.13</v>
      </c>
      <c r="H122" s="402">
        <v>953.36</v>
      </c>
      <c r="I122" s="403">
        <v>510.13400000000001</v>
      </c>
      <c r="J122" s="403">
        <v>239.07499999999999</v>
      </c>
      <c r="K122" s="142">
        <f t="shared" si="188"/>
        <v>261.72900000000004</v>
      </c>
      <c r="L122" s="142">
        <f t="shared" si="189"/>
        <v>1010.9380000000001</v>
      </c>
      <c r="M122" s="402">
        <v>1010.938</v>
      </c>
      <c r="N122" s="42">
        <v>228.19</v>
      </c>
      <c r="O122" s="42">
        <v>225.14099999999999</v>
      </c>
      <c r="P122" s="42">
        <f>Assumptions!P233+Assumptions!P239</f>
        <v>267.64382397133755</v>
      </c>
      <c r="Q122" s="42">
        <f>Assumptions!Q233+Assumptions!Q239</f>
        <v>345.1288984078779</v>
      </c>
      <c r="R122" s="286">
        <v>1123.7159999999999</v>
      </c>
      <c r="S122" s="42">
        <v>404.50799999999998</v>
      </c>
      <c r="T122" s="42"/>
      <c r="U122" s="42"/>
      <c r="V122" s="42"/>
      <c r="W122" s="402">
        <v>1493.5139999999999</v>
      </c>
      <c r="X122" s="42">
        <v>467.54700000000003</v>
      </c>
      <c r="Y122" s="42">
        <v>564.41499999999996</v>
      </c>
      <c r="Z122" s="42">
        <v>511.95600000000002</v>
      </c>
      <c r="AA122" s="88">
        <f t="shared" si="195"/>
        <v>570.7489999999998</v>
      </c>
      <c r="AB122" s="402">
        <v>2114.6669999999999</v>
      </c>
      <c r="AC122" s="74">
        <v>532.71699999999998</v>
      </c>
      <c r="AD122" s="74">
        <v>416.00299999999999</v>
      </c>
      <c r="AE122" s="74">
        <v>458.06099999999998</v>
      </c>
      <c r="AF122" s="74">
        <f>+AF93</f>
        <v>564.84349836902686</v>
      </c>
      <c r="AG122" s="402">
        <f t="shared" si="190"/>
        <v>1971.6244983690267</v>
      </c>
      <c r="AH122" s="74">
        <v>800.375</v>
      </c>
      <c r="AI122" s="74">
        <v>1088.7460000000001</v>
      </c>
      <c r="AJ122" s="74">
        <v>1206.567</v>
      </c>
      <c r="AK122" s="74">
        <f t="shared" si="192"/>
        <v>1500.2870000000003</v>
      </c>
      <c r="AL122" s="339">
        <v>4595.9750000000004</v>
      </c>
      <c r="AM122" s="74">
        <v>1822.7449999999999</v>
      </c>
      <c r="AN122" s="74">
        <v>2552.3470000000002</v>
      </c>
      <c r="AO122" s="74">
        <v>883.49099999999999</v>
      </c>
      <c r="AP122" s="74">
        <f>+AP88</f>
        <v>1578.5406932095607</v>
      </c>
      <c r="AQ122" s="404">
        <v>6603.9080000000004</v>
      </c>
      <c r="AR122" s="405">
        <f>+AR88</f>
        <v>1044.8582358504639</v>
      </c>
      <c r="AS122" s="405">
        <f>+AS88</f>
        <v>1026.3450721028</v>
      </c>
      <c r="AT122" s="404">
        <v>6100.3050000000003</v>
      </c>
      <c r="AU122" s="404">
        <v>1501.202</v>
      </c>
      <c r="AV122" s="404">
        <v>1688.6030000000001</v>
      </c>
      <c r="AW122" s="404">
        <v>1617.595</v>
      </c>
      <c r="AX122" s="404">
        <f>+AX88</f>
        <v>1917.3564688761001</v>
      </c>
      <c r="AY122" s="405">
        <v>6160.0540000000001</v>
      </c>
      <c r="AZ122" s="685">
        <v>1954.193</v>
      </c>
      <c r="BA122" s="685">
        <v>2054.547</v>
      </c>
      <c r="BB122" s="685">
        <v>1517.7850000000001</v>
      </c>
      <c r="BC122" s="684">
        <f t="shared" si="191"/>
        <v>1736.1780000000008</v>
      </c>
      <c r="BD122" s="405">
        <v>7262.7030000000004</v>
      </c>
      <c r="BE122" s="685">
        <v>1771.2729999999999</v>
      </c>
      <c r="BF122" s="685">
        <v>1754.4190000000001</v>
      </c>
      <c r="BG122" s="685">
        <v>1491.8779999999999</v>
      </c>
      <c r="BH122" s="684">
        <f t="shared" si="193"/>
        <v>1973.2449999999999</v>
      </c>
      <c r="BI122" s="405">
        <v>6990.8149999999996</v>
      </c>
      <c r="BJ122" s="684">
        <v>1519.8119999999999</v>
      </c>
      <c r="BK122" s="684">
        <v>1830.191</v>
      </c>
      <c r="BL122" s="684">
        <v>1763.7</v>
      </c>
      <c r="BM122" s="684">
        <f t="shared" ref="BM122:BQ122" si="196">BM88</f>
        <v>1750.458138012857</v>
      </c>
      <c r="BN122" s="405">
        <v>6945.6440000000002</v>
      </c>
      <c r="BO122" s="684">
        <f t="shared" si="196"/>
        <v>1551.8656767599998</v>
      </c>
      <c r="BP122" s="668">
        <v>1153.8119999999999</v>
      </c>
      <c r="BQ122" s="668">
        <f t="shared" si="196"/>
        <v>1733.5152964079996</v>
      </c>
      <c r="BR122" s="668">
        <f>BR88</f>
        <v>7033.3481774491756</v>
      </c>
      <c r="BS122" s="405">
        <f t="shared" ref="BS122:CB122" si="197">+BS88</f>
        <v>7849.334475732413</v>
      </c>
      <c r="BT122" s="405">
        <f t="shared" si="197"/>
        <v>8576.9212846969895</v>
      </c>
      <c r="BU122" s="405">
        <f t="shared" si="197"/>
        <v>9382.2747646292664</v>
      </c>
      <c r="BV122" s="405">
        <f t="shared" si="197"/>
        <v>10274.394584396796</v>
      </c>
      <c r="BW122" s="405">
        <f t="shared" si="197"/>
        <v>11127.576694049327</v>
      </c>
      <c r="BX122" s="405">
        <f t="shared" si="197"/>
        <v>11983.361348293425</v>
      </c>
      <c r="BY122" s="405">
        <f t="shared" si="197"/>
        <v>12827.742781912693</v>
      </c>
      <c r="BZ122" s="405">
        <f t="shared" si="197"/>
        <v>13645.928758041842</v>
      </c>
      <c r="CA122" s="405">
        <f t="shared" si="197"/>
        <v>14422.900973175383</v>
      </c>
      <c r="CB122" s="405">
        <f t="shared" si="197"/>
        <v>15144.046021834154</v>
      </c>
      <c r="CC122" s="789"/>
      <c r="CD122" s="269"/>
      <c r="CE122" s="269"/>
      <c r="CF122" s="269"/>
      <c r="CG122" s="269"/>
      <c r="CH122" s="269"/>
      <c r="CI122" s="269"/>
      <c r="CJ122" s="269"/>
      <c r="CK122" s="269"/>
      <c r="CL122" s="269"/>
    </row>
    <row r="123" spans="1:90">
      <c r="A123" s="73" t="s">
        <v>96</v>
      </c>
      <c r="B123" s="73"/>
      <c r="C123" s="36">
        <v>111.955</v>
      </c>
      <c r="D123" s="36">
        <v>77.668000000000006</v>
      </c>
      <c r="E123" s="36">
        <v>105.663</v>
      </c>
      <c r="F123" s="36">
        <v>174.184</v>
      </c>
      <c r="G123" s="14">
        <v>180.154</v>
      </c>
      <c r="H123" s="406">
        <v>183.85499999999999</v>
      </c>
      <c r="I123" s="407">
        <v>116.843</v>
      </c>
      <c r="J123" s="407">
        <v>46.826000000000001</v>
      </c>
      <c r="K123" s="142">
        <f t="shared" si="188"/>
        <v>60.545000000000002</v>
      </c>
      <c r="L123" s="142">
        <f t="shared" si="189"/>
        <v>224.214</v>
      </c>
      <c r="M123" s="406">
        <v>224.214</v>
      </c>
      <c r="N123" s="369">
        <v>72.197000000000003</v>
      </c>
      <c r="O123" s="369">
        <v>65.012</v>
      </c>
      <c r="P123" s="369">
        <f>Assumptions!P108</f>
        <v>72.757480531593856</v>
      </c>
      <c r="Q123" s="369">
        <f>Assumptions!Q108</f>
        <v>82.725652056962502</v>
      </c>
      <c r="R123" s="286">
        <v>338.97</v>
      </c>
      <c r="S123" s="369">
        <v>64.27</v>
      </c>
      <c r="T123" s="369"/>
      <c r="U123" s="369"/>
      <c r="V123" s="369"/>
      <c r="W123" s="406">
        <v>357.762</v>
      </c>
      <c r="X123" s="369">
        <v>113.593</v>
      </c>
      <c r="Y123" s="369">
        <v>87.204999999999998</v>
      </c>
      <c r="Z123" s="369">
        <v>80.617000000000004</v>
      </c>
      <c r="AA123" s="74">
        <f t="shared" si="195"/>
        <v>106.69799999999999</v>
      </c>
      <c r="AB123" s="406">
        <v>388.113</v>
      </c>
      <c r="AC123" s="74">
        <v>81.680000000000007</v>
      </c>
      <c r="AD123" s="74">
        <v>80.448999999999998</v>
      </c>
      <c r="AE123" s="74">
        <v>90.581999999999994</v>
      </c>
      <c r="AF123" s="74">
        <f>Assumptions!AF108</f>
        <v>103.64582369356266</v>
      </c>
      <c r="AG123" s="406">
        <f t="shared" si="190"/>
        <v>356.35682369356266</v>
      </c>
      <c r="AH123" s="74">
        <v>131.001</v>
      </c>
      <c r="AI123" s="74">
        <v>119.325</v>
      </c>
      <c r="AJ123" s="74">
        <v>234.315</v>
      </c>
      <c r="AK123" s="74">
        <f t="shared" si="192"/>
        <v>277.30900000000003</v>
      </c>
      <c r="AL123" s="339">
        <v>761.95</v>
      </c>
      <c r="AM123" s="74">
        <v>197.9</v>
      </c>
      <c r="AN123" s="74">
        <v>187.40799999999999</v>
      </c>
      <c r="AO123" s="74">
        <v>282.23599999999999</v>
      </c>
      <c r="AP123" s="74">
        <f>Assumptions!AP108</f>
        <v>322.18345796901099</v>
      </c>
      <c r="AQ123" s="408">
        <v>879.77200000000005</v>
      </c>
      <c r="AR123" s="409">
        <f>Assumptions!AR108</f>
        <v>282.08697341032229</v>
      </c>
      <c r="AS123" s="409">
        <f>Assumptions!AS108</f>
        <v>311.7249649489309</v>
      </c>
      <c r="AT123" s="408">
        <v>1096.57</v>
      </c>
      <c r="AU123" s="408">
        <v>270.26900000000001</v>
      </c>
      <c r="AV123" s="408">
        <v>395.82799999999997</v>
      </c>
      <c r="AW123" s="408">
        <v>251.49700000000001</v>
      </c>
      <c r="AX123" s="408">
        <f>Assumptions!AX108</f>
        <v>327.80257826359065</v>
      </c>
      <c r="AY123" s="409">
        <v>1338.239</v>
      </c>
      <c r="AZ123" s="686">
        <v>242.93600000000001</v>
      </c>
      <c r="BA123" s="686">
        <v>330.80799999999999</v>
      </c>
      <c r="BB123" s="686">
        <v>349.08699999999999</v>
      </c>
      <c r="BC123" s="684">
        <f t="shared" si="191"/>
        <v>452.49799999999993</v>
      </c>
      <c r="BD123" s="409">
        <v>1375.329</v>
      </c>
      <c r="BE123" s="686">
        <v>404.31700000000001</v>
      </c>
      <c r="BF123" s="686">
        <v>338.08600000000001</v>
      </c>
      <c r="BG123" s="686">
        <v>420.22500000000002</v>
      </c>
      <c r="BH123" s="684">
        <f t="shared" si="193"/>
        <v>487.61599999999976</v>
      </c>
      <c r="BI123" s="409">
        <v>1650.2439999999999</v>
      </c>
      <c r="BJ123" s="686">
        <v>329.87200000000001</v>
      </c>
      <c r="BK123" s="686">
        <v>477.93400000000003</v>
      </c>
      <c r="BL123" s="686">
        <v>427.88</v>
      </c>
      <c r="BM123" s="686">
        <f t="shared" ref="BM123:BQ123" si="198">BM108</f>
        <v>372.65379570226861</v>
      </c>
      <c r="BN123" s="409">
        <v>1724.684</v>
      </c>
      <c r="BO123" s="686">
        <f t="shared" si="198"/>
        <v>329.70470551544804</v>
      </c>
      <c r="BP123" s="668">
        <v>331.71</v>
      </c>
      <c r="BQ123" s="668">
        <f t="shared" si="198"/>
        <v>370.28703834609013</v>
      </c>
      <c r="BR123" s="668">
        <f>Assumptions!BR108</f>
        <v>1763.1706123191711</v>
      </c>
      <c r="BS123" s="409">
        <f>Assumptions!BS108</f>
        <v>1802.8118230079174</v>
      </c>
      <c r="BT123" s="409">
        <f>Assumptions!BT108</f>
        <v>1802.8118230079174</v>
      </c>
      <c r="BU123" s="409">
        <f>Assumptions!BU108</f>
        <v>1802.8118230079174</v>
      </c>
      <c r="BV123" s="409">
        <f>Assumptions!BV108</f>
        <v>1802.8118230079174</v>
      </c>
      <c r="BW123" s="409">
        <f>Assumptions!BW108</f>
        <v>1802.8118230079174</v>
      </c>
      <c r="BX123" s="409">
        <f>Assumptions!BX108</f>
        <v>1802.8118230079174</v>
      </c>
      <c r="BY123" s="409">
        <f>Assumptions!BY108</f>
        <v>1802.8118230079174</v>
      </c>
      <c r="BZ123" s="409">
        <f>Assumptions!BZ108</f>
        <v>1802.8118230079174</v>
      </c>
      <c r="CA123" s="409">
        <f>Assumptions!CA108</f>
        <v>1802.8118230079174</v>
      </c>
      <c r="CB123" s="409">
        <f>Assumptions!CB108</f>
        <v>1802.8118230079174</v>
      </c>
      <c r="CC123" s="269"/>
      <c r="CD123" s="269"/>
      <c r="CE123" s="269"/>
      <c r="CF123" s="269"/>
      <c r="CG123" s="269"/>
      <c r="CH123" s="269"/>
      <c r="CI123" s="269"/>
      <c r="CJ123" s="269"/>
      <c r="CK123" s="269"/>
      <c r="CL123" s="269"/>
    </row>
    <row r="124" spans="1:90">
      <c r="A124" s="73" t="s">
        <v>200</v>
      </c>
      <c r="B124" s="73"/>
      <c r="C124" s="36">
        <v>6.2859999999999996</v>
      </c>
      <c r="D124" s="36">
        <v>7.2960000000000003</v>
      </c>
      <c r="E124" s="36">
        <v>4.1079999999999997</v>
      </c>
      <c r="F124" s="36">
        <v>7.3529999999999998</v>
      </c>
      <c r="G124" s="36">
        <v>7.8440000000000003</v>
      </c>
      <c r="H124" s="131">
        <v>14.689</v>
      </c>
      <c r="I124" s="132">
        <v>2.8450000000000002</v>
      </c>
      <c r="J124" s="132">
        <f>I124*(1+Assumptions!J5)</f>
        <v>2.8734500000000001</v>
      </c>
      <c r="K124" s="142">
        <f t="shared" si="188"/>
        <v>2.7915499999999995</v>
      </c>
      <c r="L124" s="142">
        <f t="shared" si="189"/>
        <v>8.51</v>
      </c>
      <c r="M124" s="131">
        <v>8.51</v>
      </c>
      <c r="N124" s="88">
        <v>1.7949999999999999</v>
      </c>
      <c r="O124" s="88">
        <v>1.68</v>
      </c>
      <c r="P124" s="88">
        <f>O124*(1+Assumptions!P5)</f>
        <v>1.6883999999999997</v>
      </c>
      <c r="Q124" s="88">
        <f>P124*(1+Assumptions!Q5)</f>
        <v>1.6968419999999995</v>
      </c>
      <c r="R124" s="133">
        <v>9.6370000000000005</v>
      </c>
      <c r="S124" s="88">
        <v>1.3080000000000001</v>
      </c>
      <c r="T124" s="88"/>
      <c r="U124" s="88"/>
      <c r="V124" s="88"/>
      <c r="W124" s="131">
        <v>9.9969999999999999</v>
      </c>
      <c r="X124" s="88">
        <v>1.8680000000000001</v>
      </c>
      <c r="Y124" s="88">
        <v>2.7610000000000001</v>
      </c>
      <c r="Z124" s="88">
        <v>5.8650000000000002</v>
      </c>
      <c r="AA124" s="88">
        <f t="shared" si="195"/>
        <v>7.738999999999999</v>
      </c>
      <c r="AB124" s="131">
        <v>18.233000000000001</v>
      </c>
      <c r="AC124" s="88">
        <v>6.516</v>
      </c>
      <c r="AD124" s="88">
        <v>3.1859999999999999</v>
      </c>
      <c r="AE124" s="88">
        <v>4.9550000000000001</v>
      </c>
      <c r="AF124" s="88">
        <f>+AF102</f>
        <v>7.1523105008203078</v>
      </c>
      <c r="AG124" s="131">
        <f t="shared" si="190"/>
        <v>21.80931050082031</v>
      </c>
      <c r="AH124" s="88">
        <v>13.731</v>
      </c>
      <c r="AI124" s="88">
        <v>28.782</v>
      </c>
      <c r="AJ124" s="88">
        <v>17.408000000000001</v>
      </c>
      <c r="AK124" s="74">
        <f t="shared" si="192"/>
        <v>38.561</v>
      </c>
      <c r="AL124" s="339">
        <v>98.481999999999999</v>
      </c>
      <c r="AM124" s="88">
        <v>32.286999999999999</v>
      </c>
      <c r="AN124" s="88">
        <v>28.212</v>
      </c>
      <c r="AO124" s="88">
        <v>32.213000000000001</v>
      </c>
      <c r="AP124" s="88">
        <f>+AP102</f>
        <v>44.97943489479939</v>
      </c>
      <c r="AQ124" s="334">
        <v>131.911</v>
      </c>
      <c r="AR124" s="410">
        <f>+AR102</f>
        <v>0</v>
      </c>
      <c r="AS124" s="410">
        <f>+AS102</f>
        <v>0</v>
      </c>
      <c r="AT124" s="334">
        <v>165.95099999999999</v>
      </c>
      <c r="AU124" s="334">
        <v>64.596000000000004</v>
      </c>
      <c r="AV124" s="334">
        <v>60.887999999999998</v>
      </c>
      <c r="AW124" s="334">
        <v>63.371000000000002</v>
      </c>
      <c r="AX124" s="334">
        <f>AVERAGE(AU124:AW124)</f>
        <v>62.951666666666675</v>
      </c>
      <c r="AY124" s="410">
        <v>175.077</v>
      </c>
      <c r="AZ124" s="631">
        <v>46.744</v>
      </c>
      <c r="BA124" s="631">
        <v>42.996000000000002</v>
      </c>
      <c r="BB124" s="631">
        <v>56.933999999999997</v>
      </c>
      <c r="BC124" s="684">
        <f t="shared" si="191"/>
        <v>77.695999999999998</v>
      </c>
      <c r="BD124" s="410">
        <v>224.37</v>
      </c>
      <c r="BE124" s="631">
        <v>55.728999999999999</v>
      </c>
      <c r="BF124" s="631">
        <v>57.259</v>
      </c>
      <c r="BG124" s="631">
        <v>108.426</v>
      </c>
      <c r="BH124" s="684">
        <f t="shared" si="193"/>
        <v>68.73599999999999</v>
      </c>
      <c r="BI124" s="410">
        <v>290.14999999999998</v>
      </c>
      <c r="BJ124" s="686">
        <v>83.573999999999998</v>
      </c>
      <c r="BK124" s="631">
        <v>74.981999999999999</v>
      </c>
      <c r="BL124" s="631">
        <v>62.2</v>
      </c>
      <c r="BM124" s="631">
        <f t="shared" ref="BM124" si="199">BL124*1.025</f>
        <v>63.754999999999995</v>
      </c>
      <c r="BN124" s="410">
        <v>274.87299999999999</v>
      </c>
      <c r="BO124" s="410">
        <f>BM124*1.05</f>
        <v>66.942750000000004</v>
      </c>
      <c r="BP124" s="668">
        <v>50.776000000000003</v>
      </c>
      <c r="BQ124" s="668">
        <f>BP124*1.05</f>
        <v>53.314800000000005</v>
      </c>
      <c r="BR124" s="668">
        <f t="shared" ref="BR124:CB124" si="200">+BR102</f>
        <v>178.47918229733813</v>
      </c>
      <c r="BS124" s="410">
        <f t="shared" si="200"/>
        <v>172.62226967912522</v>
      </c>
      <c r="BT124" s="410">
        <f t="shared" si="200"/>
        <v>166.64818857659969</v>
      </c>
      <c r="BU124" s="410">
        <f t="shared" si="200"/>
        <v>160.55459501528034</v>
      </c>
      <c r="BV124" s="410">
        <f t="shared" si="200"/>
        <v>154.33909812909721</v>
      </c>
      <c r="BW124" s="410">
        <f t="shared" si="200"/>
        <v>147.99925922231796</v>
      </c>
      <c r="BX124" s="410">
        <f t="shared" si="200"/>
        <v>141.53259081270758</v>
      </c>
      <c r="BY124" s="410">
        <f t="shared" si="200"/>
        <v>134.93655565554664</v>
      </c>
      <c r="BZ124" s="410">
        <f t="shared" si="200"/>
        <v>128.20856574812464</v>
      </c>
      <c r="CA124" s="410">
        <f t="shared" si="200"/>
        <v>121.34598131431827</v>
      </c>
      <c r="CB124" s="410">
        <f t="shared" si="200"/>
        <v>0</v>
      </c>
      <c r="CC124" s="269"/>
      <c r="CD124" s="269"/>
      <c r="CE124" s="269"/>
      <c r="CF124" s="269"/>
      <c r="CG124" s="269"/>
      <c r="CH124" s="269"/>
      <c r="CI124" s="269"/>
      <c r="CJ124" s="269"/>
      <c r="CK124" s="269"/>
      <c r="CL124" s="269"/>
    </row>
    <row r="125" spans="1:90">
      <c r="A125" s="73" t="s">
        <v>201</v>
      </c>
      <c r="B125" s="73"/>
      <c r="C125" s="36">
        <v>18.922000000000001</v>
      </c>
      <c r="D125" s="36">
        <v>20.484000000000002</v>
      </c>
      <c r="E125" s="36">
        <v>20.991</v>
      </c>
      <c r="F125" s="36">
        <v>26.648</v>
      </c>
      <c r="G125" s="36">
        <v>29.954999999999998</v>
      </c>
      <c r="H125" s="131">
        <v>31.408000000000001</v>
      </c>
      <c r="I125" s="132">
        <v>23.600999999999999</v>
      </c>
      <c r="J125" s="132">
        <v>2.4319999999999999</v>
      </c>
      <c r="K125" s="142">
        <f t="shared" si="188"/>
        <v>21.571999999999996</v>
      </c>
      <c r="L125" s="142">
        <f t="shared" si="189"/>
        <v>47.60499999999999</v>
      </c>
      <c r="M125" s="131">
        <v>47.604999999999997</v>
      </c>
      <c r="N125" s="88">
        <v>10.628</v>
      </c>
      <c r="O125" s="88">
        <v>10.537000000000001</v>
      </c>
      <c r="P125" s="88">
        <f>O125*(1+Assumptions!P5)</f>
        <v>10.589684999999999</v>
      </c>
      <c r="Q125" s="88">
        <f>P125*(1+Assumptions!Q5)</f>
        <v>10.642633424999998</v>
      </c>
      <c r="R125" s="286">
        <v>42.234999999999999</v>
      </c>
      <c r="S125" s="88">
        <v>5.6980000000000004</v>
      </c>
      <c r="T125" s="88"/>
      <c r="U125" s="88"/>
      <c r="V125" s="88"/>
      <c r="W125" s="131">
        <v>23.641999999999999</v>
      </c>
      <c r="X125" s="88">
        <v>5.7450000000000001</v>
      </c>
      <c r="Y125" s="88">
        <v>4.9329999999999998</v>
      </c>
      <c r="Z125" s="88">
        <v>4.9470000000000001</v>
      </c>
      <c r="AA125" s="88">
        <f t="shared" si="195"/>
        <v>4.9170000000000025</v>
      </c>
      <c r="AB125" s="131">
        <v>20.542000000000002</v>
      </c>
      <c r="AC125" s="88">
        <v>5.9450000000000003</v>
      </c>
      <c r="AD125" s="88">
        <v>5.3010000000000002</v>
      </c>
      <c r="AE125" s="88">
        <v>5.2130000000000001</v>
      </c>
      <c r="AF125" s="88">
        <v>6.5</v>
      </c>
      <c r="AG125" s="131">
        <f t="shared" si="190"/>
        <v>22.959</v>
      </c>
      <c r="AH125" s="88">
        <v>11.409000000000001</v>
      </c>
      <c r="AI125" s="88">
        <v>10.551</v>
      </c>
      <c r="AJ125" s="88">
        <v>10.544</v>
      </c>
      <c r="AK125" s="74">
        <f t="shared" si="192"/>
        <v>10.577999999999996</v>
      </c>
      <c r="AL125" s="339">
        <v>43.082000000000001</v>
      </c>
      <c r="AM125" s="88">
        <v>10.079000000000001</v>
      </c>
      <c r="AN125" s="88">
        <v>12.03</v>
      </c>
      <c r="AO125" s="88">
        <v>10.057</v>
      </c>
      <c r="AP125" s="88">
        <f>AK125*(1+Assumptions!AP5)</f>
        <v>11.001119999999997</v>
      </c>
      <c r="AQ125" s="334">
        <v>45.573</v>
      </c>
      <c r="AR125" s="410">
        <f>AP125*(1+Assumptions!AR5)</f>
        <v>12.211243199999997</v>
      </c>
      <c r="AS125" s="410">
        <f>AP125*(1+Assumptions!AS5)</f>
        <v>12.211243199999997</v>
      </c>
      <c r="AT125" s="334">
        <v>52.726999999999997</v>
      </c>
      <c r="AU125" s="334">
        <v>12.010999999999999</v>
      </c>
      <c r="AV125" s="334">
        <v>14.926</v>
      </c>
      <c r="AW125" s="334">
        <v>14.489000000000001</v>
      </c>
      <c r="AX125" s="334">
        <f>AVERAGE(AU125:AW125)</f>
        <v>13.808666666666667</v>
      </c>
      <c r="AY125" s="410">
        <v>54.991999999999997</v>
      </c>
      <c r="AZ125" s="631">
        <v>13.833</v>
      </c>
      <c r="BA125" s="631">
        <v>15.12</v>
      </c>
      <c r="BB125" s="631">
        <v>14.333</v>
      </c>
      <c r="BC125" s="684">
        <f t="shared" si="191"/>
        <v>14.527999999999999</v>
      </c>
      <c r="BD125" s="410">
        <v>57.814</v>
      </c>
      <c r="BE125" s="631">
        <v>14.388</v>
      </c>
      <c r="BF125" s="631">
        <v>15.885999999999999</v>
      </c>
      <c r="BG125" s="631">
        <v>15.009</v>
      </c>
      <c r="BH125" s="684">
        <f t="shared" si="193"/>
        <v>15.167000000000002</v>
      </c>
      <c r="BI125" s="410">
        <v>60.45</v>
      </c>
      <c r="BJ125" s="686">
        <v>15.015000000000001</v>
      </c>
      <c r="BK125" s="631">
        <v>17.643999999999998</v>
      </c>
      <c r="BL125" s="631">
        <v>16.327000000000002</v>
      </c>
      <c r="BM125" s="631">
        <f t="shared" ref="BM125:BM126" si="201">BL125</f>
        <v>16.327000000000002</v>
      </c>
      <c r="BN125" s="410">
        <v>65.72</v>
      </c>
      <c r="BO125" s="410">
        <f>BM125</f>
        <v>16.327000000000002</v>
      </c>
      <c r="BP125" s="668">
        <v>16.309000000000001</v>
      </c>
      <c r="BQ125" s="668">
        <f>BP125</f>
        <v>16.309000000000001</v>
      </c>
      <c r="BR125" s="668">
        <f>BN125*(1+Assumptions!BR5)</f>
        <v>69.663200000000003</v>
      </c>
      <c r="BS125" s="410">
        <f>BR125*(1+Assumptions!BS5)</f>
        <v>73.84299200000001</v>
      </c>
      <c r="BT125" s="410">
        <f>BS125*(1+Assumptions!BT5)</f>
        <v>78.273571520000019</v>
      </c>
      <c r="BU125" s="410">
        <f>BT125*(1+Assumptions!BU5)</f>
        <v>82.969985811200019</v>
      </c>
      <c r="BV125" s="410">
        <f>BU125*(1+Assumptions!BV5)</f>
        <v>87.948184959872023</v>
      </c>
      <c r="BW125" s="410">
        <f>BV125*(1+Assumptions!BW5)</f>
        <v>93.225076057464349</v>
      </c>
      <c r="BX125" s="410">
        <f>BW125*(1+Assumptions!BX5)</f>
        <v>98.818580620912215</v>
      </c>
      <c r="BY125" s="410">
        <f>BX125*(1+Assumptions!BY5)</f>
        <v>104.74769545816696</v>
      </c>
      <c r="BZ125" s="410">
        <f>BY125*(1+Assumptions!BZ5)</f>
        <v>111.03255718565698</v>
      </c>
      <c r="CA125" s="410">
        <f>BZ125*(1+Assumptions!CA5)</f>
        <v>117.69451061679641</v>
      </c>
      <c r="CB125" s="410">
        <f>CA125*(1+Assumptions!CB5)</f>
        <v>124.7561812538042</v>
      </c>
      <c r="CC125" s="269"/>
      <c r="CD125" s="269"/>
      <c r="CE125" s="269"/>
      <c r="CF125" s="269"/>
      <c r="CG125" s="269"/>
      <c r="CH125" s="269"/>
      <c r="CI125" s="269"/>
      <c r="CJ125" s="269"/>
      <c r="CK125" s="269"/>
      <c r="CL125" s="269"/>
    </row>
    <row r="126" spans="1:90">
      <c r="A126" s="73" t="s">
        <v>17</v>
      </c>
      <c r="B126" s="73"/>
      <c r="C126" s="36">
        <v>92.828000000000003</v>
      </c>
      <c r="D126" s="36">
        <v>138.37799999999999</v>
      </c>
      <c r="E126" s="36">
        <v>761.70399999999995</v>
      </c>
      <c r="F126" s="36">
        <v>710.55499999999995</v>
      </c>
      <c r="G126" s="12">
        <v>750.68100000000004</v>
      </c>
      <c r="H126" s="402">
        <f>DEp!H25</f>
        <v>296.31700000000001</v>
      </c>
      <c r="I126" s="403">
        <v>142.24100000000001</v>
      </c>
      <c r="J126" s="403">
        <v>70.650999999999996</v>
      </c>
      <c r="K126" s="142">
        <f t="shared" si="188"/>
        <v>86.002999999999957</v>
      </c>
      <c r="L126" s="142">
        <f t="shared" si="189"/>
        <v>298.89499999999998</v>
      </c>
      <c r="M126" s="402">
        <v>298.89499999999998</v>
      </c>
      <c r="N126" s="42">
        <v>77.283000000000001</v>
      </c>
      <c r="O126" s="42">
        <v>73.269000000000005</v>
      </c>
      <c r="P126" s="42">
        <f>+O126</f>
        <v>73.269000000000005</v>
      </c>
      <c r="Q126" s="42">
        <f>+R126-P126-O126-N126</f>
        <v>93.333999999999961</v>
      </c>
      <c r="R126" s="402">
        <f>DEp!J25</f>
        <v>317.15499999999997</v>
      </c>
      <c r="S126" s="42">
        <v>74.977000000000004</v>
      </c>
      <c r="T126" s="42"/>
      <c r="U126" s="42"/>
      <c r="V126" s="42"/>
      <c r="W126" s="402">
        <f>DEp!K25</f>
        <v>330.1</v>
      </c>
      <c r="X126" s="42">
        <v>82.638000000000005</v>
      </c>
      <c r="Y126" s="42">
        <v>83.971000000000004</v>
      </c>
      <c r="Z126" s="42">
        <v>85.558999999999997</v>
      </c>
      <c r="AA126" s="88">
        <f t="shared" si="195"/>
        <v>89.771999999999963</v>
      </c>
      <c r="AB126" s="402">
        <f>DEp!L25</f>
        <v>341.94</v>
      </c>
      <c r="AC126" s="42">
        <v>94.165999999999997</v>
      </c>
      <c r="AD126" s="42">
        <v>96.715000000000003</v>
      </c>
      <c r="AE126" s="42">
        <v>101.93600000000001</v>
      </c>
      <c r="AF126" s="42">
        <v>110</v>
      </c>
      <c r="AG126" s="402">
        <f>SUM(AC126:AF126)</f>
        <v>402.81700000000001</v>
      </c>
      <c r="AH126" s="42">
        <f>325.371+1.679</f>
        <v>327.04999999999995</v>
      </c>
      <c r="AI126" s="42">
        <v>338.01</v>
      </c>
      <c r="AJ126" s="42">
        <f>339.574+0.228</f>
        <v>339.80200000000002</v>
      </c>
      <c r="AK126" s="74">
        <f t="shared" si="192"/>
        <v>344.89700000000005</v>
      </c>
      <c r="AL126" s="339">
        <f>1346.428+3.331</f>
        <v>1349.759</v>
      </c>
      <c r="AM126" s="42">
        <f>AQ126/4</f>
        <v>338.91275000000002</v>
      </c>
      <c r="AN126" s="42">
        <v>327.66399999999999</v>
      </c>
      <c r="AO126" s="42">
        <v>338.78899999999999</v>
      </c>
      <c r="AP126" s="42">
        <f>AVERAGE(AN126:AO126)</f>
        <v>333.22649999999999</v>
      </c>
      <c r="AQ126" s="404">
        <f>1354.851+0.8</f>
        <v>1355.6510000000001</v>
      </c>
      <c r="AR126" s="405">
        <f>DEp!O25</f>
        <v>1354.8510000000001</v>
      </c>
      <c r="AS126" s="405">
        <f>DEp!O25</f>
        <v>1354.8510000000001</v>
      </c>
      <c r="AT126" s="404">
        <v>1379.75</v>
      </c>
      <c r="AU126" s="404">
        <v>349.49400000000003</v>
      </c>
      <c r="AV126" s="404">
        <v>348.69499999999999</v>
      </c>
      <c r="AW126" s="334">
        <v>357.24700000000001</v>
      </c>
      <c r="AX126" s="334">
        <f>AVERAGE(AU126:AW126)</f>
        <v>351.81200000000007</v>
      </c>
      <c r="AY126" s="405">
        <v>1414.9680000000001</v>
      </c>
      <c r="AZ126" s="631">
        <v>344.33199999999999</v>
      </c>
      <c r="BA126" s="631">
        <v>348.57100000000003</v>
      </c>
      <c r="BB126" s="631">
        <v>360.23399999999998</v>
      </c>
      <c r="BC126" s="684">
        <f t="shared" si="191"/>
        <v>376.24199999999996</v>
      </c>
      <c r="BD126" s="405">
        <v>1429.3789999999999</v>
      </c>
      <c r="BE126" s="631">
        <f>360.614+3.229</f>
        <v>363.84299999999996</v>
      </c>
      <c r="BF126" s="631">
        <f>366.395+3.229</f>
        <v>369.62399999999997</v>
      </c>
      <c r="BG126" s="631">
        <v>366.80799999999999</v>
      </c>
      <c r="BH126" s="684">
        <f t="shared" si="193"/>
        <v>375.39200000000005</v>
      </c>
      <c r="BI126" s="405">
        <v>1475.6669999999999</v>
      </c>
      <c r="BJ126" s="686">
        <v>394.69499999999999</v>
      </c>
      <c r="BK126" s="631">
        <v>413.04</v>
      </c>
      <c r="BL126" s="631">
        <v>420.60899999999998</v>
      </c>
      <c r="BM126" s="631">
        <f t="shared" si="201"/>
        <v>420.60899999999998</v>
      </c>
      <c r="BN126" s="405">
        <f>DEp!T25</f>
        <v>1674.180643594221</v>
      </c>
      <c r="BO126" s="405">
        <f>BM126</f>
        <v>420.60899999999998</v>
      </c>
      <c r="BP126" s="668">
        <v>439.28199999999998</v>
      </c>
      <c r="BQ126" s="668">
        <f>BP126</f>
        <v>439.28199999999998</v>
      </c>
      <c r="BR126" s="668">
        <f>DEp!V25</f>
        <v>1669.4537863866228</v>
      </c>
      <c r="BS126" s="405">
        <f>DEp!W25</f>
        <v>1702.8514794258788</v>
      </c>
      <c r="BT126" s="405">
        <f>DEp!X25</f>
        <v>1736.9172987166305</v>
      </c>
      <c r="BU126" s="405">
        <f>DEp!Y25</f>
        <v>1771.6646102326124</v>
      </c>
      <c r="BV126" s="405">
        <f>DEp!Z25</f>
        <v>1807.1070473360246</v>
      </c>
      <c r="BW126" s="405">
        <f>DEp!AA25</f>
        <v>1843.2585161266843</v>
      </c>
      <c r="BX126" s="405">
        <f>DEp!AB25</f>
        <v>1880.133200898184</v>
      </c>
      <c r="BY126" s="405">
        <f>DEp!AC25</f>
        <v>1917.745569703204</v>
      </c>
      <c r="BZ126" s="405">
        <f>DEp!AD25</f>
        <v>1956.1103800301598</v>
      </c>
      <c r="CA126" s="405">
        <f>DEp!AE25</f>
        <v>1995.2426845934078</v>
      </c>
      <c r="CB126" s="405">
        <f>DEp!AF25</f>
        <v>0</v>
      </c>
      <c r="CC126" s="269"/>
      <c r="CD126" s="269"/>
      <c r="CE126" s="269"/>
      <c r="CF126" s="269"/>
      <c r="CG126" s="269"/>
      <c r="CH126" s="269"/>
      <c r="CI126" s="269"/>
      <c r="CJ126" s="269"/>
      <c r="CK126" s="269"/>
      <c r="CL126" s="269"/>
    </row>
    <row r="127" spans="1:90">
      <c r="A127" s="73" t="s">
        <v>202</v>
      </c>
      <c r="B127" s="73"/>
      <c r="C127" s="36">
        <v>1.2150000000000001</v>
      </c>
      <c r="D127" s="36">
        <v>6.577</v>
      </c>
      <c r="E127" s="36">
        <v>21.768999999999998</v>
      </c>
      <c r="F127" s="36">
        <v>38.454999999999998</v>
      </c>
      <c r="G127" s="12">
        <v>2.367</v>
      </c>
      <c r="H127" s="402">
        <f>DEp!H72</f>
        <v>3.6429999999999998</v>
      </c>
      <c r="I127" s="403">
        <v>3.7160000000000002</v>
      </c>
      <c r="J127" s="403">
        <v>2.6539999999999999</v>
      </c>
      <c r="K127" s="142">
        <f t="shared" si="188"/>
        <v>2.6550000000000002</v>
      </c>
      <c r="L127" s="142">
        <f t="shared" si="189"/>
        <v>9.0250000000000004</v>
      </c>
      <c r="M127" s="402">
        <v>9.0250000000000004</v>
      </c>
      <c r="N127" s="42">
        <v>1.714</v>
      </c>
      <c r="O127" s="42">
        <v>1.714</v>
      </c>
      <c r="P127" s="42">
        <f>5.263-O127-N127</f>
        <v>1.835</v>
      </c>
      <c r="Q127" s="42">
        <f>+R127-P127-O127-N127</f>
        <v>1.6600000000000001</v>
      </c>
      <c r="R127" s="402">
        <f>DEp!J80</f>
        <v>6.923</v>
      </c>
      <c r="S127" s="42">
        <v>1.593</v>
      </c>
      <c r="T127" s="42"/>
      <c r="U127" s="42"/>
      <c r="V127" s="42"/>
      <c r="W127" s="402">
        <f>DEp!K80</f>
        <v>11.311</v>
      </c>
      <c r="X127" s="42">
        <v>3.5409999999999999</v>
      </c>
      <c r="Y127" s="42">
        <v>3.0609999999999999</v>
      </c>
      <c r="Z127" s="42">
        <v>3.3010000000000002</v>
      </c>
      <c r="AA127" s="88">
        <f t="shared" si="195"/>
        <v>3.2999999999999994</v>
      </c>
      <c r="AB127" s="402">
        <f>DEp!L80</f>
        <v>13.202999999999999</v>
      </c>
      <c r="AC127" s="42">
        <v>3.2530000000000001</v>
      </c>
      <c r="AD127" s="42">
        <v>3.2530000000000001</v>
      </c>
      <c r="AE127" s="42">
        <v>3.7930000000000001</v>
      </c>
      <c r="AF127" s="42">
        <f>+AE127</f>
        <v>3.7930000000000001</v>
      </c>
      <c r="AG127" s="402">
        <f t="shared" si="190"/>
        <v>14.091999999999999</v>
      </c>
      <c r="AH127" s="42"/>
      <c r="AI127" s="42"/>
      <c r="AJ127" s="42"/>
      <c r="AK127" s="42">
        <f>+AJ127</f>
        <v>0</v>
      </c>
      <c r="AL127" s="404"/>
      <c r="AM127" s="42">
        <f>+AL127</f>
        <v>0</v>
      </c>
      <c r="AN127" s="42"/>
      <c r="AO127" s="42"/>
      <c r="AP127" s="42"/>
      <c r="AQ127" s="404"/>
      <c r="AR127" s="405"/>
      <c r="AS127" s="405"/>
      <c r="AT127" s="404"/>
      <c r="AU127" s="404"/>
      <c r="AV127" s="404"/>
      <c r="AW127" s="404"/>
      <c r="AX127" s="404"/>
      <c r="AY127" s="405"/>
      <c r="AZ127" s="685"/>
      <c r="BA127" s="685"/>
      <c r="BB127" s="685"/>
      <c r="BC127" s="685"/>
      <c r="BD127" s="405">
        <v>12.916</v>
      </c>
      <c r="BE127" s="685"/>
      <c r="BF127" s="685"/>
      <c r="BG127" s="685"/>
      <c r="BH127" s="684">
        <f t="shared" si="193"/>
        <v>12.916</v>
      </c>
      <c r="BI127" s="405">
        <v>12.916</v>
      </c>
      <c r="BJ127" s="685"/>
      <c r="BK127" s="685"/>
      <c r="BL127" s="685"/>
      <c r="BM127" s="685"/>
      <c r="BN127" s="405">
        <v>12.916</v>
      </c>
      <c r="BO127" s="405"/>
      <c r="BP127" s="668">
        <v>3.2290000000000001</v>
      </c>
      <c r="BQ127" s="668">
        <f>BP127</f>
        <v>3.2290000000000001</v>
      </c>
      <c r="BR127" s="668"/>
      <c r="BS127" s="405"/>
      <c r="BT127" s="405"/>
      <c r="BU127" s="405"/>
      <c r="BV127" s="405"/>
      <c r="BW127" s="405"/>
      <c r="BX127" s="405"/>
      <c r="BY127" s="405"/>
      <c r="BZ127" s="405"/>
      <c r="CA127" s="405"/>
      <c r="CB127" s="405"/>
      <c r="CC127" s="269"/>
      <c r="CD127" s="269"/>
      <c r="CE127" s="269"/>
      <c r="CF127" s="269"/>
      <c r="CG127" s="269"/>
      <c r="CH127" s="269"/>
      <c r="CI127" s="269"/>
      <c r="CJ127" s="269"/>
      <c r="CK127" s="269"/>
      <c r="CL127" s="269"/>
    </row>
    <row r="128" spans="1:90">
      <c r="A128" s="73" t="s">
        <v>203</v>
      </c>
      <c r="B128" s="73"/>
      <c r="C128" s="36">
        <v>20.57</v>
      </c>
      <c r="D128" s="36">
        <v>25.42</v>
      </c>
      <c r="E128" s="36">
        <v>64.2</v>
      </c>
      <c r="F128" s="36">
        <v>99.981999999999999</v>
      </c>
      <c r="G128" s="36">
        <v>60.137</v>
      </c>
      <c r="H128" s="131">
        <f>22.804+4.599+4.404+2.07+1.109+2.495+1.355+12.707</f>
        <v>51.542999999999992</v>
      </c>
      <c r="I128" s="132">
        <f>I129-SUM(I119:I127)</f>
        <v>29.206000000000131</v>
      </c>
      <c r="J128" s="132">
        <f>576.473-SUM(J119:J127)</f>
        <v>22.499549999999886</v>
      </c>
      <c r="K128" s="142">
        <f t="shared" si="188"/>
        <v>5.9014500000004091</v>
      </c>
      <c r="L128" s="142">
        <f t="shared" si="189"/>
        <v>57.607000000000426</v>
      </c>
      <c r="M128" s="131">
        <f>+M129-SUM(M119:M127)</f>
        <v>57.607000000000426</v>
      </c>
      <c r="N128" s="88">
        <f>576.659-SUM(N119:N127)</f>
        <v>13.754999999999995</v>
      </c>
      <c r="O128" s="88">
        <f>558.86-SUM(O119:O127)</f>
        <v>17.6099999999999</v>
      </c>
      <c r="P128" s="88">
        <f>Assumptions!P110*IS!P12</f>
        <v>14.623334430179307</v>
      </c>
      <c r="Q128" s="88">
        <f>Assumptions!Q110*IS!Q12</f>
        <v>17.504933167849448</v>
      </c>
      <c r="R128" s="286">
        <f>30.284+5.909+5.118+1.374+1.276+0.507+3.179+6.15+4.573+6.742</f>
        <v>65.112000000000009</v>
      </c>
      <c r="S128" s="88">
        <f>8.384+1.663+0.538+1.336+0.346+0.21+0.015+0.546+0.635+0.917</f>
        <v>14.590000000000002</v>
      </c>
      <c r="T128" s="88"/>
      <c r="U128" s="88"/>
      <c r="V128" s="88"/>
      <c r="W128" s="131">
        <f>31.652+10.45+5.724+1.831+1.581+0.548+3.93+3.091+4.139+4.896</f>
        <v>67.842000000000013</v>
      </c>
      <c r="X128" s="88">
        <f>9.597+3.692+0.286+1.525+0.608+0.191+0.098+0.775+0.975+1.485</f>
        <v>19.232000000000003</v>
      </c>
      <c r="Y128" s="88">
        <f>12.019+4.578+1.575+0.178+0.602+0.199+1.541+0.938+1.091+1.329</f>
        <v>24.050000000000004</v>
      </c>
      <c r="Z128" s="88">
        <f>10.267+3.99+1.731+0.373+0.114+0.076+0.4+0.949+2.999+2.322</f>
        <v>23.221</v>
      </c>
      <c r="AA128" s="88">
        <f t="shared" si="195"/>
        <v>27.076999999999988</v>
      </c>
      <c r="AB128" s="131">
        <f>43.678+16.884+6.98+1.774+1.492+0.884+4.678+3.879+5.68+7.651</f>
        <v>93.58</v>
      </c>
      <c r="AC128" s="88">
        <f>10.522+4.94+0.602+1.513+0.217+0.249+0.235+1.659+1.077+2.528</f>
        <v>23.541999999999994</v>
      </c>
      <c r="AD128" s="88">
        <f>12.152+5.519+1.78+0.46+0.397+0.087+0.582+0.951+0.663+1.732</f>
        <v>24.323</v>
      </c>
      <c r="AE128" s="88">
        <f>10.799+1.049+1.398+0.493+0.104+0.039+1.755+0.939+0.871+2.152</f>
        <v>19.598999999999997</v>
      </c>
      <c r="AF128" s="88">
        <f>+AF110*IS!AF12</f>
        <v>24.277229999999996</v>
      </c>
      <c r="AG128" s="131">
        <f t="shared" si="190"/>
        <v>91.741230000000002</v>
      </c>
      <c r="AH128" s="88">
        <f>21.212+6.461+1.443+3.571+2.114+1.162+0.373+1.142+1.741+3.938</f>
        <v>43.157000000000004</v>
      </c>
      <c r="AI128" s="88">
        <f>2514.454-SUM(AI119:AI126)</f>
        <v>50.969000000000506</v>
      </c>
      <c r="AJ128" s="88">
        <f>17.023+4.009+3.442+0.717+0.889+0.136+1.906+2.094+1.927+5.258</f>
        <v>37.401000000000003</v>
      </c>
      <c r="AK128" s="74">
        <f>AL128-SUM(AH128:AJ128)</f>
        <v>48.778999999999968</v>
      </c>
      <c r="AL128" s="334">
        <f>10534.272-SUM(AL119:AL127)</f>
        <v>180.30600000000049</v>
      </c>
      <c r="AM128" s="88">
        <f>3319.872-SUM(AM119:AM126)</f>
        <v>26.379249999999956</v>
      </c>
      <c r="AN128" s="88">
        <f>4050.58-SUM(AN119:AN127)</f>
        <v>50.390999999999622</v>
      </c>
      <c r="AO128" s="88">
        <f>2367.857-SUM(AO119:AO127)</f>
        <v>34.931000000000495</v>
      </c>
      <c r="AP128" s="88">
        <f>AVERAGE(AM128:AO128)</f>
        <v>37.233750000000022</v>
      </c>
      <c r="AQ128" s="334">
        <f>12808.565-SUM(AQ119:AQ127)</f>
        <v>195.28099999999904</v>
      </c>
      <c r="AR128" s="410" t="e">
        <f>Assumptions!AR110*IS!#REF!</f>
        <v>#REF!</v>
      </c>
      <c r="AS128" s="410" t="e">
        <f>Assumptions!AS110*IS!#REF!</f>
        <v>#REF!</v>
      </c>
      <c r="AT128" s="334">
        <v>300.077</v>
      </c>
      <c r="AU128" s="334">
        <f>3304.363-SUM(AU119:AU126)</f>
        <v>69.322999999999411</v>
      </c>
      <c r="AV128" s="334">
        <f>3756.112-SUM(AV119:AV126)</f>
        <v>76.032000000000153</v>
      </c>
      <c r="AW128" s="334">
        <f>3481.999-SUM( AW119:AW126)</f>
        <v>70.148999999999887</v>
      </c>
      <c r="AX128" s="334">
        <f>AVERAGE(AU128:AW128)</f>
        <v>71.834666666666479</v>
      </c>
      <c r="AY128" s="410">
        <f>13909.967-SUM(AY119:AY126)</f>
        <v>275.49300000000039</v>
      </c>
      <c r="AZ128" s="631">
        <f>3806.571-SUM(AZ119:AZ126)</f>
        <v>68.660999999999603</v>
      </c>
      <c r="BA128" s="631">
        <f>4144.821-SUM(BA119:BA126)</f>
        <v>84.514999999999873</v>
      </c>
      <c r="BB128" s="631">
        <f>3580.655-SUM(BB119:BB126)</f>
        <v>65.15099999999984</v>
      </c>
      <c r="BC128" s="684">
        <f>BD128-SUM(AZ128:BB128)</f>
        <v>72.31800000000112</v>
      </c>
      <c r="BD128" s="410">
        <f>15582.346-SUM(BD119:BD127)</f>
        <v>290.64500000000044</v>
      </c>
      <c r="BE128" s="631">
        <f>4023.97-SUM(BE119:BE126)</f>
        <v>78.195999999999913</v>
      </c>
      <c r="BF128" s="631">
        <f>3966.16-SUM(BF119:BF126)</f>
        <v>81.097999999999502</v>
      </c>
      <c r="BG128" s="631">
        <f>3681.343-SUM(BG119:BG126)</f>
        <v>62.609000000000378</v>
      </c>
      <c r="BH128" s="684">
        <f t="shared" si="193"/>
        <v>88.70200000000159</v>
      </c>
      <c r="BI128" s="410">
        <f>16210.473-SUM(BI119:BI127)</f>
        <v>310.60500000000138</v>
      </c>
      <c r="BJ128" s="686">
        <f>3740.761-SUM(BJ119:BJ126)</f>
        <v>83.208000000000084</v>
      </c>
      <c r="BK128" s="631">
        <f>4576.84-SUM(BK119:BK126)</f>
        <v>138.33399999999983</v>
      </c>
      <c r="BL128" s="631">
        <f>4508.719-SUM(BL119:BL126)</f>
        <v>115.81899999999951</v>
      </c>
      <c r="BM128" s="631">
        <f t="shared" ref="BM128" si="202">BL128*1.025</f>
        <v>118.71447499999948</v>
      </c>
      <c r="BN128" s="410">
        <f>17066.631-SUM(BN119:BN127)</f>
        <v>471.80035640577989</v>
      </c>
      <c r="BO128" s="410">
        <f>BM128*1.05</f>
        <v>124.65019874999946</v>
      </c>
      <c r="BP128" s="668">
        <f>3517.124-(SUM(BP119:BP127))</f>
        <v>102.48700000000008</v>
      </c>
      <c r="BQ128" s="668">
        <f>BP128*1.05</f>
        <v>107.61135000000009</v>
      </c>
      <c r="BR128" s="668">
        <f>Assumptions!BR110*IS!BU12</f>
        <v>437.21939274247768</v>
      </c>
      <c r="BS128" s="410">
        <f>Assumptions!BS110*IS!BV12</f>
        <v>468.94752758224536</v>
      </c>
      <c r="BT128" s="410">
        <f>Assumptions!BT110*IS!BW12</f>
        <v>490.73634370452669</v>
      </c>
      <c r="BU128" s="410">
        <f>Assumptions!BU110*IS!BX12</f>
        <v>512.22111750821455</v>
      </c>
      <c r="BV128" s="410">
        <f>Assumptions!BV110*IS!BY12</f>
        <v>534.61913020895827</v>
      </c>
      <c r="BW128" s="410">
        <f>Assumptions!BW110*IS!BZ12</f>
        <v>557.96951666824498</v>
      </c>
      <c r="BX128" s="410">
        <f>Assumptions!BX110*IS!CA12</f>
        <v>582.31310218180272</v>
      </c>
      <c r="BY128" s="410">
        <f>Assumptions!BY110*IS!CB12</f>
        <v>607.69247603542999</v>
      </c>
      <c r="BZ128" s="410">
        <f>Assumptions!BZ110*IS!CC12</f>
        <v>634.15206828116845</v>
      </c>
      <c r="CA128" s="410">
        <f>Assumptions!CA110*IS!CD12</f>
        <v>661.73822987541098</v>
      </c>
      <c r="CB128" s="410">
        <f>Assumptions!CB110*IS!CE12</f>
        <v>690.49931632677067</v>
      </c>
      <c r="CC128" s="269"/>
      <c r="CD128" s="269"/>
      <c r="CE128" s="269"/>
      <c r="CF128" s="269"/>
      <c r="CG128" s="269"/>
      <c r="CH128" s="269"/>
      <c r="CI128" s="269"/>
      <c r="CJ128" s="269"/>
      <c r="CK128" s="269"/>
      <c r="CL128" s="269"/>
    </row>
    <row r="129" spans="1:90">
      <c r="A129" s="73" t="s">
        <v>204</v>
      </c>
      <c r="B129" s="73"/>
      <c r="C129" s="36">
        <f t="shared" ref="C129:H129" si="203">SUM(C119:C128)</f>
        <v>1068.5769999999998</v>
      </c>
      <c r="D129" s="36">
        <f t="shared" si="203"/>
        <v>1184.258</v>
      </c>
      <c r="E129" s="36">
        <f t="shared" si="203"/>
        <v>2275.1419999999994</v>
      </c>
      <c r="F129" s="36">
        <f t="shared" si="203"/>
        <v>2452.2679999999996</v>
      </c>
      <c r="G129" s="24">
        <f t="shared" si="203"/>
        <v>2529.9950000000003</v>
      </c>
      <c r="H129" s="131">
        <f t="shared" si="203"/>
        <v>2023.8609999999999</v>
      </c>
      <c r="I129" s="132">
        <v>1145.5940000000001</v>
      </c>
      <c r="J129" s="132">
        <f>SUM(J119:J128)</f>
        <v>576.47299999999996</v>
      </c>
      <c r="K129" s="142">
        <f t="shared" si="188"/>
        <v>607.34400000000005</v>
      </c>
      <c r="L129" s="142">
        <f t="shared" si="189"/>
        <v>2329.4110000000001</v>
      </c>
      <c r="M129" s="131">
        <v>2329.4110000000001</v>
      </c>
      <c r="N129" s="88">
        <f t="shared" ref="N129:S129" si="204">SUM(N119:N128)</f>
        <v>576.65899999999999</v>
      </c>
      <c r="O129" s="88">
        <f t="shared" si="204"/>
        <v>558.86</v>
      </c>
      <c r="P129" s="88">
        <f t="shared" si="204"/>
        <v>624.70035142408403</v>
      </c>
      <c r="Q129" s="88">
        <f t="shared" si="204"/>
        <v>754.48458334106203</v>
      </c>
      <c r="R129" s="133">
        <f t="shared" si="204"/>
        <v>2614.1130000000003</v>
      </c>
      <c r="S129" s="88">
        <f t="shared" si="204"/>
        <v>775.73299999999995</v>
      </c>
      <c r="T129" s="88"/>
      <c r="U129" s="88"/>
      <c r="V129" s="88"/>
      <c r="W129" s="131">
        <f t="shared" ref="W129:BI129" si="205">SUM(W119:W128)</f>
        <v>3177.348</v>
      </c>
      <c r="X129" s="88">
        <f t="shared" si="205"/>
        <v>960.10200000000009</v>
      </c>
      <c r="Y129" s="88">
        <f t="shared" si="205"/>
        <v>1058.6949999999997</v>
      </c>
      <c r="Z129" s="88">
        <f t="shared" si="205"/>
        <v>1007.025</v>
      </c>
      <c r="AA129" s="88">
        <f t="shared" si="205"/>
        <v>1130.0149999999999</v>
      </c>
      <c r="AB129" s="131">
        <f t="shared" si="205"/>
        <v>4155.8369999999995</v>
      </c>
      <c r="AC129" s="88">
        <f t="shared" si="205"/>
        <v>989.96900000000005</v>
      </c>
      <c r="AD129" s="134">
        <f t="shared" si="205"/>
        <v>1083.4550000000002</v>
      </c>
      <c r="AE129" s="88">
        <f t="shared" ref="AE129:AM129" si="206">SUM(AE119:AE128)</f>
        <v>1044.46</v>
      </c>
      <c r="AF129" s="88">
        <f t="shared" si="206"/>
        <v>1246.6615600457469</v>
      </c>
      <c r="AG129" s="131">
        <f t="shared" si="206"/>
        <v>4364.5455600457453</v>
      </c>
      <c r="AH129" s="88">
        <f t="shared" si="206"/>
        <v>2133.4660000000003</v>
      </c>
      <c r="AI129" s="88">
        <f t="shared" si="206"/>
        <v>2514.4540000000002</v>
      </c>
      <c r="AJ129" s="88">
        <f t="shared" si="206"/>
        <v>2666.3239999999996</v>
      </c>
      <c r="AK129" s="88">
        <f t="shared" si="206"/>
        <v>3220.0280000000007</v>
      </c>
      <c r="AL129" s="334">
        <f t="shared" si="205"/>
        <v>10534.272000000001</v>
      </c>
      <c r="AM129" s="88">
        <f t="shared" si="206"/>
        <v>3319.8719999999998</v>
      </c>
      <c r="AN129" s="88">
        <f t="shared" si="205"/>
        <v>4050.58</v>
      </c>
      <c r="AO129" s="88">
        <f t="shared" si="205"/>
        <v>2367.857</v>
      </c>
      <c r="AP129" s="88">
        <f t="shared" si="205"/>
        <v>3221.9378465576897</v>
      </c>
      <c r="AQ129" s="334">
        <f t="shared" si="205"/>
        <v>12808.565000000001</v>
      </c>
      <c r="AR129" s="410" t="e">
        <f t="shared" ref="AR129:AX129" si="207">SUM(AR119:AR128)</f>
        <v>#REF!</v>
      </c>
      <c r="AS129" s="410" t="e">
        <f t="shared" si="207"/>
        <v>#REF!</v>
      </c>
      <c r="AT129" s="334">
        <f t="shared" si="207"/>
        <v>13695.17</v>
      </c>
      <c r="AU129" s="334">
        <f t="shared" si="207"/>
        <v>3304.3629999999998</v>
      </c>
      <c r="AV129" s="334">
        <f t="shared" si="207"/>
        <v>3756.1120000000001</v>
      </c>
      <c r="AW129" s="334">
        <f t="shared" si="207"/>
        <v>3481.9989999999998</v>
      </c>
      <c r="AX129" s="334">
        <f t="shared" si="207"/>
        <v>4043.0317905083702</v>
      </c>
      <c r="AY129" s="410">
        <f t="shared" si="205"/>
        <v>13909.967000000001</v>
      </c>
      <c r="AZ129" s="631">
        <f t="shared" si="205"/>
        <v>3806.5709999999999</v>
      </c>
      <c r="BA129" s="631">
        <f>SUM(BA119:BA128)</f>
        <v>4144.8209999999999</v>
      </c>
      <c r="BB129" s="631">
        <f>SUM(BB119:BB128)</f>
        <v>3580.6550000000002</v>
      </c>
      <c r="BC129" s="631">
        <f>SUM(BC119:BC128)</f>
        <v>4037.3830000000016</v>
      </c>
      <c r="BD129" s="410">
        <f t="shared" si="205"/>
        <v>15582.346</v>
      </c>
      <c r="BE129" s="631">
        <f t="shared" si="205"/>
        <v>4023.97</v>
      </c>
      <c r="BF129" s="631">
        <f t="shared" si="205"/>
        <v>3966.16</v>
      </c>
      <c r="BG129" s="631">
        <f t="shared" si="205"/>
        <v>3681.3429999999998</v>
      </c>
      <c r="BH129" s="631">
        <f t="shared" si="205"/>
        <v>4539.0000000000018</v>
      </c>
      <c r="BI129" s="410">
        <f t="shared" si="205"/>
        <v>16210.473</v>
      </c>
      <c r="BJ129" s="631">
        <f t="shared" ref="BJ129:BK129" si="208">SUM(BJ119:BJ128)</f>
        <v>3740.761</v>
      </c>
      <c r="BK129" s="631">
        <f t="shared" si="208"/>
        <v>4576.84</v>
      </c>
      <c r="BL129" s="631">
        <f t="shared" ref="BL129:BQ129" si="209">SUM(BL119:BL128)</f>
        <v>4508.7190000000001</v>
      </c>
      <c r="BM129" s="631">
        <f t="shared" si="209"/>
        <v>4274.7686952294316</v>
      </c>
      <c r="BN129" s="410">
        <f>SUM(BN119:BN128)</f>
        <v>17066.631000000001</v>
      </c>
      <c r="BO129" s="631">
        <f t="shared" si="209"/>
        <v>3948.6490910517364</v>
      </c>
      <c r="BP129" s="668">
        <f t="shared" si="209"/>
        <v>3517.1239999999998</v>
      </c>
      <c r="BQ129" s="668">
        <f t="shared" si="209"/>
        <v>4277.8328881729594</v>
      </c>
      <c r="BR129" s="668">
        <f t="shared" ref="BR129:CB129" si="210">SUM(BR119:BR128)</f>
        <v>17573.784826521918</v>
      </c>
      <c r="BS129" s="410">
        <f t="shared" si="210"/>
        <v>18959.272298121767</v>
      </c>
      <c r="BT129" s="410">
        <f t="shared" si="210"/>
        <v>20080.84477966114</v>
      </c>
      <c r="BU129" s="410">
        <f t="shared" si="210"/>
        <v>21297.596060368658</v>
      </c>
      <c r="BV129" s="410">
        <f t="shared" si="210"/>
        <v>22620.612793289882</v>
      </c>
      <c r="BW129" s="410">
        <f t="shared" si="210"/>
        <v>23925.143035582158</v>
      </c>
      <c r="BX129" s="410">
        <f t="shared" si="210"/>
        <v>25253.726274302815</v>
      </c>
      <c r="BY129" s="410">
        <f t="shared" si="210"/>
        <v>26593.405449610662</v>
      </c>
      <c r="BZ129" s="410">
        <f t="shared" si="210"/>
        <v>27930.488968208425</v>
      </c>
      <c r="CA129" s="410">
        <f t="shared" si="210"/>
        <v>29251.113696790104</v>
      </c>
      <c r="CB129" s="410">
        <f t="shared" si="210"/>
        <v>28392.374697587456</v>
      </c>
      <c r="CC129" s="269"/>
      <c r="CD129" s="269"/>
      <c r="CE129" s="269"/>
      <c r="CF129" s="269"/>
      <c r="CG129" s="269"/>
      <c r="CH129" s="269"/>
      <c r="CI129" s="269"/>
      <c r="CJ129" s="269"/>
      <c r="CK129" s="269"/>
      <c r="CL129" s="269"/>
    </row>
    <row r="130" spans="1:90">
      <c r="A130" s="73"/>
      <c r="B130" s="73"/>
      <c r="C130" s="36"/>
      <c r="D130" s="36"/>
      <c r="E130" s="36"/>
      <c r="F130" s="131"/>
      <c r="G130" s="1"/>
      <c r="H130" s="397"/>
      <c r="I130" s="398"/>
      <c r="J130" s="398"/>
      <c r="K130" s="398"/>
      <c r="L130" s="142">
        <f t="shared" si="189"/>
        <v>0</v>
      </c>
      <c r="M130" s="1"/>
      <c r="N130" s="40"/>
      <c r="O130" s="40"/>
      <c r="P130" s="42"/>
      <c r="Q130" s="40"/>
      <c r="R130" s="1"/>
      <c r="S130" s="40"/>
      <c r="T130" s="40"/>
      <c r="U130" s="42"/>
      <c r="V130" s="40"/>
      <c r="W130" s="1"/>
      <c r="X130" s="40"/>
      <c r="Y130" s="40"/>
      <c r="Z130" s="42"/>
      <c r="AA130" s="40"/>
      <c r="AB130" s="1"/>
      <c r="AC130" s="40"/>
      <c r="AD130" s="40"/>
      <c r="AE130" s="40"/>
      <c r="AF130" s="40"/>
      <c r="AG130" s="1"/>
      <c r="AH130" s="188">
        <f>AH128/IS!AH12</f>
        <v>1.9325330705096719E-2</v>
      </c>
      <c r="AI130" s="188">
        <f>AI128/IS!AI12</f>
        <v>1.9682752750889741E-2</v>
      </c>
      <c r="AJ130" s="188">
        <f>AJ128/IS!AJ12</f>
        <v>1.0640673769932593E-2</v>
      </c>
      <c r="AK130" s="188">
        <f>AK128/IS!AK12</f>
        <v>1.1873055497814462E-2</v>
      </c>
      <c r="AL130" s="260">
        <f>AL128/IS!AL12</f>
        <v>1.4487068772961241E-2</v>
      </c>
      <c r="AM130" s="188">
        <f>AM128/IS!AM12</f>
        <v>6.0817668150186461E-3</v>
      </c>
      <c r="AN130" s="188">
        <f>AN128/IS!AQ12</f>
        <v>2.7935693158805466E-3</v>
      </c>
      <c r="AO130" s="188">
        <f>AO128/IS!AU12</f>
        <v>2.071165267158853E-3</v>
      </c>
      <c r="AP130" s="188">
        <f>AP128/IS!AZ12</f>
        <v>2.0042715806764841E-3</v>
      </c>
      <c r="AR130" s="4"/>
      <c r="AS130" s="4"/>
      <c r="AY130" s="4"/>
      <c r="BD130" s="4"/>
      <c r="BE130" s="640"/>
      <c r="BF130" s="640"/>
      <c r="BG130" s="640"/>
      <c r="BH130" s="640"/>
      <c r="BI130" s="4"/>
      <c r="BJ130" s="640"/>
      <c r="BK130" s="640"/>
      <c r="BL130" s="640"/>
      <c r="BM130" s="640"/>
      <c r="BN130" s="4"/>
      <c r="BO130" s="4"/>
      <c r="BP130" s="668"/>
      <c r="BQ130" s="668"/>
      <c r="BR130" s="668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269"/>
      <c r="CD130" s="269"/>
      <c r="CE130" s="269"/>
      <c r="CF130" s="269"/>
      <c r="CG130" s="269"/>
      <c r="CH130" s="269"/>
      <c r="CI130" s="269"/>
      <c r="CJ130" s="269"/>
      <c r="CK130" s="269"/>
      <c r="CL130" s="269"/>
    </row>
    <row r="131" spans="1:90">
      <c r="A131" s="73" t="s">
        <v>205</v>
      </c>
      <c r="B131" s="73"/>
      <c r="C131" s="36">
        <v>7.3570000000000002</v>
      </c>
      <c r="D131" s="36">
        <f t="shared" ref="D131:K131" si="211">-C133</f>
        <v>2.06</v>
      </c>
      <c r="E131" s="36">
        <f t="shared" si="211"/>
        <v>85.313999999999993</v>
      </c>
      <c r="F131" s="36">
        <f t="shared" si="211"/>
        <v>40.630000000000003</v>
      </c>
      <c r="G131" s="36">
        <f t="shared" si="211"/>
        <v>12.243</v>
      </c>
      <c r="H131" s="131">
        <f t="shared" si="211"/>
        <v>25.466000000000001</v>
      </c>
      <c r="I131" s="132">
        <f t="shared" si="211"/>
        <v>72.66</v>
      </c>
      <c r="J131" s="132">
        <f t="shared" si="211"/>
        <v>25.881</v>
      </c>
      <c r="K131" s="132">
        <f t="shared" si="211"/>
        <v>12.148</v>
      </c>
      <c r="L131" s="142">
        <f t="shared" si="189"/>
        <v>110.68899999999999</v>
      </c>
      <c r="M131" s="131">
        <f>-H133</f>
        <v>72.66</v>
      </c>
      <c r="N131" s="88">
        <f>-M133</f>
        <v>88.602999999999994</v>
      </c>
      <c r="O131" s="88">
        <f>-N133</f>
        <v>97.433000000000007</v>
      </c>
      <c r="P131" s="88">
        <f>-O133</f>
        <v>113.866</v>
      </c>
      <c r="Q131" s="88">
        <f>-P133</f>
        <v>113.866</v>
      </c>
      <c r="R131" s="131">
        <f>-M133</f>
        <v>88.602999999999994</v>
      </c>
      <c r="S131" s="88">
        <f>-R133</f>
        <v>210.983</v>
      </c>
      <c r="T131" s="88"/>
      <c r="U131" s="88"/>
      <c r="V131" s="88"/>
      <c r="W131" s="131">
        <f>-R133</f>
        <v>210.983</v>
      </c>
      <c r="X131" s="88">
        <f>-W133</f>
        <v>50.204999999999998</v>
      </c>
      <c r="Y131" s="88">
        <f>-X133</f>
        <v>24.672000000000001</v>
      </c>
      <c r="Z131" s="88">
        <f>-Y133</f>
        <v>152.80000000000001</v>
      </c>
      <c r="AA131" s="88">
        <f>-Z133</f>
        <v>200.78100000000001</v>
      </c>
      <c r="AB131" s="131">
        <f>-W133</f>
        <v>50.204999999999998</v>
      </c>
      <c r="AC131" s="88">
        <f>-AB133</f>
        <v>161.989</v>
      </c>
      <c r="AD131" s="88">
        <f>-AC133</f>
        <v>114.751</v>
      </c>
      <c r="AE131" s="88">
        <f>-AD133</f>
        <v>146.232</v>
      </c>
      <c r="AF131" s="88">
        <f>-AE133</f>
        <v>96.581999999999994</v>
      </c>
      <c r="AG131" s="131">
        <f>-AB133</f>
        <v>161.989</v>
      </c>
      <c r="AH131" s="88">
        <v>142.68600000000001</v>
      </c>
      <c r="AI131" s="88">
        <f>-AH133</f>
        <v>370.72399999999999</v>
      </c>
      <c r="AJ131" s="88">
        <v>673.971</v>
      </c>
      <c r="AK131" s="88">
        <f>-AJ133</f>
        <v>214.267</v>
      </c>
      <c r="AL131" s="334">
        <v>142.68600000000001</v>
      </c>
      <c r="AM131" s="88">
        <f>-AL133</f>
        <v>118.292</v>
      </c>
      <c r="AN131" s="88">
        <f>-AM133</f>
        <v>320.51400000000001</v>
      </c>
      <c r="AO131" s="88">
        <f>-AN133</f>
        <v>1240.8009999999999</v>
      </c>
      <c r="AP131" s="88">
        <f>-AO133</f>
        <v>230.53</v>
      </c>
      <c r="AQ131" s="334">
        <f>-AL133</f>
        <v>118.292</v>
      </c>
      <c r="AR131" s="410">
        <f>-AP133</f>
        <v>230.53</v>
      </c>
      <c r="AS131" s="410">
        <f>-AP133</f>
        <v>230.53</v>
      </c>
      <c r="AT131" s="334">
        <f>-AQ133</f>
        <v>387.44400000000002</v>
      </c>
      <c r="AU131" s="334">
        <v>537.53899999999999</v>
      </c>
      <c r="AV131" s="334">
        <f>-AU133</f>
        <v>802.71699999999998</v>
      </c>
      <c r="AW131" s="334">
        <f>-AV133</f>
        <v>1030.47</v>
      </c>
      <c r="AX131" s="334">
        <f>-AW133</f>
        <v>901.26199999999994</v>
      </c>
      <c r="AY131" s="410">
        <f>-AT133</f>
        <v>537.53899999999999</v>
      </c>
      <c r="AZ131" s="631">
        <v>169.61199999999999</v>
      </c>
      <c r="BA131" s="631">
        <f>-AZ133</f>
        <v>443.00200000000001</v>
      </c>
      <c r="BB131" s="631">
        <v>962.54100000000005</v>
      </c>
      <c r="BC131" s="631">
        <f>-BB133</f>
        <v>962.54100000000005</v>
      </c>
      <c r="BD131" s="410">
        <f>-AY133</f>
        <v>169.61199999999999</v>
      </c>
      <c r="BE131" s="631">
        <f>-BD133</f>
        <v>322.04899999999998</v>
      </c>
      <c r="BF131" s="631">
        <v>647.37199999999996</v>
      </c>
      <c r="BG131" s="631">
        <f>-BF133</f>
        <v>1163.509</v>
      </c>
      <c r="BH131" s="631">
        <f>-BG133</f>
        <v>651.49</v>
      </c>
      <c r="BI131" s="410">
        <f>-BD133</f>
        <v>322.04899999999998</v>
      </c>
      <c r="BJ131" s="631">
        <f>-BI133</f>
        <v>856.58699999999999</v>
      </c>
      <c r="BK131" s="631">
        <f>-BJ133</f>
        <v>720.01499999999999</v>
      </c>
      <c r="BL131" s="631">
        <f>-BK133</f>
        <v>892.93899999999996</v>
      </c>
      <c r="BM131" s="631">
        <f>-BL133</f>
        <v>345.77499999999998</v>
      </c>
      <c r="BN131" s="410">
        <f>-BI133</f>
        <v>856.58699999999999</v>
      </c>
      <c r="BO131" s="410">
        <f>-BM133</f>
        <v>345.77499999999998</v>
      </c>
      <c r="BP131" s="668">
        <v>560.63400000000001</v>
      </c>
      <c r="BQ131" s="668">
        <f>BP133</f>
        <v>180.60599999999999</v>
      </c>
      <c r="BR131" s="668">
        <f>-BN133</f>
        <v>560.63400000000001</v>
      </c>
      <c r="BS131" s="410">
        <f t="shared" ref="BS131:CB131" si="212">-BR133</f>
        <v>560.63400000000001</v>
      </c>
      <c r="BT131" s="410">
        <f t="shared" si="212"/>
        <v>560.63400000000001</v>
      </c>
      <c r="BU131" s="410">
        <f t="shared" si="212"/>
        <v>560.63400000000001</v>
      </c>
      <c r="BV131" s="410">
        <f t="shared" si="212"/>
        <v>560.63400000000001</v>
      </c>
      <c r="BW131" s="410">
        <f t="shared" si="212"/>
        <v>560.63400000000001</v>
      </c>
      <c r="BX131" s="410">
        <f t="shared" si="212"/>
        <v>560.63400000000001</v>
      </c>
      <c r="BY131" s="410">
        <f t="shared" si="212"/>
        <v>560.63400000000001</v>
      </c>
      <c r="BZ131" s="410">
        <f t="shared" si="212"/>
        <v>560.63400000000001</v>
      </c>
      <c r="CA131" s="410">
        <f t="shared" si="212"/>
        <v>560.63400000000001</v>
      </c>
      <c r="CB131" s="410">
        <f t="shared" si="212"/>
        <v>560.63400000000001</v>
      </c>
      <c r="CC131" s="269"/>
      <c r="CD131" s="269"/>
      <c r="CE131" s="269"/>
      <c r="CF131" s="269"/>
      <c r="CG131" s="269"/>
      <c r="CH131" s="269"/>
      <c r="CI131" s="269"/>
      <c r="CJ131" s="269"/>
      <c r="CK131" s="269"/>
      <c r="CL131" s="269"/>
    </row>
    <row r="132" spans="1:90">
      <c r="A132" s="73" t="s">
        <v>206</v>
      </c>
      <c r="B132" s="73"/>
      <c r="C132" s="36">
        <v>0</v>
      </c>
      <c r="D132" s="36">
        <v>12.131</v>
      </c>
      <c r="E132" s="36">
        <v>0</v>
      </c>
      <c r="F132" s="36">
        <v>0</v>
      </c>
      <c r="G132" s="36">
        <v>0</v>
      </c>
      <c r="H132" s="131">
        <v>0</v>
      </c>
      <c r="I132" s="132">
        <v>0</v>
      </c>
      <c r="J132" s="132"/>
      <c r="K132" s="132"/>
      <c r="L132" s="142">
        <f t="shared" si="189"/>
        <v>0</v>
      </c>
      <c r="M132" s="131">
        <v>0</v>
      </c>
      <c r="N132" s="88">
        <v>0</v>
      </c>
      <c r="O132" s="88">
        <v>0</v>
      </c>
      <c r="P132" s="88">
        <v>0</v>
      </c>
      <c r="Q132" s="88">
        <v>0</v>
      </c>
      <c r="R132" s="131">
        <v>0</v>
      </c>
      <c r="S132" s="88"/>
      <c r="T132" s="88"/>
      <c r="U132" s="88"/>
      <c r="V132" s="88"/>
      <c r="W132" s="131">
        <v>0</v>
      </c>
      <c r="X132" s="88"/>
      <c r="Y132" s="88"/>
      <c r="Z132" s="88"/>
      <c r="AA132" s="88"/>
      <c r="AB132" s="131">
        <v>0</v>
      </c>
      <c r="AC132" s="88"/>
      <c r="AD132" s="88"/>
      <c r="AE132" s="88"/>
      <c r="AF132" s="88"/>
      <c r="AG132" s="131">
        <v>0</v>
      </c>
      <c r="AH132" s="75">
        <v>0.8</v>
      </c>
      <c r="AI132" s="88"/>
      <c r="AJ132" s="88"/>
      <c r="AK132" s="88"/>
      <c r="AL132" s="334">
        <v>0</v>
      </c>
      <c r="AM132" s="88"/>
      <c r="AN132" s="88"/>
      <c r="AO132" s="88"/>
      <c r="AP132" s="88"/>
      <c r="AQ132" s="334">
        <v>0</v>
      </c>
      <c r="AR132" s="410">
        <v>0</v>
      </c>
      <c r="AS132" s="410">
        <v>0</v>
      </c>
      <c r="AT132" s="334">
        <v>0</v>
      </c>
      <c r="AU132" s="334"/>
      <c r="AV132" s="334">
        <v>0</v>
      </c>
      <c r="AW132" s="334">
        <v>0</v>
      </c>
      <c r="AX132" s="334">
        <v>0</v>
      </c>
      <c r="AY132" s="410">
        <v>0</v>
      </c>
      <c r="AZ132" s="631">
        <v>0</v>
      </c>
      <c r="BA132" s="631">
        <v>0</v>
      </c>
      <c r="BB132" s="631">
        <v>0</v>
      </c>
      <c r="BC132" s="631">
        <v>0</v>
      </c>
      <c r="BD132" s="410">
        <v>0</v>
      </c>
      <c r="BE132" s="631">
        <v>0</v>
      </c>
      <c r="BF132" s="631">
        <v>0</v>
      </c>
      <c r="BG132" s="631">
        <v>0</v>
      </c>
      <c r="BH132" s="631">
        <v>0</v>
      </c>
      <c r="BI132" s="410">
        <v>0</v>
      </c>
      <c r="BJ132" s="631">
        <v>0</v>
      </c>
      <c r="BK132" s="631">
        <v>0</v>
      </c>
      <c r="BL132" s="631">
        <v>0</v>
      </c>
      <c r="BM132" s="631">
        <v>0</v>
      </c>
      <c r="BN132" s="410">
        <v>0</v>
      </c>
      <c r="BO132" s="410"/>
      <c r="BP132" s="668"/>
      <c r="BQ132" s="668"/>
      <c r="BR132" s="668">
        <v>0</v>
      </c>
      <c r="BS132" s="410">
        <v>0</v>
      </c>
      <c r="BT132" s="410">
        <v>0</v>
      </c>
      <c r="BU132" s="410">
        <v>0</v>
      </c>
      <c r="BV132" s="410">
        <v>0</v>
      </c>
      <c r="BW132" s="410">
        <v>0</v>
      </c>
      <c r="BX132" s="410">
        <v>0</v>
      </c>
      <c r="BY132" s="410">
        <v>0</v>
      </c>
      <c r="BZ132" s="410">
        <v>0</v>
      </c>
      <c r="CA132" s="410">
        <v>0</v>
      </c>
      <c r="CB132" s="410">
        <v>0</v>
      </c>
      <c r="CC132" s="269"/>
      <c r="CD132" s="269"/>
      <c r="CE132" s="269"/>
      <c r="CF132" s="269"/>
      <c r="CG132" s="269"/>
      <c r="CH132" s="269"/>
      <c r="CI132" s="269"/>
      <c r="CJ132" s="269"/>
      <c r="CK132" s="269"/>
      <c r="CL132" s="269"/>
    </row>
    <row r="133" spans="1:90">
      <c r="A133" s="73" t="s">
        <v>207</v>
      </c>
      <c r="B133" s="73"/>
      <c r="C133" s="36">
        <v>-2.06</v>
      </c>
      <c r="D133" s="36">
        <v>-85.313999999999993</v>
      </c>
      <c r="E133" s="36">
        <v>-40.630000000000003</v>
      </c>
      <c r="F133" s="36">
        <v>-12.243</v>
      </c>
      <c r="G133" s="36">
        <v>-25.466000000000001</v>
      </c>
      <c r="H133" s="131">
        <v>-72.66</v>
      </c>
      <c r="I133" s="132">
        <v>-25.881</v>
      </c>
      <c r="J133" s="132">
        <f>-(J131-13.733)</f>
        <v>-12.148</v>
      </c>
      <c r="K133" s="132">
        <f>+M133</f>
        <v>-88.602999999999994</v>
      </c>
      <c r="L133" s="142">
        <f t="shared" si="189"/>
        <v>-126.63199999999999</v>
      </c>
      <c r="M133" s="131">
        <v>-88.602999999999994</v>
      </c>
      <c r="N133" s="88">
        <v>-97.433000000000007</v>
      </c>
      <c r="O133" s="88">
        <v>-113.866</v>
      </c>
      <c r="P133" s="88">
        <f>-P131</f>
        <v>-113.866</v>
      </c>
      <c r="Q133" s="88">
        <f>-Q131</f>
        <v>-113.866</v>
      </c>
      <c r="R133" s="131">
        <v>-210.983</v>
      </c>
      <c r="S133" s="88">
        <v>-191.33799999999999</v>
      </c>
      <c r="T133" s="88"/>
      <c r="U133" s="88"/>
      <c r="V133" s="88"/>
      <c r="W133" s="131">
        <v>-50.204999999999998</v>
      </c>
      <c r="X133" s="88">
        <v>-24.672000000000001</v>
      </c>
      <c r="Y133" s="88">
        <v>-152.80000000000001</v>
      </c>
      <c r="Z133" s="88">
        <v>-200.78100000000001</v>
      </c>
      <c r="AA133" s="88">
        <f>+AB133</f>
        <v>-161.989</v>
      </c>
      <c r="AB133" s="131">
        <v>-161.989</v>
      </c>
      <c r="AC133" s="88">
        <v>-114.751</v>
      </c>
      <c r="AD133" s="88">
        <v>-146.232</v>
      </c>
      <c r="AE133" s="88">
        <v>-96.581999999999994</v>
      </c>
      <c r="AF133" s="88">
        <f>-AF131</f>
        <v>-96.581999999999994</v>
      </c>
      <c r="AG133" s="131">
        <f>+AF133</f>
        <v>-96.581999999999994</v>
      </c>
      <c r="AH133" s="88">
        <v>-370.72399999999999</v>
      </c>
      <c r="AI133" s="88">
        <v>-673.971</v>
      </c>
      <c r="AJ133" s="88">
        <v>-214.267</v>
      </c>
      <c r="AK133" s="88">
        <f>-AK131</f>
        <v>-214.267</v>
      </c>
      <c r="AL133" s="334">
        <v>-118.292</v>
      </c>
      <c r="AM133" s="88">
        <v>-320.51400000000001</v>
      </c>
      <c r="AN133" s="88">
        <v>-1240.8009999999999</v>
      </c>
      <c r="AO133" s="88">
        <v>-230.53</v>
      </c>
      <c r="AP133" s="88">
        <v>-230.53</v>
      </c>
      <c r="AQ133" s="334">
        <v>-387.44400000000002</v>
      </c>
      <c r="AR133" s="410">
        <f>-AR131</f>
        <v>-230.53</v>
      </c>
      <c r="AS133" s="410">
        <f>-AS131</f>
        <v>-230.53</v>
      </c>
      <c r="AT133" s="334">
        <f>-537.539</f>
        <v>-537.53899999999999</v>
      </c>
      <c r="AU133" s="334">
        <v>-802.71699999999998</v>
      </c>
      <c r="AV133" s="334">
        <v>-1030.47</v>
      </c>
      <c r="AW133" s="334">
        <v>-901.26199999999994</v>
      </c>
      <c r="AX133" s="334">
        <v>-901.26199999999994</v>
      </c>
      <c r="AY133" s="410">
        <v>-169.61199999999999</v>
      </c>
      <c r="AZ133" s="631">
        <v>-443.00200000000001</v>
      </c>
      <c r="BA133" s="631">
        <v>-962.51400000000001</v>
      </c>
      <c r="BB133" s="631">
        <f>-BB131</f>
        <v>-962.54100000000005</v>
      </c>
      <c r="BC133" s="631">
        <f>-BC131</f>
        <v>-962.54100000000005</v>
      </c>
      <c r="BD133" s="410">
        <v>-322.04899999999998</v>
      </c>
      <c r="BE133" s="631">
        <v>-647.37199999999996</v>
      </c>
      <c r="BF133" s="631">
        <v>-1163.509</v>
      </c>
      <c r="BG133" s="631">
        <v>-651.49</v>
      </c>
      <c r="BH133" s="631">
        <f t="shared" ref="BH133:BO133" si="213">-BH131</f>
        <v>-651.49</v>
      </c>
      <c r="BI133" s="410">
        <v>-856.58699999999999</v>
      </c>
      <c r="BJ133" s="631">
        <v>-720.01499999999999</v>
      </c>
      <c r="BK133" s="631">
        <v>-892.93899999999996</v>
      </c>
      <c r="BL133" s="631">
        <v>-345.77499999999998</v>
      </c>
      <c r="BM133" s="631">
        <f t="shared" si="213"/>
        <v>-345.77499999999998</v>
      </c>
      <c r="BN133" s="410">
        <v>-560.63400000000001</v>
      </c>
      <c r="BO133" s="410">
        <f t="shared" si="213"/>
        <v>-345.77499999999998</v>
      </c>
      <c r="BP133" s="668">
        <v>180.60599999999999</v>
      </c>
      <c r="BQ133" s="668">
        <f>-BQ131</f>
        <v>-180.60599999999999</v>
      </c>
      <c r="BR133" s="668">
        <f t="shared" ref="BR133:CB133" si="214">-BR131</f>
        <v>-560.63400000000001</v>
      </c>
      <c r="BS133" s="410">
        <f t="shared" si="214"/>
        <v>-560.63400000000001</v>
      </c>
      <c r="BT133" s="410">
        <f t="shared" si="214"/>
        <v>-560.63400000000001</v>
      </c>
      <c r="BU133" s="410">
        <f t="shared" si="214"/>
        <v>-560.63400000000001</v>
      </c>
      <c r="BV133" s="410">
        <f t="shared" si="214"/>
        <v>-560.63400000000001</v>
      </c>
      <c r="BW133" s="410">
        <f t="shared" si="214"/>
        <v>-560.63400000000001</v>
      </c>
      <c r="BX133" s="410">
        <f t="shared" si="214"/>
        <v>-560.63400000000001</v>
      </c>
      <c r="BY133" s="410">
        <f t="shared" si="214"/>
        <v>-560.63400000000001</v>
      </c>
      <c r="BZ133" s="410">
        <f t="shared" si="214"/>
        <v>-560.63400000000001</v>
      </c>
      <c r="CA133" s="410">
        <f t="shared" si="214"/>
        <v>-560.63400000000001</v>
      </c>
      <c r="CB133" s="410">
        <f t="shared" si="214"/>
        <v>-560.63400000000001</v>
      </c>
      <c r="CC133" s="269"/>
      <c r="CD133" s="269"/>
      <c r="CE133" s="269"/>
      <c r="CF133" s="269"/>
      <c r="CG133" s="269"/>
      <c r="CH133" s="269"/>
      <c r="CI133" s="269"/>
      <c r="CJ133" s="269"/>
      <c r="CK133" s="269"/>
      <c r="CL133" s="269"/>
    </row>
    <row r="134" spans="1:90">
      <c r="A134" s="73" t="s">
        <v>208</v>
      </c>
      <c r="B134" s="73"/>
      <c r="C134" s="36">
        <f t="shared" ref="C134:H134" si="215">C129+C131+C132+C133</f>
        <v>1073.8739999999998</v>
      </c>
      <c r="D134" s="36">
        <f t="shared" si="215"/>
        <v>1113.135</v>
      </c>
      <c r="E134" s="36">
        <f t="shared" si="215"/>
        <v>2319.8259999999991</v>
      </c>
      <c r="F134" s="36">
        <f t="shared" si="215"/>
        <v>2480.6549999999997</v>
      </c>
      <c r="G134" s="36">
        <f t="shared" si="215"/>
        <v>2516.7720000000004</v>
      </c>
      <c r="H134" s="131">
        <f t="shared" si="215"/>
        <v>1976.6669999999997</v>
      </c>
      <c r="I134" s="132">
        <f>+I129+I131+I133</f>
        <v>1192.373</v>
      </c>
      <c r="J134" s="132">
        <f>+J129+J131+J133</f>
        <v>590.2059999999999</v>
      </c>
      <c r="K134" s="132">
        <f>+K129+K131+K133</f>
        <v>530.88900000000012</v>
      </c>
      <c r="L134" s="142">
        <f t="shared" si="189"/>
        <v>2313.4679999999998</v>
      </c>
      <c r="M134" s="131">
        <f t="shared" ref="M134:S134" si="216">M129+M131+M132+M133</f>
        <v>2313.4679999999998</v>
      </c>
      <c r="N134" s="88">
        <f t="shared" si="216"/>
        <v>567.82899999999995</v>
      </c>
      <c r="O134" s="88">
        <f t="shared" si="216"/>
        <v>542.42700000000002</v>
      </c>
      <c r="P134" s="88">
        <f t="shared" si="216"/>
        <v>624.70035142408403</v>
      </c>
      <c r="Q134" s="88">
        <f t="shared" si="216"/>
        <v>754.48458334106203</v>
      </c>
      <c r="R134" s="131">
        <f t="shared" si="216"/>
        <v>2491.7330000000002</v>
      </c>
      <c r="S134" s="88">
        <f t="shared" si="216"/>
        <v>795.37799999999993</v>
      </c>
      <c r="T134" s="88"/>
      <c r="U134" s="88"/>
      <c r="V134" s="88"/>
      <c r="W134" s="131">
        <f t="shared" ref="W134:AD134" si="217">W129+W131+W132+W133</f>
        <v>3338.1260000000002</v>
      </c>
      <c r="X134" s="88">
        <f t="shared" si="217"/>
        <v>985.6350000000001</v>
      </c>
      <c r="Y134" s="88">
        <f t="shared" si="217"/>
        <v>930.56699999999978</v>
      </c>
      <c r="Z134" s="88">
        <f t="shared" si="217"/>
        <v>959.0440000000001</v>
      </c>
      <c r="AA134" s="88">
        <f t="shared" si="217"/>
        <v>1168.8069999999998</v>
      </c>
      <c r="AB134" s="131">
        <f t="shared" si="217"/>
        <v>4044.0529999999994</v>
      </c>
      <c r="AC134" s="88">
        <f t="shared" si="217"/>
        <v>1037.2070000000001</v>
      </c>
      <c r="AD134" s="134">
        <f t="shared" si="217"/>
        <v>1051.9740000000002</v>
      </c>
      <c r="AE134" s="88">
        <f t="shared" ref="AE134:AL134" si="218">AE129+AE131+AE132+AE133</f>
        <v>1094.1100000000001</v>
      </c>
      <c r="AF134" s="88">
        <f t="shared" si="218"/>
        <v>1246.6615600457471</v>
      </c>
      <c r="AG134" s="131">
        <f t="shared" si="218"/>
        <v>4429.9525600457446</v>
      </c>
      <c r="AH134" s="88">
        <f t="shared" si="218"/>
        <v>1906.2280000000007</v>
      </c>
      <c r="AI134" s="88">
        <f t="shared" si="218"/>
        <v>2211.2070000000003</v>
      </c>
      <c r="AJ134" s="88">
        <f>AJ129+AJ131+AJ132+AJ133</f>
        <v>3126.0279999999998</v>
      </c>
      <c r="AK134" s="88">
        <f>AK129+AK131+AK132+AK133</f>
        <v>3220.0280000000007</v>
      </c>
      <c r="AL134" s="334">
        <f t="shared" si="218"/>
        <v>10558.666000000001</v>
      </c>
      <c r="AM134" s="88">
        <f t="shared" ref="AM134:AT134" si="219">AM129+AM131+AM132+AM133</f>
        <v>3117.6499999999996</v>
      </c>
      <c r="AN134" s="88">
        <f t="shared" si="219"/>
        <v>3130.2930000000001</v>
      </c>
      <c r="AO134" s="88">
        <f t="shared" si="219"/>
        <v>3378.1279999999997</v>
      </c>
      <c r="AP134" s="88">
        <f t="shared" si="219"/>
        <v>3221.9378465576897</v>
      </c>
      <c r="AQ134" s="334">
        <f t="shared" si="219"/>
        <v>12539.413</v>
      </c>
      <c r="AR134" s="410" t="e">
        <f t="shared" si="219"/>
        <v>#REF!</v>
      </c>
      <c r="AS134" s="410" t="e">
        <f t="shared" si="219"/>
        <v>#REF!</v>
      </c>
      <c r="AT134" s="334">
        <f t="shared" si="219"/>
        <v>13545.074999999999</v>
      </c>
      <c r="AU134" s="334">
        <f>AU129+AU131+AU133</f>
        <v>3039.1849999999999</v>
      </c>
      <c r="AV134" s="334">
        <f t="shared" ref="AV134:BQ134" si="220">AV129+AV131+AV132+AV133</f>
        <v>3528.3589999999995</v>
      </c>
      <c r="AW134" s="334">
        <f t="shared" si="220"/>
        <v>3611.2070000000003</v>
      </c>
      <c r="AX134" s="334">
        <f t="shared" si="220"/>
        <v>4043.0317905083702</v>
      </c>
      <c r="AY134" s="410">
        <f t="shared" si="220"/>
        <v>14277.894000000002</v>
      </c>
      <c r="AZ134" s="631">
        <f t="shared" si="220"/>
        <v>3533.181</v>
      </c>
      <c r="BA134" s="631">
        <f t="shared" si="220"/>
        <v>3625.3090000000002</v>
      </c>
      <c r="BB134" s="631">
        <f t="shared" si="220"/>
        <v>3580.6549999999997</v>
      </c>
      <c r="BC134" s="631">
        <f t="shared" si="220"/>
        <v>4037.3830000000016</v>
      </c>
      <c r="BD134" s="410">
        <f t="shared" si="220"/>
        <v>15429.909</v>
      </c>
      <c r="BE134" s="631">
        <f t="shared" si="220"/>
        <v>3698.6470000000004</v>
      </c>
      <c r="BF134" s="631">
        <f t="shared" si="220"/>
        <v>3450.0230000000001</v>
      </c>
      <c r="BG134" s="631">
        <f t="shared" si="220"/>
        <v>4193.3620000000001</v>
      </c>
      <c r="BH134" s="631">
        <f t="shared" si="220"/>
        <v>4539.0000000000018</v>
      </c>
      <c r="BI134" s="410">
        <f t="shared" si="220"/>
        <v>15675.935000000001</v>
      </c>
      <c r="BJ134" s="631">
        <f t="shared" ref="BJ134:BK134" si="221">BJ129+BJ131+BJ132+BJ133</f>
        <v>3877.3330000000001</v>
      </c>
      <c r="BK134" s="631">
        <f t="shared" si="221"/>
        <v>4403.9160000000002</v>
      </c>
      <c r="BL134" s="631">
        <f t="shared" ref="BL134:BM134" si="222">BL129+BL131+BL132+BL133</f>
        <v>5055.8830000000007</v>
      </c>
      <c r="BM134" s="631">
        <f t="shared" si="222"/>
        <v>4274.7686952294316</v>
      </c>
      <c r="BN134" s="410">
        <f t="shared" si="220"/>
        <v>17362.584000000003</v>
      </c>
      <c r="BO134" s="410">
        <f t="shared" si="220"/>
        <v>3948.6490910517364</v>
      </c>
      <c r="BP134" s="668">
        <f t="shared" si="220"/>
        <v>4258.3639999999996</v>
      </c>
      <c r="BQ134" s="668">
        <f t="shared" si="220"/>
        <v>4277.8328881729594</v>
      </c>
      <c r="BR134" s="668">
        <f t="shared" ref="BR134:CB134" si="223">BR129+BR131+BR132+BR133</f>
        <v>17573.784826521922</v>
      </c>
      <c r="BS134" s="410">
        <f t="shared" si="223"/>
        <v>18959.272298121767</v>
      </c>
      <c r="BT134" s="410">
        <f t="shared" si="223"/>
        <v>20080.844779661144</v>
      </c>
      <c r="BU134" s="410">
        <f t="shared" si="223"/>
        <v>21297.596060368662</v>
      </c>
      <c r="BV134" s="410">
        <f t="shared" si="223"/>
        <v>22620.612793289882</v>
      </c>
      <c r="BW134" s="410">
        <f t="shared" si="223"/>
        <v>23925.143035582158</v>
      </c>
      <c r="BX134" s="410">
        <f t="shared" si="223"/>
        <v>25253.726274302819</v>
      </c>
      <c r="BY134" s="410">
        <f t="shared" si="223"/>
        <v>26593.405449610662</v>
      </c>
      <c r="BZ134" s="410">
        <f t="shared" si="223"/>
        <v>27930.488968208425</v>
      </c>
      <c r="CA134" s="410">
        <f t="shared" si="223"/>
        <v>29251.113696790104</v>
      </c>
      <c r="CB134" s="410">
        <f t="shared" si="223"/>
        <v>28392.37469758746</v>
      </c>
      <c r="CC134" s="269"/>
      <c r="CD134" s="269"/>
      <c r="CE134" s="269"/>
      <c r="CF134" s="269"/>
      <c r="CG134" s="269"/>
      <c r="CH134" s="269"/>
      <c r="CI134" s="269"/>
      <c r="CJ134" s="269"/>
      <c r="CK134" s="269"/>
      <c r="CL134" s="269"/>
    </row>
    <row r="135" spans="1:90">
      <c r="A135" s="73"/>
      <c r="B135" s="73"/>
      <c r="C135" s="36"/>
      <c r="D135" s="36"/>
      <c r="E135" s="36"/>
      <c r="F135" s="36"/>
      <c r="G135" s="1"/>
      <c r="H135" s="397"/>
      <c r="I135" s="398"/>
      <c r="J135" s="398"/>
      <c r="K135" s="398"/>
      <c r="L135" s="142">
        <f t="shared" si="189"/>
        <v>0</v>
      </c>
      <c r="M135" s="397"/>
      <c r="N135" s="40"/>
      <c r="O135" s="40"/>
      <c r="P135" s="40"/>
      <c r="Q135" s="40"/>
      <c r="R135" s="397"/>
      <c r="S135" s="40"/>
      <c r="T135" s="40"/>
      <c r="U135" s="40"/>
      <c r="V135" s="40"/>
      <c r="W135" s="397"/>
      <c r="X135" s="40"/>
      <c r="Y135" s="40"/>
      <c r="Z135" s="40"/>
      <c r="AA135" s="40"/>
      <c r="AB135" s="397"/>
      <c r="AC135" s="40"/>
      <c r="AD135" s="40"/>
      <c r="AE135" s="40"/>
      <c r="AF135" s="40"/>
      <c r="AG135" s="397"/>
      <c r="AH135" s="40"/>
      <c r="AI135" s="40"/>
      <c r="AJ135" s="40"/>
      <c r="AK135" s="40"/>
      <c r="AL135" s="411"/>
      <c r="AM135" s="40"/>
      <c r="AN135" s="40"/>
      <c r="AO135" s="40"/>
      <c r="AP135" s="40"/>
      <c r="AQ135" s="411"/>
      <c r="AR135" s="412"/>
      <c r="AS135" s="412"/>
      <c r="AT135" s="411"/>
      <c r="AU135" s="411"/>
      <c r="AV135" s="411"/>
      <c r="AW135" s="411"/>
      <c r="AX135" s="411"/>
      <c r="AY135" s="412"/>
      <c r="AZ135" s="687"/>
      <c r="BA135" s="687"/>
      <c r="BB135" s="687"/>
      <c r="BC135" s="687"/>
      <c r="BD135" s="412"/>
      <c r="BE135" s="687"/>
      <c r="BF135" s="687"/>
      <c r="BG135" s="687"/>
      <c r="BH135" s="687"/>
      <c r="BI135" s="412"/>
      <c r="BJ135" s="687"/>
      <c r="BK135" s="687"/>
      <c r="BL135" s="687"/>
      <c r="BM135" s="687"/>
      <c r="BN135" s="412"/>
      <c r="BO135" s="412"/>
      <c r="BP135" s="668"/>
      <c r="BQ135" s="668"/>
      <c r="BR135" s="668"/>
      <c r="BS135" s="412"/>
      <c r="BT135" s="412"/>
      <c r="BU135" s="412"/>
      <c r="BV135" s="412"/>
      <c r="BW135" s="412"/>
      <c r="BX135" s="412"/>
      <c r="BY135" s="412"/>
      <c r="BZ135" s="412"/>
      <c r="CA135" s="412"/>
      <c r="CB135" s="412"/>
      <c r="CC135" s="269"/>
      <c r="CD135" s="269"/>
      <c r="CE135" s="269"/>
      <c r="CF135" s="269"/>
      <c r="CG135" s="269"/>
      <c r="CH135" s="269"/>
      <c r="CI135" s="269"/>
      <c r="CJ135" s="269"/>
      <c r="CK135" s="269"/>
      <c r="CL135" s="269"/>
    </row>
    <row r="136" spans="1:90">
      <c r="A136" s="73" t="s">
        <v>98</v>
      </c>
      <c r="B136" s="73"/>
      <c r="C136" s="36">
        <v>16.831</v>
      </c>
      <c r="D136" s="36">
        <f t="shared" ref="D136:K136" si="224">-C138</f>
        <v>17.803000000000001</v>
      </c>
      <c r="E136" s="36">
        <f t="shared" si="224"/>
        <v>37.938000000000002</v>
      </c>
      <c r="F136" s="36">
        <f t="shared" si="224"/>
        <v>40.33</v>
      </c>
      <c r="G136" s="36">
        <f t="shared" si="224"/>
        <v>26.731999999999999</v>
      </c>
      <c r="H136" s="131">
        <f t="shared" si="224"/>
        <v>16.57</v>
      </c>
      <c r="I136" s="132">
        <f t="shared" si="224"/>
        <v>45.006999999999998</v>
      </c>
      <c r="J136" s="132">
        <f t="shared" si="224"/>
        <v>22.834</v>
      </c>
      <c r="K136" s="132">
        <f t="shared" si="224"/>
        <v>6.9710000000000001</v>
      </c>
      <c r="L136" s="142">
        <f t="shared" si="189"/>
        <v>74.811999999999998</v>
      </c>
      <c r="M136" s="131">
        <f>-H138</f>
        <v>45.006999999999998</v>
      </c>
      <c r="N136" s="88">
        <f>-M138</f>
        <v>44.145000000000003</v>
      </c>
      <c r="O136" s="88">
        <f>-N138</f>
        <v>44.951999999999998</v>
      </c>
      <c r="P136" s="88">
        <f>-O138</f>
        <v>43.283999999999999</v>
      </c>
      <c r="Q136" s="88">
        <f>-P138</f>
        <v>36.584951380800057</v>
      </c>
      <c r="R136" s="131">
        <f>-M138</f>
        <v>44.145000000000003</v>
      </c>
      <c r="S136" s="88">
        <f>-R138</f>
        <v>38.616</v>
      </c>
      <c r="T136" s="88"/>
      <c r="U136" s="88"/>
      <c r="V136" s="88"/>
      <c r="W136" s="131">
        <f>-R138</f>
        <v>38.616</v>
      </c>
      <c r="X136" s="88">
        <f>-W138</f>
        <v>19.468</v>
      </c>
      <c r="Y136" s="88">
        <f>-X138</f>
        <v>10.417999999999999</v>
      </c>
      <c r="Z136" s="88">
        <f>-Y138</f>
        <v>35.436999999999998</v>
      </c>
      <c r="AA136" s="88">
        <f>-Z138</f>
        <v>2.8029999999999999</v>
      </c>
      <c r="AB136" s="131">
        <f>-W138</f>
        <v>19.468</v>
      </c>
      <c r="AC136" s="88">
        <f>-AB138</f>
        <v>5.0579999999999998</v>
      </c>
      <c r="AD136" s="88">
        <f>-AC138</f>
        <v>2.4079999999999999</v>
      </c>
      <c r="AE136" s="88">
        <f>-AD138</f>
        <v>19.718</v>
      </c>
      <c r="AF136" s="88">
        <f>-AE138</f>
        <v>5.6029999999999998</v>
      </c>
      <c r="AG136" s="131">
        <f>-AB138</f>
        <v>5.0579999999999998</v>
      </c>
      <c r="AH136" s="88">
        <v>69.727999999999994</v>
      </c>
      <c r="AI136" s="88">
        <v>110.471</v>
      </c>
      <c r="AJ136" s="88">
        <v>110.967</v>
      </c>
      <c r="AK136" s="88">
        <f>-AJ138</f>
        <v>34.780999999999999</v>
      </c>
      <c r="AL136" s="334">
        <v>69.727999999999994</v>
      </c>
      <c r="AM136" s="88">
        <f>-AL138</f>
        <v>78.369</v>
      </c>
      <c r="AN136" s="88">
        <f>-AM138</f>
        <v>158.16200000000001</v>
      </c>
      <c r="AO136" s="88">
        <f>-AN138</f>
        <v>262.30900000000003</v>
      </c>
      <c r="AP136" s="88">
        <f>-AO138</f>
        <v>263.22899999999998</v>
      </c>
      <c r="AQ136" s="334">
        <f>-AL138</f>
        <v>78.369</v>
      </c>
      <c r="AR136" s="410">
        <f>-AP138</f>
        <v>85.583772852528284</v>
      </c>
      <c r="AS136" s="410">
        <f>-AP138</f>
        <v>85.583772852528284</v>
      </c>
      <c r="AT136" s="334">
        <f>-AQ138</f>
        <v>249.916</v>
      </c>
      <c r="AU136" s="334">
        <v>219.36500000000001</v>
      </c>
      <c r="AV136" s="334">
        <v>407.06599999999997</v>
      </c>
      <c r="AW136" s="334">
        <v>295.37299999999999</v>
      </c>
      <c r="AX136" s="334">
        <v>295.37299999999999</v>
      </c>
      <c r="AY136" s="410">
        <f>-AT138</f>
        <v>219.36500000000001</v>
      </c>
      <c r="AZ136" s="631">
        <v>294.73700000000002</v>
      </c>
      <c r="BA136" s="631">
        <f>-AZ138</f>
        <v>261.51400000000001</v>
      </c>
      <c r="BB136" s="631">
        <v>295.37299999999999</v>
      </c>
      <c r="BC136" s="631">
        <v>295.37299999999999</v>
      </c>
      <c r="BD136" s="410">
        <v>294.73700000000002</v>
      </c>
      <c r="BE136" s="631">
        <v>254.99</v>
      </c>
      <c r="BF136" s="631">
        <v>287.25099999999998</v>
      </c>
      <c r="BG136" s="631">
        <v>185.018</v>
      </c>
      <c r="BH136" s="631">
        <v>295.37299999999999</v>
      </c>
      <c r="BI136" s="410">
        <v>254.99</v>
      </c>
      <c r="BJ136" s="631">
        <v>320.31799999999998</v>
      </c>
      <c r="BK136" s="631">
        <v>324.76499999999999</v>
      </c>
      <c r="BL136" s="631">
        <v>366.84</v>
      </c>
      <c r="BM136" s="631">
        <v>295.37299999999999</v>
      </c>
      <c r="BN136" s="410">
        <f>-BI138</f>
        <v>320.31799999999998</v>
      </c>
      <c r="BO136" s="410">
        <f>-BM138</f>
        <v>295.37299999999999</v>
      </c>
      <c r="BP136" s="668">
        <v>348.43700000000001</v>
      </c>
      <c r="BQ136" s="668">
        <f>BP138</f>
        <v>-256.88400000000001</v>
      </c>
      <c r="BR136" s="668">
        <f>-BN138</f>
        <v>348.43700000000001</v>
      </c>
      <c r="BS136" s="410">
        <f t="shared" ref="BS136:CB136" si="225">-BR138</f>
        <v>117.15856551014615</v>
      </c>
      <c r="BT136" s="410">
        <f t="shared" si="225"/>
        <v>126.39514865414509</v>
      </c>
      <c r="BU136" s="410">
        <f t="shared" si="225"/>
        <v>133.87229853107428</v>
      </c>
      <c r="BV136" s="410">
        <f t="shared" si="225"/>
        <v>141.98397373579107</v>
      </c>
      <c r="BW136" s="410">
        <f t="shared" si="225"/>
        <v>150.80408528859923</v>
      </c>
      <c r="BX136" s="410">
        <f t="shared" si="225"/>
        <v>159.50095357054769</v>
      </c>
      <c r="BY136" s="410">
        <f t="shared" si="225"/>
        <v>168.35817516201877</v>
      </c>
      <c r="BZ136" s="410">
        <f t="shared" si="225"/>
        <v>177.28936966407107</v>
      </c>
      <c r="CA136" s="410">
        <f t="shared" si="225"/>
        <v>186.20325978805616</v>
      </c>
      <c r="CB136" s="410">
        <f t="shared" si="225"/>
        <v>195.00742464526738</v>
      </c>
      <c r="CC136" s="269"/>
      <c r="CD136" s="269"/>
      <c r="CE136" s="269"/>
      <c r="CF136" s="269"/>
      <c r="CG136" s="269"/>
      <c r="CH136" s="269"/>
      <c r="CI136" s="269"/>
      <c r="CJ136" s="269"/>
      <c r="CK136" s="269"/>
      <c r="CL136" s="269"/>
    </row>
    <row r="137" spans="1:90">
      <c r="A137" s="73" t="s">
        <v>206</v>
      </c>
      <c r="B137" s="73"/>
      <c r="C137" s="36">
        <v>0</v>
      </c>
      <c r="D137" s="36">
        <v>4.8719999999999999</v>
      </c>
      <c r="E137" s="36">
        <v>0</v>
      </c>
      <c r="F137" s="36">
        <v>0</v>
      </c>
      <c r="G137" s="36">
        <v>0</v>
      </c>
      <c r="H137" s="131">
        <v>0</v>
      </c>
      <c r="I137" s="132">
        <v>0</v>
      </c>
      <c r="J137" s="132"/>
      <c r="K137" s="132"/>
      <c r="L137" s="142">
        <f t="shared" si="189"/>
        <v>0</v>
      </c>
      <c r="M137" s="131">
        <v>0</v>
      </c>
      <c r="N137" s="88">
        <v>0</v>
      </c>
      <c r="O137" s="88">
        <v>0</v>
      </c>
      <c r="P137" s="88">
        <v>0</v>
      </c>
      <c r="Q137" s="88">
        <v>0</v>
      </c>
      <c r="R137" s="131">
        <v>0</v>
      </c>
      <c r="S137" s="88"/>
      <c r="T137" s="88"/>
      <c r="U137" s="88"/>
      <c r="V137" s="88"/>
      <c r="W137" s="131">
        <v>0</v>
      </c>
      <c r="X137" s="88"/>
      <c r="Y137" s="88"/>
      <c r="Z137" s="88"/>
      <c r="AA137" s="88"/>
      <c r="AB137" s="131">
        <v>0</v>
      </c>
      <c r="AC137" s="88"/>
      <c r="AD137" s="88"/>
      <c r="AE137" s="88"/>
      <c r="AF137" s="88"/>
      <c r="AG137" s="131">
        <v>0</v>
      </c>
      <c r="AH137" s="88"/>
      <c r="AI137" s="88"/>
      <c r="AJ137" s="88"/>
      <c r="AK137" s="88"/>
      <c r="AL137" s="334">
        <v>0</v>
      </c>
      <c r="AM137" s="88"/>
      <c r="AN137" s="88"/>
      <c r="AO137" s="88"/>
      <c r="AP137" s="88"/>
      <c r="AQ137" s="334">
        <v>0</v>
      </c>
      <c r="AR137" s="410">
        <v>0</v>
      </c>
      <c r="AS137" s="410">
        <v>0</v>
      </c>
      <c r="AT137" s="334">
        <v>0</v>
      </c>
      <c r="AU137" s="334"/>
      <c r="AV137" s="334"/>
      <c r="AW137" s="334"/>
      <c r="AX137" s="334"/>
      <c r="AY137" s="410">
        <v>0</v>
      </c>
      <c r="AZ137" s="631"/>
      <c r="BA137" s="631"/>
      <c r="BB137" s="631"/>
      <c r="BC137" s="631"/>
      <c r="BD137" s="410">
        <v>0</v>
      </c>
      <c r="BE137" s="631"/>
      <c r="BF137" s="631"/>
      <c r="BG137" s="631"/>
      <c r="BH137" s="631"/>
      <c r="BI137" s="410">
        <v>0</v>
      </c>
      <c r="BJ137" s="631"/>
      <c r="BK137" s="631"/>
      <c r="BL137" s="631"/>
      <c r="BM137" s="631"/>
      <c r="BN137" s="410">
        <v>0</v>
      </c>
      <c r="BO137" s="410"/>
      <c r="BP137" s="668"/>
      <c r="BQ137" s="668"/>
      <c r="BR137" s="668">
        <v>0</v>
      </c>
      <c r="BS137" s="410">
        <v>0</v>
      </c>
      <c r="BT137" s="410">
        <v>0</v>
      </c>
      <c r="BU137" s="410">
        <v>0</v>
      </c>
      <c r="BV137" s="410">
        <v>0</v>
      </c>
      <c r="BW137" s="410">
        <v>0</v>
      </c>
      <c r="BX137" s="410">
        <v>0</v>
      </c>
      <c r="BY137" s="410">
        <v>0</v>
      </c>
      <c r="BZ137" s="410">
        <v>0</v>
      </c>
      <c r="CA137" s="410">
        <v>0</v>
      </c>
      <c r="CB137" s="410">
        <v>0</v>
      </c>
      <c r="CC137" s="269"/>
      <c r="CD137" s="269"/>
      <c r="CE137" s="269"/>
      <c r="CF137" s="269"/>
      <c r="CG137" s="269"/>
      <c r="CH137" s="269"/>
      <c r="CI137" s="269"/>
      <c r="CJ137" s="269"/>
      <c r="CK137" s="269"/>
      <c r="CL137" s="269"/>
    </row>
    <row r="138" spans="1:90">
      <c r="A138" s="73" t="s">
        <v>102</v>
      </c>
      <c r="B138" s="73"/>
      <c r="C138" s="36">
        <v>-17.803000000000001</v>
      </c>
      <c r="D138" s="36">
        <v>-37.938000000000002</v>
      </c>
      <c r="E138" s="36">
        <v>-40.33</v>
      </c>
      <c r="F138" s="36">
        <v>-26.731999999999999</v>
      </c>
      <c r="G138" s="36">
        <v>-16.57</v>
      </c>
      <c r="H138" s="131">
        <v>-45.006999999999998</v>
      </c>
      <c r="I138" s="132">
        <v>-22.834</v>
      </c>
      <c r="J138" s="132">
        <f>-(J136-15.863)</f>
        <v>-6.9710000000000001</v>
      </c>
      <c r="K138" s="132">
        <f>+M138</f>
        <v>-44.145000000000003</v>
      </c>
      <c r="L138" s="142">
        <f t="shared" si="189"/>
        <v>-73.95</v>
      </c>
      <c r="M138" s="131">
        <v>-44.145000000000003</v>
      </c>
      <c r="N138" s="88">
        <v>-44.951999999999998</v>
      </c>
      <c r="O138" s="88">
        <v>-43.283999999999999</v>
      </c>
      <c r="P138" s="88">
        <f>-(Assumptions!P155*Assumptions!P142)/1000000</f>
        <v>-36.584951380800057</v>
      </c>
      <c r="Q138" s="88">
        <f>-(Assumptions!Q155*Assumptions!Q142)/1000000</f>
        <v>-44.185635138785962</v>
      </c>
      <c r="R138" s="131">
        <v>-38.616</v>
      </c>
      <c r="S138" s="88">
        <v>-24.207000000000001</v>
      </c>
      <c r="T138" s="88"/>
      <c r="U138" s="88"/>
      <c r="V138" s="88"/>
      <c r="W138" s="131">
        <v>-19.468</v>
      </c>
      <c r="X138" s="88">
        <v>-10.417999999999999</v>
      </c>
      <c r="Y138" s="88">
        <v>-35.436999999999998</v>
      </c>
      <c r="Z138" s="88">
        <v>-2.8029999999999999</v>
      </c>
      <c r="AA138" s="88">
        <f>+AB138</f>
        <v>-5.0579999999999998</v>
      </c>
      <c r="AB138" s="131">
        <v>-5.0579999999999998</v>
      </c>
      <c r="AC138" s="88">
        <v>-2.4079999999999999</v>
      </c>
      <c r="AD138" s="88">
        <v>-19.718</v>
      </c>
      <c r="AE138" s="88">
        <v>-5.6029999999999998</v>
      </c>
      <c r="AF138" s="88">
        <f>-(Assumptions!AF155*Assumptions!AF142)/$A$3</f>
        <v>-16.718297917372443</v>
      </c>
      <c r="AG138" s="131">
        <f>+AF138</f>
        <v>-16.718297917372443</v>
      </c>
      <c r="AH138" s="88">
        <f>-110.471-5.165</f>
        <v>-115.63600000000001</v>
      </c>
      <c r="AI138" s="88">
        <f>-110.967-8.457</f>
        <v>-119.42400000000001</v>
      </c>
      <c r="AJ138" s="88">
        <v>-34.780999999999999</v>
      </c>
      <c r="AK138" s="88">
        <f>-(Assumptions!AK155*Assumptions!AK142)/$A$3</f>
        <v>-43.516798057424069</v>
      </c>
      <c r="AL138" s="334">
        <f>-78.369</f>
        <v>-78.369</v>
      </c>
      <c r="AM138" s="88">
        <v>-158.16200000000001</v>
      </c>
      <c r="AN138" s="88">
        <v>-262.30900000000003</v>
      </c>
      <c r="AO138" s="88">
        <v>-263.22899999999998</v>
      </c>
      <c r="AP138" s="88">
        <f>-(Assumptions!AP155*Assumptions!AP142)/$A$3</f>
        <v>-85.583772852528284</v>
      </c>
      <c r="AQ138" s="334">
        <v>-249.916</v>
      </c>
      <c r="AR138" s="410" t="e">
        <f>-(Assumptions!AR155*Assumptions!AR142)/$A$3</f>
        <v>#REF!</v>
      </c>
      <c r="AS138" s="410" t="e">
        <f>-(Assumptions!AS155*Assumptions!AS142)/$A$3</f>
        <v>#REF!</v>
      </c>
      <c r="AT138" s="334">
        <v>-219.36500000000001</v>
      </c>
      <c r="AU138" s="334">
        <v>-409.06599999999997</v>
      </c>
      <c r="AV138" s="334">
        <f>-295.373-0.95</f>
        <v>-296.32299999999998</v>
      </c>
      <c r="AW138" s="334">
        <f>-262.424-1.276</f>
        <v>-263.7</v>
      </c>
      <c r="AX138" s="334">
        <f>-262.424-1.276</f>
        <v>-263.7</v>
      </c>
      <c r="AY138" s="410">
        <f>-294.737-10.293</f>
        <v>-305.03000000000003</v>
      </c>
      <c r="AZ138" s="631">
        <v>-261.51400000000001</v>
      </c>
      <c r="BA138" s="631">
        <f>-212.944-6.16</f>
        <v>-219.10399999999998</v>
      </c>
      <c r="BB138" s="631">
        <f>-BB136</f>
        <v>-295.37299999999999</v>
      </c>
      <c r="BC138" s="631">
        <f>-BC136</f>
        <v>-295.37299999999999</v>
      </c>
      <c r="BD138" s="410">
        <f>-254.99-26.558</f>
        <v>-281.548</v>
      </c>
      <c r="BE138" s="631">
        <f>-287.251-5.228</f>
        <v>-292.47899999999998</v>
      </c>
      <c r="BF138" s="631">
        <f>-185.018-4.193</f>
        <v>-189.21100000000001</v>
      </c>
      <c r="BG138" s="631">
        <f>-277.665-5.053</f>
        <v>-282.71800000000002</v>
      </c>
      <c r="BH138" s="631">
        <f>-BH136</f>
        <v>-295.37299999999999</v>
      </c>
      <c r="BI138" s="410">
        <v>-320.31799999999998</v>
      </c>
      <c r="BJ138" s="631">
        <f>-324.765-13.483</f>
        <v>-338.24799999999999</v>
      </c>
      <c r="BK138" s="631">
        <f>-366.84-23.19</f>
        <v>-390.03</v>
      </c>
      <c r="BL138" s="631">
        <f>-375.953-11.545</f>
        <v>-387.49799999999999</v>
      </c>
      <c r="BM138" s="631">
        <f>-BM136</f>
        <v>-295.37299999999999</v>
      </c>
      <c r="BN138" s="410">
        <v>-348.43700000000001</v>
      </c>
      <c r="BO138" s="410">
        <f>-BO136</f>
        <v>-295.37299999999999</v>
      </c>
      <c r="BP138" s="668">
        <v>-256.88400000000001</v>
      </c>
      <c r="BQ138" s="668">
        <f>-BQ136</f>
        <v>256.88400000000001</v>
      </c>
      <c r="BR138" s="668">
        <f>-(Assumptions!BR155*Assumptions!BR142)/$A$3</f>
        <v>-117.15856551014615</v>
      </c>
      <c r="BS138" s="410">
        <f>-(Assumptions!BS155*Assumptions!BS142)/$A$3</f>
        <v>-126.39514865414509</v>
      </c>
      <c r="BT138" s="410">
        <f>-(Assumptions!BT155*Assumptions!BT142)/$A$3</f>
        <v>-133.87229853107428</v>
      </c>
      <c r="BU138" s="410">
        <f>-(Assumptions!BU155*Assumptions!BU142)/$A$3</f>
        <v>-141.98397373579107</v>
      </c>
      <c r="BV138" s="410">
        <f>-(Assumptions!BV155*Assumptions!BV142)/$A$3</f>
        <v>-150.80408528859923</v>
      </c>
      <c r="BW138" s="410">
        <f>-(Assumptions!BW155*Assumptions!BW142)/$A$3</f>
        <v>-159.50095357054769</v>
      </c>
      <c r="BX138" s="410">
        <f>-(Assumptions!BX155*Assumptions!BX142)/$A$3</f>
        <v>-168.35817516201877</v>
      </c>
      <c r="BY138" s="410">
        <f>-(Assumptions!BY155*Assumptions!BY142)/$A$3</f>
        <v>-177.28936966407107</v>
      </c>
      <c r="BZ138" s="410">
        <f>-(Assumptions!BZ155*Assumptions!BZ142)/$A$3</f>
        <v>-186.20325978805616</v>
      </c>
      <c r="CA138" s="410">
        <f>-(Assumptions!CA155*Assumptions!CA142)/$A$3</f>
        <v>-195.00742464526738</v>
      </c>
      <c r="CB138" s="410">
        <f>-(Assumptions!CB155*Assumptions!CB142)/$A$3</f>
        <v>-189.28249798391639</v>
      </c>
      <c r="CC138" s="269"/>
      <c r="CD138" s="269"/>
      <c r="CE138" s="269"/>
      <c r="CF138" s="269"/>
      <c r="CG138" s="269"/>
      <c r="CH138" s="269"/>
      <c r="CI138" s="269"/>
      <c r="CJ138" s="269"/>
      <c r="CK138" s="269"/>
      <c r="CL138" s="269"/>
    </row>
    <row r="139" spans="1:90">
      <c r="A139" s="73" t="s">
        <v>335</v>
      </c>
      <c r="B139" s="73"/>
      <c r="C139" s="36"/>
      <c r="D139" s="36"/>
      <c r="E139" s="36"/>
      <c r="F139" s="36"/>
      <c r="G139" s="36"/>
      <c r="H139" s="131"/>
      <c r="I139" s="132"/>
      <c r="J139" s="132"/>
      <c r="K139" s="132"/>
      <c r="L139" s="142"/>
      <c r="M139" s="131"/>
      <c r="N139" s="88"/>
      <c r="O139" s="88"/>
      <c r="P139" s="88"/>
      <c r="Q139" s="88"/>
      <c r="R139" s="131"/>
      <c r="S139" s="88"/>
      <c r="T139" s="88"/>
      <c r="U139" s="88"/>
      <c r="V139" s="88"/>
      <c r="W139" s="131">
        <v>-26.504999999999999</v>
      </c>
      <c r="X139" s="88">
        <v>-18.606999999999999</v>
      </c>
      <c r="Y139" s="88">
        <v>-16.699000000000002</v>
      </c>
      <c r="Z139" s="88">
        <v>-14.615</v>
      </c>
      <c r="AA139" s="74">
        <f>+AB139-Z139-Y139-X139</f>
        <v>-15.719999999999999</v>
      </c>
      <c r="AB139" s="131">
        <v>-65.641000000000005</v>
      </c>
      <c r="AC139" s="88">
        <v>-7.8979999999999997</v>
      </c>
      <c r="AD139" s="88">
        <v>-7.2949999999999999</v>
      </c>
      <c r="AE139" s="88">
        <v>-16.754000000000001</v>
      </c>
      <c r="AF139" s="88">
        <v>0</v>
      </c>
      <c r="AG139" s="131">
        <f>SUM(AC139:AF139)</f>
        <v>-31.947000000000003</v>
      </c>
      <c r="AH139" s="88">
        <v>0</v>
      </c>
      <c r="AI139" s="88"/>
      <c r="AJ139" s="88">
        <v>-3.831</v>
      </c>
      <c r="AK139" s="88">
        <v>0</v>
      </c>
      <c r="AL139" s="334">
        <v>-19.302</v>
      </c>
      <c r="AM139" s="88">
        <v>-0.53500000000000003</v>
      </c>
      <c r="AN139" s="88">
        <v>-4.641</v>
      </c>
      <c r="AO139" s="88">
        <v>-2.81</v>
      </c>
      <c r="AP139" s="88"/>
      <c r="AQ139" s="334">
        <v>-9.3870000000000005</v>
      </c>
      <c r="AR139" s="410"/>
      <c r="AS139" s="410"/>
      <c r="AT139" s="334">
        <v>-5.6319999999999997</v>
      </c>
      <c r="AU139" s="334"/>
      <c r="AV139" s="334"/>
      <c r="AW139" s="334"/>
      <c r="AX139" s="334"/>
      <c r="AY139" s="410"/>
      <c r="AZ139" s="631"/>
      <c r="BA139" s="631"/>
      <c r="BB139" s="631"/>
      <c r="BC139" s="631"/>
      <c r="BD139" s="410"/>
      <c r="BE139" s="631"/>
      <c r="BF139" s="631"/>
      <c r="BG139" s="631"/>
      <c r="BH139" s="631"/>
      <c r="BI139" s="410">
        <v>-20.69</v>
      </c>
      <c r="BJ139" s="631"/>
      <c r="BK139" s="631"/>
      <c r="BL139" s="631"/>
      <c r="BM139" s="631"/>
      <c r="BN139" s="410">
        <v>-49.524000000000001</v>
      </c>
      <c r="BO139" s="410"/>
      <c r="BP139" s="668">
        <v>-3.194</v>
      </c>
      <c r="BQ139" s="668">
        <f>BP139</f>
        <v>-3.194</v>
      </c>
      <c r="BR139" s="668"/>
      <c r="BS139" s="410"/>
      <c r="BT139" s="410"/>
      <c r="BU139" s="410"/>
      <c r="BV139" s="410"/>
      <c r="BW139" s="410"/>
      <c r="BX139" s="410"/>
      <c r="BY139" s="410"/>
      <c r="BZ139" s="410"/>
      <c r="CA139" s="410"/>
      <c r="CB139" s="410"/>
      <c r="CC139" s="269"/>
      <c r="CD139" s="269"/>
      <c r="CE139" s="269"/>
      <c r="CF139" s="269"/>
      <c r="CG139" s="269"/>
      <c r="CH139" s="269"/>
      <c r="CI139" s="269"/>
      <c r="CJ139" s="269"/>
      <c r="CK139" s="269"/>
      <c r="CL139" s="269"/>
    </row>
    <row r="140" spans="1:90">
      <c r="A140" s="73" t="s">
        <v>10</v>
      </c>
      <c r="B140" s="73"/>
      <c r="C140" s="36">
        <f t="shared" ref="C140:H140" si="226">C134+C136+C137+C138</f>
        <v>1072.9019999999996</v>
      </c>
      <c r="D140" s="36">
        <f t="shared" si="226"/>
        <v>1097.8720000000001</v>
      </c>
      <c r="E140" s="36">
        <f t="shared" si="226"/>
        <v>2317.4339999999993</v>
      </c>
      <c r="F140" s="36">
        <f t="shared" si="226"/>
        <v>2494.2529999999997</v>
      </c>
      <c r="G140" s="36">
        <f t="shared" si="226"/>
        <v>2526.9340000000002</v>
      </c>
      <c r="H140" s="131">
        <f t="shared" si="226"/>
        <v>1948.2299999999996</v>
      </c>
      <c r="I140" s="132">
        <f>+I134+I136+I138</f>
        <v>1214.546</v>
      </c>
      <c r="J140" s="132">
        <f>+J134+J136+J138</f>
        <v>606.06899999999985</v>
      </c>
      <c r="K140" s="132">
        <f>+K134+K136+K138</f>
        <v>493.71500000000015</v>
      </c>
      <c r="L140" s="142">
        <f>+K140+J140+I140</f>
        <v>2314.33</v>
      </c>
      <c r="M140" s="131">
        <f>M134+M136+M137+M138</f>
        <v>2314.33</v>
      </c>
      <c r="N140" s="88">
        <f>N134+N136+N137+N138</f>
        <v>567.02199999999993</v>
      </c>
      <c r="O140" s="88">
        <f>O134+O136+O137+O138</f>
        <v>544.09500000000003</v>
      </c>
      <c r="P140" s="413">
        <v>616.58199999999999</v>
      </c>
      <c r="Q140" s="88">
        <f>Q134+Q136+Q137+Q138</f>
        <v>746.88389958307607</v>
      </c>
      <c r="R140" s="131">
        <f>R134+R136+R137+R138</f>
        <v>2497.2620000000002</v>
      </c>
      <c r="S140" s="88">
        <f>S134+S136+S137+S138+S139</f>
        <v>809.78699999999992</v>
      </c>
      <c r="T140" s="88"/>
      <c r="U140" s="413"/>
      <c r="V140" s="88"/>
      <c r="W140" s="131">
        <f t="shared" ref="W140:AI140" si="227">W134+W136+W137+W138+W139</f>
        <v>3330.7690000000002</v>
      </c>
      <c r="X140" s="88">
        <f t="shared" si="227"/>
        <v>976.07800000000009</v>
      </c>
      <c r="Y140" s="88">
        <f t="shared" si="227"/>
        <v>888.84899999999982</v>
      </c>
      <c r="Z140" s="88">
        <f t="shared" si="227"/>
        <v>977.0630000000001</v>
      </c>
      <c r="AA140" s="88">
        <f t="shared" si="227"/>
        <v>1150.8319999999999</v>
      </c>
      <c r="AB140" s="131">
        <f t="shared" si="227"/>
        <v>3992.8219999999992</v>
      </c>
      <c r="AC140" s="134">
        <f t="shared" si="227"/>
        <v>1031.9590000000003</v>
      </c>
      <c r="AD140" s="134">
        <f t="shared" si="227"/>
        <v>1027.3689999999999</v>
      </c>
      <c r="AE140" s="134">
        <f t="shared" si="227"/>
        <v>1091.4710000000002</v>
      </c>
      <c r="AF140" s="134">
        <f t="shared" si="227"/>
        <v>1235.5462621283748</v>
      </c>
      <c r="AG140" s="131">
        <f t="shared" si="227"/>
        <v>4386.3452621283723</v>
      </c>
      <c r="AH140" s="134">
        <f t="shared" si="227"/>
        <v>1860.3200000000008</v>
      </c>
      <c r="AI140" s="134">
        <f t="shared" si="227"/>
        <v>2202.2540000000004</v>
      </c>
      <c r="AJ140" s="134">
        <f>AJ134+AJ136+AJ137+AJ138+AJ139</f>
        <v>3198.3829999999998</v>
      </c>
      <c r="AK140" s="134">
        <f>AK134+AK136+AK137+AK138+AK139</f>
        <v>3211.2922019425764</v>
      </c>
      <c r="AL140" s="334">
        <f>AL134+AL136+AL138+AL139</f>
        <v>10530.723</v>
      </c>
      <c r="AM140" s="106">
        <f>AM134+AM136+AM137+AM138+AM139</f>
        <v>3037.3220000000001</v>
      </c>
      <c r="AN140" s="106">
        <f>AN134+AN136+AN137+AN138+AN139</f>
        <v>3021.5049999999997</v>
      </c>
      <c r="AO140" s="106">
        <f>AO134+AO136+AO137+AO138+AO139</f>
        <v>3374.3980000000001</v>
      </c>
      <c r="AP140" s="106">
        <f>AP134+AP136+AP137+AP138+AP139</f>
        <v>3399.583073705161</v>
      </c>
      <c r="AQ140" s="334">
        <f>AQ134+AQ136+AQ137+AQ138+AQ139</f>
        <v>12358.479000000001</v>
      </c>
      <c r="AR140" s="410" t="e">
        <f>AR134+AR136+AR137+AR138</f>
        <v>#REF!</v>
      </c>
      <c r="AS140" s="410" t="e">
        <f>AS134+AS136+AS137+AS138</f>
        <v>#REF!</v>
      </c>
      <c r="AT140" s="334">
        <f>AT134+AT136+AT137+AT138+AT139</f>
        <v>13569.993999999999</v>
      </c>
      <c r="AU140" s="334">
        <f>AU134+AU136+AU138</f>
        <v>2849.4840000000004</v>
      </c>
      <c r="AV140" s="334">
        <f>AV134+AV136+AV138</f>
        <v>3639.1019999999994</v>
      </c>
      <c r="AW140" s="334">
        <f>AW134+AW136+AW138</f>
        <v>3642.8800000000006</v>
      </c>
      <c r="AX140" s="334">
        <f>AX134+AX136+AX138</f>
        <v>4074.70479050837</v>
      </c>
      <c r="AY140" s="410">
        <f>AY134+AY136+AY137+AY138</f>
        <v>14192.229000000001</v>
      </c>
      <c r="AZ140" s="631">
        <f>AZ134+AZ136+AZ138</f>
        <v>3566.404</v>
      </c>
      <c r="BA140" s="631">
        <f>BA134+BA136+BA138</f>
        <v>3667.7190000000005</v>
      </c>
      <c r="BB140" s="631">
        <f>BB134+BB136+BB138</f>
        <v>3580.6549999999997</v>
      </c>
      <c r="BC140" s="631">
        <f>BC134+BC136+BC138</f>
        <v>4037.3830000000012</v>
      </c>
      <c r="BD140" s="410">
        <f>BD134+BD136+BD137+BD138</f>
        <v>15443.097999999998</v>
      </c>
      <c r="BE140" s="631">
        <f>BE134+BE136+BE138</f>
        <v>3661.1580000000008</v>
      </c>
      <c r="BF140" s="631">
        <f>BF134+BF136+BF138</f>
        <v>3548.0630000000001</v>
      </c>
      <c r="BG140" s="631">
        <f>BG134+BG136+BG138</f>
        <v>4095.6620000000003</v>
      </c>
      <c r="BH140" s="631">
        <f>BH134+BH136+BH138</f>
        <v>4539.0000000000018</v>
      </c>
      <c r="BI140" s="410">
        <f>BI134+BI136+BI137+BI138+BI139</f>
        <v>15589.917000000001</v>
      </c>
      <c r="BJ140" s="631">
        <f>BJ134+BJ136+BJ138</f>
        <v>3859.4029999999998</v>
      </c>
      <c r="BK140" s="631">
        <f>BK134+BK136+BK138</f>
        <v>4338.6510000000007</v>
      </c>
      <c r="BL140" s="631">
        <f>BL134+BL136+BL138</f>
        <v>5035.2250000000013</v>
      </c>
      <c r="BM140" s="631">
        <f>BM134+BM136+BM138</f>
        <v>4274.7686952294316</v>
      </c>
      <c r="BN140" s="410">
        <f>BN134+BN136+BN137+BN138+BN139</f>
        <v>17284.940999999999</v>
      </c>
      <c r="BO140" s="410">
        <f>BO134+BO136+BO137+BO138+BO139</f>
        <v>3948.6490910517364</v>
      </c>
      <c r="BP140" s="668">
        <f>BP134+BP136+BP137+BP138+BP139</f>
        <v>4346.722999999999</v>
      </c>
      <c r="BQ140" s="668">
        <f>BQ134+BQ136+BQ137+BQ138+BQ139</f>
        <v>4274.638888172959</v>
      </c>
      <c r="BR140" s="668">
        <f>BR134+BR136+BR137+BR138</f>
        <v>17805.063261011779</v>
      </c>
      <c r="BS140" s="410">
        <f t="shared" ref="BS140:CB140" si="228">BS134+BS136+BS137+BS138</f>
        <v>18950.035714977766</v>
      </c>
      <c r="BT140" s="410">
        <f t="shared" si="228"/>
        <v>20073.367629784214</v>
      </c>
      <c r="BU140" s="410">
        <f t="shared" si="228"/>
        <v>21289.484385163945</v>
      </c>
      <c r="BV140" s="410">
        <f t="shared" si="228"/>
        <v>22611.792681737072</v>
      </c>
      <c r="BW140" s="410">
        <f t="shared" si="228"/>
        <v>23916.446167300212</v>
      </c>
      <c r="BX140" s="410">
        <f t="shared" si="228"/>
        <v>25244.869052711347</v>
      </c>
      <c r="BY140" s="410">
        <f t="shared" si="228"/>
        <v>26584.474255108609</v>
      </c>
      <c r="BZ140" s="410">
        <f t="shared" si="228"/>
        <v>27921.575078084439</v>
      </c>
      <c r="CA140" s="410">
        <f t="shared" si="228"/>
        <v>29242.309531932893</v>
      </c>
      <c r="CB140" s="410">
        <f t="shared" si="228"/>
        <v>28398.099624248811</v>
      </c>
      <c r="CC140" s="269"/>
      <c r="CD140" s="269"/>
      <c r="CE140" s="269"/>
      <c r="CF140" s="269"/>
      <c r="CG140" s="269"/>
      <c r="CH140" s="269"/>
      <c r="CI140" s="269"/>
      <c r="CJ140" s="269"/>
      <c r="CK140" s="269"/>
      <c r="CL140" s="269"/>
    </row>
    <row r="141" spans="1:90">
      <c r="A141" s="73"/>
      <c r="B141" s="73"/>
      <c r="E141" s="1">
        <f>(E140*1000000/Assumptions!E32)/20</f>
        <v>103.89397178127979</v>
      </c>
      <c r="G141" s="1"/>
      <c r="H141" s="1"/>
      <c r="I141" s="40"/>
      <c r="J141" s="40"/>
      <c r="K141" s="40"/>
      <c r="L141" s="40"/>
      <c r="M141" s="1"/>
      <c r="N141" s="40"/>
      <c r="O141" s="40"/>
      <c r="P141" s="40"/>
      <c r="Q141" s="40"/>
      <c r="R141" s="1"/>
      <c r="S141" s="40"/>
      <c r="T141" s="40"/>
      <c r="U141" s="40"/>
      <c r="V141" s="40"/>
      <c r="W141" s="1"/>
      <c r="X141" s="40"/>
      <c r="Y141" s="40"/>
      <c r="Z141" s="40"/>
      <c r="AA141" s="40"/>
      <c r="AB141" s="1"/>
      <c r="AC141" s="40"/>
      <c r="AD141" s="40"/>
      <c r="AE141" s="40"/>
      <c r="AF141" s="40"/>
      <c r="AG141" s="1"/>
      <c r="AH141" s="40"/>
      <c r="AI141" s="40"/>
      <c r="AJ141" s="40"/>
      <c r="AK141" s="414"/>
      <c r="AM141" s="414"/>
      <c r="AN141" s="414"/>
      <c r="AO141" s="414"/>
      <c r="AP141" s="414"/>
      <c r="AR141" s="4"/>
      <c r="AS141" s="4"/>
      <c r="AY141" s="4"/>
      <c r="BD141" s="4"/>
      <c r="BE141" s="640"/>
      <c r="BF141" s="640"/>
      <c r="BG141" s="640"/>
      <c r="BH141" s="640"/>
      <c r="BI141" s="4"/>
      <c r="BJ141" s="640"/>
      <c r="BK141" s="640"/>
      <c r="BL141" s="640"/>
      <c r="BM141" s="640"/>
      <c r="BN141" s="4"/>
      <c r="BO141" s="4"/>
      <c r="BP141" s="668"/>
      <c r="BQ141" s="668"/>
      <c r="BR141" s="668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269"/>
      <c r="CD141" s="269"/>
      <c r="CE141" s="269"/>
      <c r="CF141" s="269"/>
      <c r="CG141" s="269"/>
      <c r="CH141" s="269"/>
      <c r="CI141" s="269"/>
      <c r="CJ141" s="269"/>
      <c r="CK141" s="269"/>
      <c r="CL141" s="269"/>
    </row>
    <row r="142" spans="1:90" s="36" customFormat="1">
      <c r="A142" s="109" t="s">
        <v>209</v>
      </c>
      <c r="B142" s="109"/>
      <c r="C142" s="36">
        <f>C134*1000000/Assumptions!C26</f>
        <v>1607.747437258304</v>
      </c>
      <c r="D142" s="36">
        <f>D134*1000000/Assumptions!D26</f>
        <v>1219.233958283816</v>
      </c>
      <c r="E142" s="36">
        <f>E134*1000000/Assumptions!E26</f>
        <v>2087.1053995307252</v>
      </c>
      <c r="F142" s="36">
        <f>F134*1000000/Assumptions!F26</f>
        <v>2158.382580187103</v>
      </c>
      <c r="G142" s="36">
        <f>G134*1000000/Assumptions!G26</f>
        <v>2313.6603823539149</v>
      </c>
      <c r="H142" s="36">
        <f>H134*1000000/Assumptions!H26</f>
        <v>1765.3478062059257</v>
      </c>
      <c r="I142" s="88">
        <f>I134*1000000/Assumptions!I26</f>
        <v>1718.1810845939474</v>
      </c>
      <c r="J142" s="88">
        <f>J134*1000000/Assumptions!J26</f>
        <v>1464.8581569084904</v>
      </c>
      <c r="K142" s="88">
        <f>K134*1000000/Assumptions!K26</f>
        <v>1718.2959096977793</v>
      </c>
      <c r="L142" s="88"/>
      <c r="M142" s="36">
        <f>M134*1000000/Assumptions!M26</f>
        <v>1610.7551332868702</v>
      </c>
      <c r="N142" s="88">
        <f>N134*1000000/Assumptions!N26</f>
        <v>1598.9282828026842</v>
      </c>
      <c r="O142" s="88">
        <f>O134*1000000/Assumptions!O26</f>
        <v>1632.0514864950248</v>
      </c>
      <c r="P142" s="88">
        <f>P134*1000000/Assumptions!P26</f>
        <v>1679.5006705741648</v>
      </c>
      <c r="Q142" s="88">
        <f>Q134*1000000/Assumptions!Q26</f>
        <v>1784.0057679091406</v>
      </c>
      <c r="R142" s="36">
        <f>R134*$A$3/Assumptions!R26</f>
        <v>1680.9207197702046</v>
      </c>
      <c r="S142" s="88"/>
      <c r="T142" s="88"/>
      <c r="U142" s="88"/>
      <c r="V142" s="88"/>
      <c r="W142" s="36">
        <f>W134*$A$3/Assumptions!W26</f>
        <v>1841.8943979941876</v>
      </c>
      <c r="X142" s="88">
        <f>X134*$A$3/Assumptions!X26</f>
        <v>1893.5801918872501</v>
      </c>
      <c r="Y142" s="88">
        <f>Y134*$A$3/Assumptions!Y26</f>
        <v>1769.0782444707211</v>
      </c>
      <c r="Z142" s="88">
        <f>Z134*$A$3/Assumptions!Z26</f>
        <v>1878.7838420248406</v>
      </c>
      <c r="AA142" s="88">
        <f>AA134*$A$3/Assumptions!AA26</f>
        <v>2055.6127141909938</v>
      </c>
      <c r="AB142" s="36">
        <f>AB134*$A$3/Assumptions!AB26</f>
        <v>1902.5600011291008</v>
      </c>
      <c r="AC142" s="88">
        <f>AC134*$A$3/Assumptions!AC26</f>
        <v>1840.1581829891193</v>
      </c>
      <c r="AD142" s="88">
        <f>AD134*$A$3/Assumptions!AD26</f>
        <v>1731.4648851230245</v>
      </c>
      <c r="AE142" s="88">
        <f>AE134*$A$3/Assumptions!AE26</f>
        <v>1796.5120956817443</v>
      </c>
      <c r="AF142" s="88">
        <f>AF134*$A$3/Assumptions!AF26</f>
        <v>1743.0193500446685</v>
      </c>
      <c r="AG142" s="36">
        <f>AG134*$A$3/Assumptions!AG26</f>
        <v>1742.2903064480554</v>
      </c>
      <c r="AH142" s="88">
        <f>AH134*$A$3/Assumptions!AH26</f>
        <v>2001.7789128469228</v>
      </c>
      <c r="AI142" s="88">
        <f>AI134*$A$3/Assumptions!AI26</f>
        <v>2272.9783070509861</v>
      </c>
      <c r="AJ142" s="88">
        <f>AJ134*$A$3/Assumptions!AJ26</f>
        <v>2659.0477983519604</v>
      </c>
      <c r="AK142" s="88">
        <f>AK134*$A$3/Assumptions!AK26</f>
        <v>2766.5898290732048</v>
      </c>
      <c r="AL142" s="92">
        <f>AL134*$A$3/Assumptions!AL26</f>
        <v>2497.4569317561736</v>
      </c>
      <c r="AM142" s="88">
        <f>AM134*$A$3/Assumptions!AM26</f>
        <v>3331.7054091254945</v>
      </c>
      <c r="AN142" s="88">
        <f>AN134*$A$3/Assumptions!AN26</f>
        <v>4257.6775783145049</v>
      </c>
      <c r="AO142" s="88">
        <f>AO134*$A$3/Assumptions!AO26</f>
        <v>3289.8386014528105</v>
      </c>
      <c r="AP142" s="88">
        <f>AP134*$A$3/Assumptions!AP26</f>
        <v>2748.6840295302759</v>
      </c>
      <c r="AQ142" s="92">
        <f>AQ134*$A$3/Assumptions!AQ26</f>
        <v>3234.0613148957418</v>
      </c>
      <c r="AR142" s="333" t="e">
        <f>AR134*$A$3/Assumptions!AR26</f>
        <v>#REF!</v>
      </c>
      <c r="AS142" s="333" t="e">
        <f>AS134*$A$3/Assumptions!AS26</f>
        <v>#REF!</v>
      </c>
      <c r="AT142" s="333">
        <f>AT134*$A$3/Assumptions!AT26</f>
        <v>2759.4618254151442</v>
      </c>
      <c r="AU142" s="333">
        <f>AU134*$A$3/Assumptions!AU26</f>
        <v>3123.2728756306028</v>
      </c>
      <c r="AV142" s="333">
        <f>AV134*$A$3/Assumptions!AV26</f>
        <v>3323.6081216648372</v>
      </c>
      <c r="AW142" s="333">
        <f>AW134*$A$3/Assumptions!AW26</f>
        <v>3602.6147637883651</v>
      </c>
      <c r="AX142" s="333">
        <f>AX134*$A$3/Assumptions!AX26</f>
        <v>3425.6565427223973</v>
      </c>
      <c r="AY142" s="333">
        <f>AY134*$A$3/Assumptions!AY26</f>
        <v>2769.1554410314825</v>
      </c>
      <c r="AZ142" s="636">
        <f>AZ134*$A$3/Assumptions!AZ26</f>
        <v>3700.2084075152379</v>
      </c>
      <c r="BA142" s="636">
        <f>BA134*$A$3/Assumptions!BA26</f>
        <v>3728.7098529316477</v>
      </c>
      <c r="BB142" s="636">
        <f>BB134*$A$3/Assumptions!BB26</f>
        <v>3538.3434885637544</v>
      </c>
      <c r="BC142" s="636">
        <f>BC134*$A$3/Assumptions!BC26</f>
        <v>3875.1833266785443</v>
      </c>
      <c r="BD142" s="333">
        <f>BD134*$A$3/Assumptions!BD26</f>
        <v>3853.1828776828224</v>
      </c>
      <c r="BE142" s="636">
        <f>BE134*$A$3/Assumptions!BE26</f>
        <v>3803.8970268355124</v>
      </c>
      <c r="BF142" s="636">
        <f>BF134*$A$3/Assumptions!BF26</f>
        <v>3698.3208663232076</v>
      </c>
      <c r="BG142" s="636">
        <f>BG140*$A$3/Assumptions!BG26</f>
        <v>4116.0529261963775</v>
      </c>
      <c r="BH142" s="636">
        <f>BH134*$A$3/Assumptions!BH26</f>
        <v>4240.9938445323996</v>
      </c>
      <c r="BI142" s="333">
        <f>BI134*$A$3/Assumptions!BI26</f>
        <v>3925.9395333682455</v>
      </c>
      <c r="BJ142" s="636">
        <f>BJ134*$A$3/Assumptions!BJ26</f>
        <v>4321.7324233618783</v>
      </c>
      <c r="BK142" s="636">
        <f>BK134*$A$3/Assumptions!BK26</f>
        <v>4632.5070609211543</v>
      </c>
      <c r="BL142" s="636">
        <f>BL134*$A$3/Assumptions!BL26</f>
        <v>4643.4251857642676</v>
      </c>
      <c r="BM142" s="636">
        <f>BM134*$A$3/Assumptions!BM26</f>
        <v>4217.7156555567162</v>
      </c>
      <c r="BN142" s="333">
        <f>BN134*$A$3/Assumptions!BN26</f>
        <v>4388.3925890473538</v>
      </c>
      <c r="BO142" s="333">
        <f>BO134*$A$3/Assumptions!BO26</f>
        <v>4403.455599154845</v>
      </c>
      <c r="BP142" s="668">
        <f>BP134*$A$3/Assumptions!BP26</f>
        <v>4897.5028090953729</v>
      </c>
      <c r="BQ142" s="668">
        <f>BQ134*$A$3/Assumptions!BQ26</f>
        <v>4247.7165776375095</v>
      </c>
      <c r="BR142" s="668">
        <f>BR134*$A$3/Assumptions!BR26</f>
        <v>4344.8182448359021</v>
      </c>
      <c r="BS142" s="333">
        <f>BS134*$A$3/Assumptions!BS26</f>
        <v>4584.2882154222552</v>
      </c>
      <c r="BT142" s="333">
        <f>BT134*$A$3/Assumptions!BT26</f>
        <v>4855.4806656922074</v>
      </c>
      <c r="BU142" s="333">
        <f>BU134*$A$3/Assumptions!BU26</f>
        <v>5149.6870291822233</v>
      </c>
      <c r="BV142" s="333">
        <f>BV134*$A$3/Assumptions!BV26</f>
        <v>5469.5880212755783</v>
      </c>
      <c r="BW142" s="333">
        <f>BW134*$A$3/Assumptions!BW26</f>
        <v>5785.0190421695006</v>
      </c>
      <c r="BX142" s="333">
        <f>BX134*$A$3/Assumptions!BX26</f>
        <v>6106.2659966255551</v>
      </c>
      <c r="BY142" s="333">
        <f>BY134*$A$3/Assumptions!BY26</f>
        <v>6430.1959111939941</v>
      </c>
      <c r="BZ142" s="333">
        <f>BZ134*$A$3/Assumptions!BZ26</f>
        <v>6753.4982047081967</v>
      </c>
      <c r="CA142" s="333">
        <f>CA134*$A$3/Assumptions!CA26</f>
        <v>7072.8208182049166</v>
      </c>
      <c r="CB142" s="333">
        <f>CB134*$A$3/Assumptions!CB26</f>
        <v>6865.1806191368232</v>
      </c>
      <c r="CC142" s="213"/>
      <c r="CD142" s="213"/>
      <c r="CE142" s="213"/>
      <c r="CF142" s="213"/>
      <c r="CG142" s="213"/>
      <c r="CH142" s="213"/>
      <c r="CI142" s="213"/>
      <c r="CJ142" s="213"/>
      <c r="CK142" s="213"/>
      <c r="CL142" s="213"/>
    </row>
    <row r="143" spans="1:90" s="32" customFormat="1">
      <c r="A143" s="227"/>
      <c r="B143" s="227"/>
      <c r="G143" s="32">
        <f>G142/F142-1</f>
        <v>7.1941741743186016E-2</v>
      </c>
      <c r="I143" s="75"/>
      <c r="J143" s="75"/>
      <c r="K143" s="75"/>
      <c r="L143" s="75"/>
      <c r="N143" s="75"/>
      <c r="O143" s="75"/>
      <c r="P143" s="75"/>
      <c r="Q143" s="75"/>
      <c r="S143" s="75"/>
      <c r="T143" s="75"/>
      <c r="U143" s="75"/>
      <c r="V143" s="75"/>
      <c r="X143" s="75"/>
      <c r="Y143" s="75">
        <f>+Y142/X142-1</f>
        <v>-6.5749498199198619E-2</v>
      </c>
      <c r="Z143" s="75">
        <f>+Z142/Y142-1</f>
        <v>6.2012857767600682E-2</v>
      </c>
      <c r="AA143" s="75">
        <f>+AA142/Z142-1</f>
        <v>9.4118795473340677E-2</v>
      </c>
      <c r="AC143" s="75">
        <f>+AC142/AA142-1</f>
        <v>-0.10481280336246057</v>
      </c>
      <c r="AD143" s="75">
        <f>+AD142/AB142-1</f>
        <v>-8.9928893650942698E-2</v>
      </c>
      <c r="AE143" s="75">
        <f>+AE142/AC142-1</f>
        <v>-2.3718660553668891E-2</v>
      </c>
      <c r="AF143" s="75">
        <f>+AF142/AD142-1</f>
        <v>6.6732308699537501E-3</v>
      </c>
      <c r="AH143" s="75">
        <f>+AH142/AF142-1</f>
        <v>0.14845478496588305</v>
      </c>
      <c r="AI143" s="75">
        <f>+AI142/AH142-1</f>
        <v>0.13547919426244959</v>
      </c>
      <c r="AJ143" s="75">
        <f>+AJ142/AH142-1</f>
        <v>0.3283423964988581</v>
      </c>
      <c r="AK143" s="75">
        <f>+AK142/AI142-1</f>
        <v>0.2171650826983218</v>
      </c>
      <c r="AL143" s="45"/>
      <c r="AM143" s="75">
        <f>+AM142/AK142-1</f>
        <v>0.20426431634847764</v>
      </c>
      <c r="AN143" s="75"/>
      <c r="AO143" s="75"/>
      <c r="AP143" s="75"/>
      <c r="AQ143" s="45"/>
      <c r="AR143" s="20"/>
      <c r="AS143" s="20"/>
      <c r="AT143" s="20"/>
      <c r="AU143" s="20"/>
      <c r="AV143" s="20"/>
      <c r="AW143" s="20"/>
      <c r="AX143" s="20"/>
      <c r="AY143" s="20"/>
      <c r="AZ143" s="629"/>
      <c r="BA143" s="629"/>
      <c r="BB143" s="636">
        <f>BB142/20</f>
        <v>176.91717442818771</v>
      </c>
      <c r="BC143" s="636">
        <f>BC142/20</f>
        <v>193.75916633392723</v>
      </c>
      <c r="BD143" s="20"/>
      <c r="BE143" s="629"/>
      <c r="BF143" s="629"/>
      <c r="BG143" s="629"/>
      <c r="BH143" s="629"/>
      <c r="BI143" s="20"/>
      <c r="BJ143" s="629"/>
      <c r="BK143" s="629"/>
      <c r="BL143" s="629"/>
      <c r="BM143" s="629"/>
      <c r="BN143" s="20"/>
      <c r="BO143" s="20"/>
      <c r="BP143" s="668"/>
      <c r="BQ143" s="668"/>
      <c r="BR143" s="668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725"/>
      <c r="CD143" s="725"/>
      <c r="CE143" s="725"/>
      <c r="CF143" s="725"/>
      <c r="CG143" s="725"/>
      <c r="CH143" s="725"/>
      <c r="CI143" s="725"/>
      <c r="CJ143" s="725"/>
      <c r="CK143" s="725"/>
      <c r="CL143" s="725"/>
    </row>
    <row r="144" spans="1:90">
      <c r="A144" s="73" t="s">
        <v>210</v>
      </c>
      <c r="B144" s="73"/>
      <c r="C144" s="12">
        <f>(C134-C126-C127)*1000000/Assumptions!C26</f>
        <v>1466.9512244418258</v>
      </c>
      <c r="D144" s="12">
        <f>(D134-D126-D127)*1000000/Assumptions!D26</f>
        <v>1060.4625078999627</v>
      </c>
      <c r="E144" s="12">
        <f>(E134-E126-E127)*1000000/Assumptions!E26</f>
        <v>1382.2289438454554</v>
      </c>
      <c r="F144" s="12">
        <f>(F134-F126-F127)*1000000/Assumptions!F26</f>
        <v>1506.679648346141</v>
      </c>
      <c r="G144" s="12">
        <f>(G134-G126-G127)*1000000/Assumptions!G26</f>
        <v>1621.3857847301133</v>
      </c>
      <c r="H144" s="12">
        <f>(H134-H126-H127)*1000000/Assumptions!H26</f>
        <v>1497.455577545494</v>
      </c>
      <c r="I144" s="42">
        <f>(I134-I126-I127)*1000000/Assumptions!I26</f>
        <v>1507.8605250340793</v>
      </c>
      <c r="J144" s="42">
        <f>(J134-J126-J127)*1000000/Assumptions!J26</f>
        <v>1282.9192623662852</v>
      </c>
      <c r="K144" s="42">
        <f>(K134-K126-K127)*1000000/Assumptions!K26</f>
        <v>1431.3419913419921</v>
      </c>
      <c r="L144" s="42"/>
      <c r="M144" s="12">
        <f>(M134-M126-M127)*1000000/Assumptions!M26</f>
        <v>1396.3654288942901</v>
      </c>
      <c r="N144" s="42">
        <f>(N134-N126-N127)*1000000/Assumptions!N26</f>
        <v>1376.4836074575296</v>
      </c>
      <c r="O144" s="42">
        <f>(O134-O126-O127)*1000000/Assumptions!O26</f>
        <v>1406.4430329854163</v>
      </c>
      <c r="P144" s="42">
        <f>(P134-P126-P127)*1000000/Assumptions!P26</f>
        <v>1477.5843148761787</v>
      </c>
      <c r="Q144" s="42">
        <f>(Q134-Q126-Q127)*1000000/Assumptions!Q26</f>
        <v>1559.3890591537374</v>
      </c>
      <c r="R144" s="12">
        <f>(R134-R126-R127)*$A$3/Assumptions!R26</f>
        <v>1462.2980081788392</v>
      </c>
      <c r="S144" s="42"/>
      <c r="T144" s="42"/>
      <c r="U144" s="42"/>
      <c r="V144" s="42"/>
      <c r="W144" s="12">
        <f>(W134-W126-W127)*$A$3/Assumptions!W26</f>
        <v>1653.5123512069802</v>
      </c>
      <c r="X144" s="42">
        <f>(X134-X126-X127)*$A$3/Assumptions!X26</f>
        <v>1728.0150005571415</v>
      </c>
      <c r="Y144" s="42">
        <f>(Y134-Y126-Y127)*$A$3/Assumptions!Y26</f>
        <v>1603.623830363219</v>
      </c>
      <c r="Z144" s="42">
        <f>(Z134-Z126-Z127)*$A$3/Assumptions!Z26</f>
        <v>1704.7055596912592</v>
      </c>
      <c r="AA144" s="42">
        <f>(AA134-AA126-AA127)*$A$3/Assumptions!AA26</f>
        <v>1891.9244521124951</v>
      </c>
      <c r="AB144" s="12">
        <f>(AB134-AB126-AB127)*$A$3/Assumptions!AB26</f>
        <v>1735.479879656659</v>
      </c>
      <c r="AC144" s="42">
        <f>(AC134-AC126-AC127)*$A$3/Assumptions!AC26</f>
        <v>1667.322509850954</v>
      </c>
      <c r="AD144" s="42">
        <f>(AD134-AD126-AD127)*$A$3/Assumptions!AD26</f>
        <v>1566.9255698585991</v>
      </c>
      <c r="AE144" s="42">
        <f>(AE134-AE126-AE127)*$A$3/Assumptions!AE26</f>
        <v>1622.9066745044081</v>
      </c>
      <c r="AF144" s="42">
        <f>(AF134-AF126-AF127)*$A$3/Assumptions!AF26</f>
        <v>1583.9197136587079</v>
      </c>
      <c r="AG144" s="12">
        <f>(AG134-AG126-AG127)*$A$3/Assumptions!AG26</f>
        <v>1578.3209411952021</v>
      </c>
      <c r="AH144" s="42">
        <f>(AH134-AH126-AH127)*$A$3/Assumptions!AH26</f>
        <v>1658.3353198210173</v>
      </c>
      <c r="AI144" s="42">
        <f>(AI134-AI126-AI127)*$A$3/Assumptions!AI26</f>
        <v>1925.5258082273554</v>
      </c>
      <c r="AJ144" s="42">
        <f>(AJ134-AJ126-AJ127)*$A$3/Assumptions!AJ26</f>
        <v>2370.0069580346012</v>
      </c>
      <c r="AK144" s="42">
        <f>(AK134-AK126-AK127)*$A$3/Assumptions!AK26</f>
        <v>2470.2605635271102</v>
      </c>
      <c r="AL144" s="31">
        <f>(AL134-AL126-AL127)*$A$3/Assumptions!AL26</f>
        <v>2178.1964332471498</v>
      </c>
      <c r="AM144" s="42">
        <f>(AM134-AM126-AM127)*$A$3/Assumptions!AM26</f>
        <v>2969.523174943788</v>
      </c>
      <c r="AN144" s="42">
        <f>(AN134-AN126-AN127)*$A$3/Assumptions!AN26</f>
        <v>3812.0043886096291</v>
      </c>
      <c r="AO144" s="42">
        <f>(AO134-AO126-AO127)*$A$3/Assumptions!AO26</f>
        <v>2959.9040548792068</v>
      </c>
      <c r="AP144" s="42">
        <f>(AP134-AP126-AP127)*$A$3/Assumptions!AP26</f>
        <v>2464.4034498335404</v>
      </c>
      <c r="AQ144" s="31">
        <f>(AQ134-AQ126-AQ127)*$A$3/Assumptions!AQ26</f>
        <v>2884.423061845162</v>
      </c>
      <c r="AR144" s="229" t="e">
        <f>(AR134-AR126-AR127)*$A$3/Assumptions!AR26</f>
        <v>#REF!</v>
      </c>
      <c r="AS144" s="229" t="e">
        <f>(AS134-AS126-AS127)*$A$3/Assumptions!AS26</f>
        <v>#REF!</v>
      </c>
      <c r="AT144" s="229">
        <f>(AT134-AT126-AT127)*$A$3/Assumptions!AT26</f>
        <v>2478.3731305488145</v>
      </c>
      <c r="AU144" s="229">
        <f>(AU134-AU126-AU127)*$A$3/Assumptions!AU26</f>
        <v>2764.1091095565921</v>
      </c>
      <c r="AV144" s="229">
        <f>(AV134-AV126-AV127)*$A$3/Assumptions!AV26</f>
        <v>2995.1479128301012</v>
      </c>
      <c r="AW144" s="229">
        <f>(AW134-AW126-AW127)*$A$3/Assumptions!AW26</f>
        <v>3246.2177706170787</v>
      </c>
      <c r="AX144" s="229">
        <f>(AX134-AX126-AX127)*$A$3/Assumptions!AX26</f>
        <v>3127.5666087185114</v>
      </c>
      <c r="AY144" s="229">
        <f>(AY134-AY126-AY127)*$A$3/Assumptions!AY26</f>
        <v>2494.726569652732</v>
      </c>
      <c r="AZ144" s="619">
        <f>(AZ134-AZ126-AZ127)*$A$3/Assumptions!AZ26</f>
        <v>3339.5984751691349</v>
      </c>
      <c r="BA144" s="619">
        <f>(BA134-BA126-BA127)*$A$3/Assumptions!BA26</f>
        <v>3370.1969310962299</v>
      </c>
      <c r="BB144" s="619">
        <f>(BB134-BB126-BB127)*$A$3/Assumptions!BB26</f>
        <v>3182.3662642125464</v>
      </c>
      <c r="BC144" s="619">
        <f>(BC134-BC126-BC127)*$A$3/Assumptions!BC26</f>
        <v>3514.0566450641945</v>
      </c>
      <c r="BD144" s="229">
        <f>(BD134-BD126-BD127)*$A$3/Assumptions!BD26</f>
        <v>3493.0105397534448</v>
      </c>
      <c r="BE144" s="619">
        <f>(BE134-BE126-BE127)*$A$3/Assumptions!BE26</f>
        <v>3429.700379808934</v>
      </c>
      <c r="BF144" s="619">
        <f>(BF134-BF126-BF127)*$A$3/Assumptions!BF26</f>
        <v>3302.0950580042927</v>
      </c>
      <c r="BG144" s="619">
        <f>(BG134-BG126-BG127)*$A$3/Assumptions!BG26</f>
        <v>3845.6051278031368</v>
      </c>
      <c r="BH144" s="619">
        <f>(BH134-BH126-BH127)*$A$3/Assumptions!BH26</f>
        <v>3878.1800446243387</v>
      </c>
      <c r="BI144" s="229">
        <f>(BI134-BI126-BI127)*$A$3/Assumptions!BI26</f>
        <v>3553.1332638602448</v>
      </c>
      <c r="BJ144" s="619">
        <f>(BJ134-BJ126-BJ127)*$A$3/Assumptions!BJ26</f>
        <v>3881.7995677524127</v>
      </c>
      <c r="BK144" s="619">
        <f>(BK134-BK126-BK127)*$A$3/Assumptions!BK26</f>
        <v>4198.0276756552057</v>
      </c>
      <c r="BL144" s="619">
        <f>(BL134-BL126-BL127)*$A$3/Assumptions!BL26</f>
        <v>4257.1293747340023</v>
      </c>
      <c r="BM144" s="619">
        <f>(BM134-BM126-BM127)*$A$3/Assumptions!BM26</f>
        <v>3802.7202977616103</v>
      </c>
      <c r="BN144" s="229">
        <f>(BN134-BN126-BN127)*$A$3/Assumptions!BN26</f>
        <v>3961.9789626104393</v>
      </c>
      <c r="BO144" s="229">
        <f>(BO134-BO126-BO127)*$A$3/Assumptions!BO26</f>
        <v>3934.4007367457884</v>
      </c>
      <c r="BP144" s="668">
        <f>(BP134-BP126-BP127)*$A$3/Assumptions!BP26</f>
        <v>4388.5752337270851</v>
      </c>
      <c r="BQ144" s="668">
        <f>(BQ134-BQ126-BQ127)*$A$3/Assumptions!BQ26</f>
        <v>3808.3208930412966</v>
      </c>
      <c r="BR144" s="668">
        <f>(BR134-BR126-BR127)*$A$3/Assumptions!BR26</f>
        <v>3932.0743002841164</v>
      </c>
      <c r="BS144" s="229">
        <f>(BS134-BS126-BS127)*$A$3/Assumptions!BS26</f>
        <v>4172.5444603352125</v>
      </c>
      <c r="BT144" s="229">
        <f>(BT134-BT126-BT127)*$A$3/Assumptions!BT26</f>
        <v>4435.4999101830135</v>
      </c>
      <c r="BU144" s="229">
        <f>(BU134-BU126-BU127)*$A$3/Assumptions!BU26</f>
        <v>4721.3044907250578</v>
      </c>
      <c r="BV144" s="229">
        <f>(BV134-BV126-BV127)*$A$3/Assumptions!BV26</f>
        <v>5032.6356208435345</v>
      </c>
      <c r="BW144" s="229">
        <f>(BW134-BW126-BW127)*$A$3/Assumptions!BW26</f>
        <v>5339.3253382875546</v>
      </c>
      <c r="BX144" s="229">
        <f>(BX134-BX126-BX127)*$A$3/Assumptions!BX26</f>
        <v>5651.6561181042398</v>
      </c>
      <c r="BY144" s="229">
        <f>(BY134-BY126-BY127)*$A$3/Assumptions!BY26</f>
        <v>5966.491488517413</v>
      </c>
      <c r="BZ144" s="229">
        <f>(BZ134-BZ126-BZ127)*$A$3/Assumptions!BZ26</f>
        <v>6280.517300049436</v>
      </c>
      <c r="CA144" s="229">
        <f>(CA134-CA126-CA127)*$A$3/Assumptions!CA26</f>
        <v>6590.3778540414041</v>
      </c>
      <c r="CB144" s="229">
        <f>(CB134-CB126-CB127)*$A$3/Assumptions!CB26</f>
        <v>6865.1806191368232</v>
      </c>
      <c r="CC144" s="269"/>
      <c r="CD144" s="269"/>
      <c r="CE144" s="269"/>
      <c r="CF144" s="269"/>
      <c r="CG144" s="269"/>
      <c r="CH144" s="269"/>
      <c r="CI144" s="269"/>
      <c r="CJ144" s="269"/>
      <c r="CK144" s="269"/>
      <c r="CL144" s="269"/>
    </row>
    <row r="145" spans="1:90" s="377" customFormat="1">
      <c r="A145" s="415"/>
      <c r="B145" s="415"/>
      <c r="I145" s="374"/>
      <c r="J145" s="374"/>
      <c r="K145" s="374"/>
      <c r="L145" s="374"/>
      <c r="N145" s="374"/>
      <c r="O145" s="374"/>
      <c r="P145" s="374"/>
      <c r="Q145" s="374"/>
      <c r="S145" s="374"/>
      <c r="T145" s="374"/>
      <c r="U145" s="374"/>
      <c r="V145" s="374"/>
      <c r="W145" s="377">
        <f>+W144/R144-1</f>
        <v>0.13076291013093932</v>
      </c>
      <c r="X145" s="374"/>
      <c r="Y145" s="374"/>
      <c r="Z145" s="374"/>
      <c r="AA145" s="374"/>
      <c r="AB145" s="377">
        <f>+AB144/W144-1</f>
        <v>4.957176666376073E-2</v>
      </c>
      <c r="AC145" s="374"/>
      <c r="AD145" s="374"/>
      <c r="AE145" s="374"/>
      <c r="AF145" s="374"/>
      <c r="AG145" s="377">
        <f>+AG144/AB144-1</f>
        <v>-9.0556473920371028E-2</v>
      </c>
      <c r="AH145" s="374"/>
      <c r="AI145" s="374"/>
      <c r="AJ145" s="374"/>
      <c r="AK145" s="374"/>
      <c r="AL145" s="378">
        <f>+AL144/AG144-1</f>
        <v>0.38007193365734926</v>
      </c>
      <c r="AM145" s="374"/>
      <c r="AN145" s="374"/>
      <c r="AO145" s="374"/>
      <c r="AP145" s="374"/>
      <c r="AQ145" s="378">
        <f>+AQ144/AL144-1</f>
        <v>0.32422540860798477</v>
      </c>
      <c r="AR145" s="379" t="e">
        <f>+AR144/AP144-1</f>
        <v>#REF!</v>
      </c>
      <c r="AS145" s="379" t="e">
        <f>+AS144/AP144-1</f>
        <v>#REF!</v>
      </c>
      <c r="AT145" s="378"/>
      <c r="AU145" s="378"/>
      <c r="AV145" s="378"/>
      <c r="AW145" s="378"/>
      <c r="AX145" s="378"/>
      <c r="AY145" s="379">
        <f>+AY144/AT144-1</f>
        <v>6.5984572308110945E-3</v>
      </c>
      <c r="AZ145" s="680"/>
      <c r="BA145" s="680"/>
      <c r="BB145" s="680"/>
      <c r="BC145" s="680"/>
      <c r="BD145" s="379">
        <f>+BD144/AY144-1</f>
        <v>0.40015766947945508</v>
      </c>
      <c r="BE145" s="680"/>
      <c r="BF145" s="680"/>
      <c r="BG145" s="680"/>
      <c r="BH145" s="680"/>
      <c r="BI145" s="379">
        <f>+BI144/BD144-1</f>
        <v>1.7212293928847933E-2</v>
      </c>
      <c r="BJ145" s="680"/>
      <c r="BK145" s="680"/>
      <c r="BL145" s="680"/>
      <c r="BM145" s="680"/>
      <c r="BN145" s="379">
        <f>+BN144/BI144-1</f>
        <v>0.11506624390046394</v>
      </c>
      <c r="BO145" s="379"/>
      <c r="BP145" s="668"/>
      <c r="BQ145" s="668"/>
      <c r="BR145" s="668">
        <f>+BR144/BN144-1</f>
        <v>-7.547910427727178E-3</v>
      </c>
      <c r="BS145" s="379">
        <f t="shared" ref="BS145:CB145" si="229">+BS144/BR144-1</f>
        <v>6.1156057003734832E-2</v>
      </c>
      <c r="BT145" s="379">
        <f t="shared" si="229"/>
        <v>6.3020406935742068E-2</v>
      </c>
      <c r="BU145" s="379">
        <f t="shared" si="229"/>
        <v>6.4435708788065815E-2</v>
      </c>
      <c r="BV145" s="379">
        <f t="shared" si="229"/>
        <v>6.5941760530396465E-2</v>
      </c>
      <c r="BW145" s="379">
        <f t="shared" si="229"/>
        <v>6.094017937118501E-2</v>
      </c>
      <c r="BX145" s="379">
        <f t="shared" si="229"/>
        <v>5.8496300567602688E-2</v>
      </c>
      <c r="BY145" s="379">
        <f t="shared" si="229"/>
        <v>5.5706745745666364E-2</v>
      </c>
      <c r="BZ145" s="379">
        <f t="shared" si="229"/>
        <v>5.2631569513904353E-2</v>
      </c>
      <c r="CA145" s="379">
        <f t="shared" si="229"/>
        <v>4.9336788545989441E-2</v>
      </c>
      <c r="CB145" s="379">
        <f t="shared" si="229"/>
        <v>4.1697573520295572E-2</v>
      </c>
      <c r="CC145" s="787"/>
      <c r="CD145" s="787"/>
      <c r="CE145" s="787"/>
      <c r="CF145" s="787"/>
      <c r="CG145" s="787"/>
      <c r="CH145" s="787"/>
      <c r="CI145" s="787"/>
      <c r="CJ145" s="787"/>
      <c r="CK145" s="787"/>
      <c r="CL145" s="787"/>
    </row>
    <row r="146" spans="1:90">
      <c r="A146" s="73" t="s">
        <v>211</v>
      </c>
      <c r="B146" s="73"/>
      <c r="C146" s="12">
        <f>(C121+C122)*1000000/Assumptions!C26</f>
        <v>865.81219486268913</v>
      </c>
      <c r="D146" s="12">
        <f>(D121+D122)*1000000/Assumptions!D26</f>
        <v>737.98849699719267</v>
      </c>
      <c r="E146" s="12">
        <f>(E121+E122)*1000000/Assumptions!E26</f>
        <v>832.05818422605762</v>
      </c>
      <c r="F146" s="12">
        <f>(F121+F122)*1000000/Assumptions!F26</f>
        <v>868.3699465419312</v>
      </c>
      <c r="G146" s="12">
        <f>(G121+G122)*1000000/Assumptions!G26</f>
        <v>1051.3234196369147</v>
      </c>
      <c r="H146" s="12">
        <f>(H121+H122)*1000000/Assumptions!H26</f>
        <v>963.40372098340276</v>
      </c>
      <c r="I146" s="42">
        <f>(I121+I122)*1000000/Assumptions!I26</f>
        <v>878.80525783386702</v>
      </c>
      <c r="J146" s="42">
        <f>(J121+J122)*1000000/Assumptions!J26</f>
        <v>731.00196073564814</v>
      </c>
      <c r="K146" s="42">
        <f>(K121+K122)*1000000/Assumptions!K26</f>
        <v>1000.4223813569608</v>
      </c>
      <c r="L146" s="42"/>
      <c r="M146" s="12">
        <f>(M121+M122)*1000000/Assumptions!M26</f>
        <v>844.8933099300059</v>
      </c>
      <c r="N146" s="42">
        <f>(N121+N122)*1000000/Assumptions!N26</f>
        <v>795.740163488966</v>
      </c>
      <c r="O146" s="42">
        <f>(O121+O122)*1000000/Assumptions!O26</f>
        <v>808.39092667868181</v>
      </c>
      <c r="P146" s="42">
        <f>(P121+P122)*1000000/Assumptions!P26</f>
        <v>860.15775406590456</v>
      </c>
      <c r="Q146" s="42">
        <f>(Q121+Q122)*1000000/Assumptions!Q26</f>
        <v>956.66961762590654</v>
      </c>
      <c r="R146" s="12">
        <f>(R121+R122)*$A$3/Assumptions!R26</f>
        <v>905.06030240926304</v>
      </c>
      <c r="S146" s="42"/>
      <c r="T146" s="42"/>
      <c r="U146" s="42"/>
      <c r="V146" s="42"/>
      <c r="W146" s="12">
        <f>(W121+W122)*$A$3/Assumptions!W26</f>
        <v>1002.2953839057171</v>
      </c>
      <c r="X146" s="42">
        <f>(X121+X122)*$A$3/Assumptions!X26</f>
        <v>1114.8326461920333</v>
      </c>
      <c r="Y146" s="42">
        <f>(Y121+Y122)*$A$3/Assumptions!Y26</f>
        <v>1313.0178054743371</v>
      </c>
      <c r="Z146" s="42">
        <f>(Z121+Z122)*$A$3/Assumptions!Z26</f>
        <v>1235.763820867453</v>
      </c>
      <c r="AA146" s="42">
        <f>(AA121+AA122)*$A$3/Assumptions!AA26</f>
        <v>1202.1375570926828</v>
      </c>
      <c r="AB146" s="12">
        <f>(AB121+AB122)*$A$3/Assumptions!AB26</f>
        <v>1216.2731671516312</v>
      </c>
      <c r="AC146" s="42">
        <f>(AC121+AC122)*$A$3/Assumptions!AC26</f>
        <v>1026.5252789403371</v>
      </c>
      <c r="AD146" s="42">
        <f>(AD121+AD122)*$A$3/Assumptions!AD26</f>
        <v>1079.5637654037523</v>
      </c>
      <c r="AE146" s="42">
        <f>(AE121+AE122)*$A$3/Assumptions!AE26</f>
        <v>995.33840487735199</v>
      </c>
      <c r="AF146" s="42">
        <f>(AF121+AF122)*$A$3/Assumptions!AF26</f>
        <v>1011.0560425865202</v>
      </c>
      <c r="AG146" s="12">
        <f>(AG121+AG122)*$A$3/Assumptions!AG26</f>
        <v>1008.3460434172929</v>
      </c>
      <c r="AH146" s="42">
        <f>(AH121+AH122)*$A$3/Assumptions!AH26</f>
        <v>1271.4060237307394</v>
      </c>
      <c r="AI146" s="42">
        <f>(AI121+AI122)*$A$3/Assumptions!AI26</f>
        <v>1558.7501767363879</v>
      </c>
      <c r="AJ146" s="42">
        <f>(AJ121+AJ122)*$A$3/Assumptions!AJ26</f>
        <v>1307.3594116916527</v>
      </c>
      <c r="AK146" s="42">
        <f>(AK121+AK122)*$A$3/Assumptions!AK26</f>
        <v>1698.3191194095616</v>
      </c>
      <c r="AL146" s="31">
        <f>(AL121+AL122)*$A$3/Assumptions!AL26</f>
        <v>1476.1300705549761</v>
      </c>
      <c r="AM146" s="42">
        <f>(AM121+AM122)*$A$3/Assumptions!AM26</f>
        <v>2341.5862322495705</v>
      </c>
      <c r="AN146" s="42">
        <f>(AN121+AN122)*$A$3/Assumptions!AN26</f>
        <v>3976.1884635439392</v>
      </c>
      <c r="AO146" s="42">
        <f>(AO121+AO122)*$A$3/Assumptions!AO26</f>
        <v>1099.7977283638982</v>
      </c>
      <c r="AP146" s="42">
        <f>(AP121+AP122)*$A$3/Assumptions!AP26</f>
        <v>1602.8321054354296</v>
      </c>
      <c r="AQ146" s="31">
        <f>(AQ121+AQ122)*$A$3/Assumptions!AQ26</f>
        <v>2071.4278713825306</v>
      </c>
      <c r="AR146" s="229">
        <f>(AR121+AR122)*$A$3/Assumptions!AR26</f>
        <v>1468.3174369590745</v>
      </c>
      <c r="AS146" s="229">
        <f>(AS121+AS122)*$A$3/Assumptions!AS26</f>
        <v>1355.1965689590745</v>
      </c>
      <c r="AT146" s="31">
        <f>AT140*$A$3/Assumptions!AT26</f>
        <v>2764.5384329073522</v>
      </c>
      <c r="AU146" s="31">
        <f>AU140*$A$3/Assumptions!AU26</f>
        <v>2928.3232467728662</v>
      </c>
      <c r="AV146" s="31">
        <f>AV140*$A$3/Assumptions!AV26</f>
        <v>3427.9246989228568</v>
      </c>
      <c r="AW146" s="31">
        <f>AW140*$A$3/Assumptions!AW26</f>
        <v>3634.2124034178487</v>
      </c>
      <c r="AX146" s="31">
        <f>AX140*$A$3/Assumptions!AX26</f>
        <v>3452.4930419882121</v>
      </c>
      <c r="AY146" s="229">
        <f>(AY121+AY122)*$A$3/Assumptions!AY26</f>
        <v>1559.4008168298062</v>
      </c>
      <c r="AZ146" s="619">
        <f>AZ140*$A$3/Assumptions!AZ26</f>
        <v>3735.0019898204973</v>
      </c>
      <c r="BA146" s="619">
        <f>BA140*$A$3/Assumptions!BA26</f>
        <v>3772.3294684907164</v>
      </c>
      <c r="BB146" s="619">
        <f>BB140*$A$3/Assumptions!BB26</f>
        <v>3538.3434885637544</v>
      </c>
      <c r="BC146" s="619">
        <f>BC140*$A$3/Assumptions!BC26</f>
        <v>3875.1833266785438</v>
      </c>
      <c r="BD146" s="229">
        <f>(BD121+BD122)*$A$3/Assumptions!BD26</f>
        <v>2340.5639414872126</v>
      </c>
      <c r="BE146" s="619">
        <f>BE140*$A$3/Assumptions!BE26</f>
        <v>3765.3412263930709</v>
      </c>
      <c r="BF146" s="619">
        <f>BF140*$A$3/Assumptions!BF26</f>
        <v>3803.4167969110117</v>
      </c>
      <c r="BG146" s="619">
        <f>BG140*$A$3/Assumptions!BG26</f>
        <v>4116.0529261963775</v>
      </c>
      <c r="BH146" s="619">
        <f>BH140*$A$3/Assumptions!BH26</f>
        <v>4240.9938445323996</v>
      </c>
      <c r="BI146" s="229">
        <f>(BI121+BI122)*$A$3/Assumptions!BI26</f>
        <v>2317.7489717406816</v>
      </c>
      <c r="BJ146" s="619">
        <f>BJ140*$A$3/Assumptions!BJ26</f>
        <v>4301.7473814913765</v>
      </c>
      <c r="BK146" s="619">
        <f>BK140*$A$3/Assumptions!BK26</f>
        <v>4563.8543951275706</v>
      </c>
      <c r="BL146" s="619">
        <f>BL140*$A$3/Assumptions!BL26</f>
        <v>4624.4524608243273</v>
      </c>
      <c r="BM146" s="619">
        <f>BM140*$A$3/Assumptions!BM26</f>
        <v>4217.7156555567162</v>
      </c>
      <c r="BN146" s="229">
        <f>(BN121+BN122)*$A$3/Assumptions!BN26</f>
        <v>2362.3281022177493</v>
      </c>
      <c r="BO146" s="229">
        <f>(BO121+BO122)*$A$3/Assumptions!BO26</f>
        <v>2383.2797962261375</v>
      </c>
      <c r="BP146" s="668">
        <f>(BP121+BP122)*$A$3/Assumptions!BP26</f>
        <v>2049.5067838071895</v>
      </c>
      <c r="BQ146" s="668">
        <f>(BQ121+BQ122)*$A$3/Assumptions!BQ26</f>
        <v>2373.980996226137</v>
      </c>
      <c r="BR146" s="668">
        <f>(BR121+BR122)*$A$3/Assumptions!BR26</f>
        <v>2415.0928441047854</v>
      </c>
      <c r="BS146" s="229">
        <f>(BS121+BS122)*$A$3/Assumptions!BS26</f>
        <v>2614.5048957310719</v>
      </c>
      <c r="BT146" s="229">
        <f>(BT121+BT122)*$A$3/Assumptions!BT26</f>
        <v>2825.1080301316861</v>
      </c>
      <c r="BU146" s="229">
        <f>(BU121+BU122)*$A$3/Assumptions!BU26</f>
        <v>3056.2255780657192</v>
      </c>
      <c r="BV146" s="229">
        <f>(BV121+BV122)*$A$3/Assumptions!BV26</f>
        <v>3310.1187026752186</v>
      </c>
      <c r="BW146" s="229">
        <f>(BW121+BW122)*$A$3/Assumptions!BW26</f>
        <v>3556.4819058224671</v>
      </c>
      <c r="BX146" s="229">
        <f>(BX121+BX122)*$A$3/Assumptions!BX26</f>
        <v>3805.453255698219</v>
      </c>
      <c r="BY146" s="229">
        <f>(BY121+BY122)*$A$3/Assumptions!BY26</f>
        <v>4053.7446589967394</v>
      </c>
      <c r="BZ146" s="229">
        <f>(BZ121+BZ122)*$A$3/Assumptions!BZ26</f>
        <v>4297.8827691051638</v>
      </c>
      <c r="CA146" s="229">
        <f>(CA121+CA122)*$A$3/Assumptions!CA26</f>
        <v>4534.3447355967219</v>
      </c>
      <c r="CB146" s="229">
        <f>(CB121+CB122)*$A$3/Assumptions!CB26</f>
        <v>4759.7110270802068</v>
      </c>
      <c r="CC146" s="269"/>
      <c r="CD146" s="269"/>
      <c r="CE146" s="269"/>
      <c r="CF146" s="269"/>
      <c r="CG146" s="269"/>
      <c r="CH146" s="269"/>
      <c r="CI146" s="269"/>
      <c r="CJ146" s="269"/>
      <c r="CK146" s="269"/>
      <c r="CL146" s="269"/>
    </row>
    <row r="147" spans="1:90" s="32" customFormat="1">
      <c r="A147" s="227"/>
      <c r="B147" s="227"/>
      <c r="D147" s="32">
        <f>D146/C146-1</f>
        <v>-0.14763443922820729</v>
      </c>
      <c r="E147" s="32">
        <f>E146/D146-1</f>
        <v>0.12746768765587246</v>
      </c>
      <c r="F147" s="32">
        <f>F146/E146-1</f>
        <v>4.3640893154183846E-2</v>
      </c>
      <c r="G147" s="32">
        <f>G146/F146-1</f>
        <v>0.21068609504917868</v>
      </c>
      <c r="I147" s="75"/>
      <c r="J147" s="75"/>
      <c r="K147" s="75"/>
      <c r="L147" s="75"/>
      <c r="N147" s="75"/>
      <c r="O147" s="75"/>
      <c r="P147" s="75"/>
      <c r="Q147" s="75"/>
      <c r="S147" s="75"/>
      <c r="T147" s="75"/>
      <c r="U147" s="75"/>
      <c r="V147" s="75"/>
      <c r="X147" s="75"/>
      <c r="Y147" s="75">
        <f>+Y146/X146-1</f>
        <v>0.17777121970660859</v>
      </c>
      <c r="Z147" s="75">
        <f>+Z146/Y146-1</f>
        <v>-5.8836966478893693E-2</v>
      </c>
      <c r="AA147" s="75">
        <f>+AA146/Z146-1</f>
        <v>-2.721091458331093E-2</v>
      </c>
      <c r="AC147" s="75">
        <f>+AC146/AA146-1</f>
        <v>-0.14608334721448712</v>
      </c>
      <c r="AD147" s="75">
        <f>+AD146/AB146-1</f>
        <v>-0.11240024481345445</v>
      </c>
      <c r="AE147" s="75">
        <f>+AE146/AC146-1</f>
        <v>-3.0381009316379215E-2</v>
      </c>
      <c r="AF147" s="75">
        <f>+AF146/AD146-1</f>
        <v>-6.3458708982892298E-2</v>
      </c>
      <c r="AG147" s="32">
        <f>+AG146/AB146-1</f>
        <v>-0.17095429657572669</v>
      </c>
      <c r="AH147" s="75">
        <f>+AH146/AF146-1</f>
        <v>0.25750301682405508</v>
      </c>
      <c r="AI147" s="75">
        <f>+AI146/AH146-1</f>
        <v>0.22600502722370508</v>
      </c>
      <c r="AJ147" s="75">
        <f>+AJ146/AH146-1</f>
        <v>2.8278447081298008E-2</v>
      </c>
      <c r="AK147" s="75">
        <f>+AK146/AI146-1</f>
        <v>8.9539006799276954E-2</v>
      </c>
      <c r="AL147" s="378">
        <f>+AL146/AG146-1</f>
        <v>0.46391219580964416</v>
      </c>
      <c r="AM147" s="75">
        <f>+AM146/AK146-1</f>
        <v>0.37876692636166487</v>
      </c>
      <c r="AN147" s="75">
        <f>+AN146/AL146-1</f>
        <v>1.6936572480018808</v>
      </c>
      <c r="AO147" s="75">
        <f>+AO146/AM146-1</f>
        <v>-0.53031935650419393</v>
      </c>
      <c r="AP147" s="75">
        <f>+AP146/AN146-1</f>
        <v>-0.59689232033864903</v>
      </c>
      <c r="AQ147" s="378">
        <f>+AQ146/AL146-1</f>
        <v>0.40328275448229456</v>
      </c>
      <c r="AR147" s="379">
        <f>+AR146/AP146-1</f>
        <v>-8.3923118347952297E-2</v>
      </c>
      <c r="AS147" s="379">
        <f>+AS146/AP146-1</f>
        <v>-0.15449873735158415</v>
      </c>
      <c r="AT147" s="378"/>
      <c r="AU147" s="378"/>
      <c r="AV147" s="378">
        <f>AV146/AU146-1</f>
        <v>0.17061007615896639</v>
      </c>
      <c r="AW147" s="378">
        <f>AW146/AV146-1</f>
        <v>6.017859860218433E-2</v>
      </c>
      <c r="AX147" s="378">
        <f>AX146/AW146-1</f>
        <v>-5.0002405269085504E-2</v>
      </c>
      <c r="AY147" s="379">
        <f>+AY146/AT146-1</f>
        <v>-0.43592724258499527</v>
      </c>
      <c r="AZ147" s="680">
        <f>AZ146/AY146-1</f>
        <v>1.3951520029427669</v>
      </c>
      <c r="BA147" s="680">
        <f>BA146/AZ146-1</f>
        <v>9.9939648685469784E-3</v>
      </c>
      <c r="BB147" s="680">
        <f>BB146/BA146-1</f>
        <v>-6.2026920469536395E-2</v>
      </c>
      <c r="BC147" s="680">
        <f>BC146/BB146-1</f>
        <v>9.5197043250178082E-2</v>
      </c>
      <c r="BD147" s="379">
        <f>+BD146/AY146-1</f>
        <v>0.50093799889465029</v>
      </c>
      <c r="BE147" s="680">
        <f>BE146/BD146-1</f>
        <v>0.60873247666993602</v>
      </c>
      <c r="BF147" s="680">
        <f>BF146/BE146-1</f>
        <v>1.0112116865013787E-2</v>
      </c>
      <c r="BG147" s="680">
        <f>BG146/BF146-1</f>
        <v>8.2198756007828777E-2</v>
      </c>
      <c r="BH147" s="680">
        <f>BH146/BG146-1</f>
        <v>3.0354546109172542E-2</v>
      </c>
      <c r="BI147" s="379">
        <f>+BI146/BD146-1</f>
        <v>-9.7476378842418221E-3</v>
      </c>
      <c r="BJ147" s="680">
        <f>BJ146/BI146-1</f>
        <v>0.85600228236134979</v>
      </c>
      <c r="BK147" s="680">
        <f>BK146/BJ146-1</f>
        <v>6.0930359314898652E-2</v>
      </c>
      <c r="BL147" s="680">
        <f>BL146/BK146-1</f>
        <v>1.3277826251742786E-2</v>
      </c>
      <c r="BM147" s="680">
        <f>BM146/BL146-1</f>
        <v>-8.7953505569199564E-2</v>
      </c>
      <c r="BN147" s="379">
        <f>+BN146/BI146-1</f>
        <v>1.9233804445866198E-2</v>
      </c>
      <c r="BO147" s="379"/>
      <c r="BP147" s="668"/>
      <c r="BQ147" s="668"/>
      <c r="BR147" s="668">
        <f>+BR146/BN146-1</f>
        <v>2.2335907462430971E-2</v>
      </c>
      <c r="BS147" s="379">
        <f t="shared" ref="BS147:CB147" si="230">+BS146/BR146-1</f>
        <v>8.2569103756424456E-2</v>
      </c>
      <c r="BT147" s="379">
        <f t="shared" si="230"/>
        <v>8.0551822543719176E-2</v>
      </c>
      <c r="BU147" s="379">
        <f t="shared" si="230"/>
        <v>8.1808392977899658E-2</v>
      </c>
      <c r="BV147" s="379">
        <f t="shared" si="230"/>
        <v>8.3074078834909804E-2</v>
      </c>
      <c r="BW147" s="379">
        <f t="shared" si="230"/>
        <v>7.4427301639708343E-2</v>
      </c>
      <c r="BX147" s="379">
        <f t="shared" si="230"/>
        <v>7.0004953341151754E-2</v>
      </c>
      <c r="BY147" s="379">
        <f t="shared" si="230"/>
        <v>6.5246210271203031E-2</v>
      </c>
      <c r="BZ147" s="379">
        <f t="shared" si="230"/>
        <v>6.0225330070208694E-2</v>
      </c>
      <c r="CA147" s="379">
        <f t="shared" si="230"/>
        <v>5.5018244841701591E-2</v>
      </c>
      <c r="CB147" s="379">
        <f t="shared" si="230"/>
        <v>4.9702063831683185E-2</v>
      </c>
      <c r="CC147" s="725"/>
      <c r="CD147" s="725"/>
      <c r="CE147" s="725"/>
      <c r="CF147" s="725"/>
      <c r="CG147" s="725"/>
      <c r="CH147" s="725"/>
      <c r="CI147" s="725"/>
      <c r="CJ147" s="725"/>
      <c r="CK147" s="725"/>
      <c r="CL147" s="725"/>
    </row>
    <row r="148" spans="1:90">
      <c r="A148" s="73"/>
      <c r="B148" s="73"/>
      <c r="G148" s="32">
        <f>G146/E146-1</f>
        <v>0.26352151756647579</v>
      </c>
      <c r="H148" s="1"/>
      <c r="I148" s="40"/>
      <c r="J148" s="40"/>
      <c r="K148" s="40"/>
      <c r="L148" s="40"/>
      <c r="M148" s="1"/>
      <c r="N148" s="40"/>
      <c r="O148" s="40"/>
      <c r="P148" s="40"/>
      <c r="Q148" s="40"/>
      <c r="R148" s="1"/>
      <c r="S148" s="40"/>
      <c r="T148" s="40"/>
      <c r="U148" s="40"/>
      <c r="V148" s="40"/>
      <c r="W148" s="1"/>
      <c r="X148" s="40"/>
      <c r="Y148" s="40"/>
      <c r="Z148" s="40"/>
      <c r="AA148" s="40"/>
      <c r="AB148" s="1"/>
      <c r="AC148" s="40"/>
      <c r="AD148" s="40"/>
      <c r="AE148" s="40"/>
      <c r="AF148" s="40"/>
      <c r="AG148" s="1"/>
      <c r="AH148" s="40"/>
      <c r="AI148" s="40"/>
      <c r="AJ148" s="40"/>
      <c r="AK148" s="40"/>
      <c r="AM148" s="40"/>
      <c r="AN148" s="40"/>
      <c r="AO148" s="40"/>
      <c r="AP148" s="40"/>
      <c r="AR148" s="4"/>
      <c r="AS148" s="4"/>
      <c r="AY148" s="4"/>
      <c r="BD148" s="4"/>
      <c r="BE148" s="640"/>
      <c r="BF148" s="640"/>
      <c r="BG148" s="640"/>
      <c r="BH148" s="640"/>
      <c r="BI148" s="4"/>
      <c r="BJ148" s="640"/>
      <c r="BK148" s="640"/>
      <c r="BL148" s="640"/>
      <c r="BM148" s="640"/>
      <c r="BN148" s="4"/>
      <c r="BO148" s="4"/>
      <c r="BP148" s="668"/>
      <c r="BQ148" s="668"/>
      <c r="BR148" s="668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269"/>
      <c r="CD148" s="269"/>
      <c r="CE148" s="269"/>
      <c r="CF148" s="269"/>
      <c r="CG148" s="269"/>
      <c r="CH148" s="269"/>
      <c r="CI148" s="269"/>
      <c r="CJ148" s="269"/>
      <c r="CK148" s="269"/>
      <c r="CL148" s="269"/>
    </row>
    <row r="149" spans="1:90">
      <c r="A149" s="266" t="s">
        <v>363</v>
      </c>
      <c r="H149" s="31"/>
      <c r="I149" s="40"/>
      <c r="J149" s="40"/>
      <c r="K149" s="40"/>
      <c r="L149" s="40"/>
      <c r="M149" s="31"/>
      <c r="N149" s="40"/>
      <c r="O149" s="40"/>
      <c r="P149" s="40"/>
      <c r="Q149" s="40"/>
      <c r="S149" s="40"/>
      <c r="T149" s="40"/>
      <c r="U149" s="40"/>
      <c r="V149" s="40"/>
      <c r="X149" s="40"/>
      <c r="Y149" s="40"/>
      <c r="Z149" s="40"/>
      <c r="AA149" s="40"/>
      <c r="AC149" s="40"/>
      <c r="AD149" s="40"/>
      <c r="AE149" s="40"/>
      <c r="AF149" s="40"/>
      <c r="AH149" s="40"/>
      <c r="AI149" s="40"/>
      <c r="AJ149" s="40"/>
      <c r="AK149" s="40"/>
      <c r="AM149" s="40"/>
      <c r="AN149" s="40"/>
      <c r="AO149" s="40"/>
      <c r="AP149" s="40"/>
      <c r="AR149" s="4"/>
      <c r="AS149" s="4"/>
      <c r="AY149" s="4"/>
      <c r="BD149" s="4"/>
      <c r="BE149" s="640"/>
      <c r="BF149" s="640"/>
      <c r="BG149" s="640"/>
      <c r="BH149" s="640"/>
      <c r="BI149" s="4"/>
      <c r="BJ149" s="640"/>
      <c r="BK149" s="640"/>
      <c r="BL149" s="640"/>
      <c r="BM149" s="640"/>
      <c r="BN149" s="4"/>
      <c r="BO149" s="4"/>
      <c r="BP149" s="668"/>
      <c r="BQ149" s="668"/>
      <c r="BR149" s="668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269"/>
      <c r="CD149" s="269"/>
      <c r="CE149" s="269"/>
      <c r="CF149" s="269"/>
      <c r="CG149" s="269"/>
      <c r="CH149" s="269"/>
      <c r="CI149" s="269"/>
      <c r="CJ149" s="269"/>
      <c r="CK149" s="269"/>
      <c r="CL149" s="269"/>
    </row>
    <row r="150" spans="1:90">
      <c r="F150" s="397"/>
      <c r="I150" s="40"/>
      <c r="J150" s="369"/>
      <c r="K150" s="40"/>
      <c r="L150" s="40"/>
      <c r="N150" s="40"/>
      <c r="O150" s="40"/>
      <c r="P150" s="40"/>
      <c r="Q150" s="40"/>
      <c r="S150" s="40"/>
      <c r="T150" s="40"/>
      <c r="U150" s="40"/>
      <c r="V150" s="40"/>
      <c r="X150" s="40"/>
      <c r="Y150" s="40"/>
      <c r="Z150" s="40"/>
      <c r="AA150" s="40"/>
      <c r="AC150" s="40"/>
      <c r="AD150" s="40"/>
      <c r="AE150" s="40"/>
      <c r="AF150" s="40"/>
      <c r="AH150" s="40"/>
      <c r="AI150" s="40"/>
      <c r="AJ150" s="40"/>
      <c r="AK150" s="40"/>
      <c r="AM150" s="40"/>
      <c r="AN150" s="40"/>
      <c r="AO150" s="369"/>
      <c r="AP150" s="369"/>
      <c r="AR150" s="4"/>
      <c r="AS150" s="4"/>
      <c r="AY150" s="4"/>
      <c r="BD150" s="4"/>
      <c r="BE150" s="640"/>
      <c r="BF150" s="640"/>
      <c r="BG150" s="640"/>
      <c r="BH150" s="640"/>
      <c r="BI150" s="4"/>
      <c r="BJ150" s="640"/>
      <c r="BK150" s="640"/>
      <c r="BL150" s="640"/>
      <c r="BM150" s="640"/>
      <c r="BN150" s="4"/>
      <c r="BO150" s="4"/>
      <c r="BP150" s="668"/>
      <c r="BQ150" s="668"/>
      <c r="BR150" s="668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269"/>
      <c r="CD150" s="269"/>
      <c r="CE150" s="269"/>
      <c r="CF150" s="269"/>
      <c r="CG150" s="269"/>
      <c r="CH150" s="269"/>
      <c r="CI150" s="269"/>
      <c r="CJ150" s="269"/>
      <c r="CK150" s="269"/>
      <c r="CL150" s="269"/>
    </row>
    <row r="151" spans="1:90">
      <c r="A151" s="73" t="s">
        <v>98</v>
      </c>
      <c r="B151" s="1" t="s">
        <v>99</v>
      </c>
      <c r="C151" s="11"/>
      <c r="D151" s="11">
        <f t="shared" ref="D151:I151" si="231">C155</f>
        <v>11073.256649290328</v>
      </c>
      <c r="E151" s="11">
        <f t="shared" si="231"/>
        <v>31116.259305475076</v>
      </c>
      <c r="F151" s="11">
        <f t="shared" si="231"/>
        <v>19323.413187023518</v>
      </c>
      <c r="G151" s="22">
        <f t="shared" si="231"/>
        <v>12385.20003144331</v>
      </c>
      <c r="H151" s="22">
        <f t="shared" si="231"/>
        <v>7161.8117016559299</v>
      </c>
      <c r="I151" s="369">
        <f t="shared" si="231"/>
        <v>25494.692797522297</v>
      </c>
      <c r="J151" s="369">
        <f>+I167</f>
        <v>57589.971678325492</v>
      </c>
      <c r="K151" s="369">
        <f>J155</f>
        <v>43934.629231149818</v>
      </c>
      <c r="L151" s="369"/>
      <c r="M151" s="22">
        <f>H155</f>
        <v>25494.692797522297</v>
      </c>
      <c r="N151" s="369">
        <f>M155</f>
        <v>27406.400319779656</v>
      </c>
      <c r="O151" s="369">
        <f>N155</f>
        <v>18940.32</v>
      </c>
      <c r="P151" s="369">
        <f>O155</f>
        <v>22157.266666666663</v>
      </c>
      <c r="Q151" s="369">
        <f>P155</f>
        <v>21783.231183999997</v>
      </c>
      <c r="R151" s="22">
        <f>M155</f>
        <v>27406.400319779656</v>
      </c>
      <c r="S151" s="369"/>
      <c r="T151" s="369"/>
      <c r="U151" s="369"/>
      <c r="V151" s="369"/>
      <c r="W151" s="22">
        <f>R155</f>
        <v>22973.123922988536</v>
      </c>
      <c r="X151" s="369"/>
      <c r="Y151" s="369"/>
      <c r="Z151" s="369"/>
      <c r="AA151" s="369"/>
      <c r="AB151" s="22">
        <f>W155</f>
        <v>10569.552750255683</v>
      </c>
      <c r="AC151" s="369">
        <f>+AB155</f>
        <v>2658.5232513025921</v>
      </c>
      <c r="AD151" s="369">
        <f>+AC155</f>
        <v>5561.5232513025403</v>
      </c>
      <c r="AE151" s="369">
        <f>+AD155</f>
        <v>22905.52325130254</v>
      </c>
      <c r="AF151" s="369">
        <f>+AE155</f>
        <v>13728.52325130254</v>
      </c>
      <c r="AG151" s="22">
        <f>AB155</f>
        <v>2658.5232513025921</v>
      </c>
      <c r="AH151" s="369">
        <f>+AG155</f>
        <v>9591.5733333333337</v>
      </c>
      <c r="AI151" s="369">
        <f>+AH155</f>
        <v>29143.573333333363</v>
      </c>
      <c r="AJ151" s="369">
        <f>+AI155</f>
        <v>38537.199999999997</v>
      </c>
      <c r="AK151" s="369">
        <f>+AJ155</f>
        <v>31536.533333333333</v>
      </c>
      <c r="AL151" s="22">
        <f>AG155</f>
        <v>9591.5733333333337</v>
      </c>
      <c r="AM151" s="369">
        <f>+AL155</f>
        <v>28226.353333333333</v>
      </c>
      <c r="AN151" s="369">
        <f>+AM155</f>
        <v>24406.639999999999</v>
      </c>
      <c r="AO151" s="369">
        <f>+AN155</f>
        <v>19730.338133333331</v>
      </c>
      <c r="AP151" s="369">
        <f>+AO155</f>
        <v>26571.773066666665</v>
      </c>
      <c r="AQ151" s="22">
        <f>AL155</f>
        <v>28226.353333333333</v>
      </c>
      <c r="AR151" s="16">
        <f>AP155</f>
        <v>31136.271733333331</v>
      </c>
      <c r="AS151" s="16">
        <f>AP155</f>
        <v>31136.271733333331</v>
      </c>
      <c r="AT151" s="22">
        <f>AQ155</f>
        <v>25699.66</v>
      </c>
      <c r="AU151" s="22" t="e">
        <f>#REF!</f>
        <v>#REF!</v>
      </c>
      <c r="AV151" s="22">
        <f t="shared" ref="AV151:BM151" si="232">AR155</f>
        <v>7002.8548346666666</v>
      </c>
      <c r="AW151" s="22">
        <f t="shared" si="232"/>
        <v>7716.9579425333313</v>
      </c>
      <c r="AX151" s="22">
        <f t="shared" si="232"/>
        <v>32726.413333333334</v>
      </c>
      <c r="AY151" s="16">
        <f>AT155</f>
        <v>32726.413333333334</v>
      </c>
      <c r="AZ151" s="677">
        <f t="shared" si="232"/>
        <v>24449.711111111112</v>
      </c>
      <c r="BA151" s="677">
        <f t="shared" si="232"/>
        <v>22562.844444444443</v>
      </c>
      <c r="BB151" s="677">
        <f t="shared" si="232"/>
        <v>25267.62222222222</v>
      </c>
      <c r="BC151" s="677">
        <f t="shared" si="232"/>
        <v>34362.734000000004</v>
      </c>
      <c r="BD151" s="16">
        <f>AY155</f>
        <v>34362.734000000004</v>
      </c>
      <c r="BE151" s="677">
        <f t="shared" si="232"/>
        <v>21873.422222222223</v>
      </c>
      <c r="BF151" s="677">
        <f t="shared" si="232"/>
        <v>22357.844444444443</v>
      </c>
      <c r="BG151" s="677">
        <f t="shared" si="232"/>
        <v>23152.355555555554</v>
      </c>
      <c r="BH151" s="677">
        <f t="shared" si="232"/>
        <v>26793.040000000001</v>
      </c>
      <c r="BI151" s="16">
        <f>BD155</f>
        <v>26793.040000000001</v>
      </c>
      <c r="BJ151" s="677">
        <f t="shared" si="232"/>
        <v>20709.644444444446</v>
      </c>
      <c r="BK151" s="677">
        <f t="shared" si="232"/>
        <v>22112.133333333335</v>
      </c>
      <c r="BL151" s="677">
        <f t="shared" si="232"/>
        <v>23783.733333333334</v>
      </c>
      <c r="BM151" s="677">
        <f t="shared" si="232"/>
        <v>26619.42</v>
      </c>
      <c r="BN151" s="16">
        <f>BI155</f>
        <v>26619.42</v>
      </c>
      <c r="BO151" s="16">
        <f>BN155</f>
        <v>26376.528000000002</v>
      </c>
      <c r="BP151" s="668"/>
      <c r="BQ151" s="668">
        <f>BO155</f>
        <v>19927.022222222222</v>
      </c>
      <c r="BR151" s="668">
        <f>BN155</f>
        <v>26376.528000000002</v>
      </c>
      <c r="BS151" s="16">
        <f t="shared" ref="BS151:CB151" si="233">BR155</f>
        <v>26965.124640000002</v>
      </c>
      <c r="BT151" s="16">
        <f t="shared" si="233"/>
        <v>27571.379179200001</v>
      </c>
      <c r="BU151" s="16">
        <f t="shared" si="233"/>
        <v>27571.379179200001</v>
      </c>
      <c r="BV151" s="16">
        <f t="shared" si="233"/>
        <v>27571.379179200001</v>
      </c>
      <c r="BW151" s="16">
        <f t="shared" si="233"/>
        <v>27571.379179200001</v>
      </c>
      <c r="BX151" s="16">
        <f t="shared" si="233"/>
        <v>27571.379179200001</v>
      </c>
      <c r="BY151" s="16">
        <f t="shared" si="233"/>
        <v>27571.379179200001</v>
      </c>
      <c r="BZ151" s="16">
        <f t="shared" si="233"/>
        <v>27571.379179200001</v>
      </c>
      <c r="CA151" s="16">
        <f t="shared" si="233"/>
        <v>27571.379179200001</v>
      </c>
      <c r="CB151" s="16">
        <f t="shared" si="233"/>
        <v>27571.379179200001</v>
      </c>
      <c r="CC151" s="269"/>
      <c r="CD151" s="269"/>
      <c r="CE151" s="269"/>
      <c r="CF151" s="269"/>
      <c r="CG151" s="269"/>
      <c r="CH151" s="269"/>
      <c r="CI151" s="269"/>
      <c r="CJ151" s="269"/>
      <c r="CK151" s="269"/>
      <c r="CL151" s="269"/>
    </row>
    <row r="152" spans="1:90">
      <c r="A152" s="1" t="s">
        <v>100</v>
      </c>
      <c r="C152" s="14">
        <f t="shared" ref="C152:K152" si="234">C26</f>
        <v>667937</v>
      </c>
      <c r="D152" s="14">
        <f t="shared" si="234"/>
        <v>912979</v>
      </c>
      <c r="E152" s="14">
        <f t="shared" si="234"/>
        <v>1111504</v>
      </c>
      <c r="F152" s="14">
        <f t="shared" si="234"/>
        <v>1149312</v>
      </c>
      <c r="G152" s="22">
        <f t="shared" si="234"/>
        <v>1087788</v>
      </c>
      <c r="H152" s="22">
        <f t="shared" si="234"/>
        <v>1119704</v>
      </c>
      <c r="I152" s="369">
        <f t="shared" si="234"/>
        <v>693974</v>
      </c>
      <c r="J152" s="369">
        <f t="shared" si="234"/>
        <v>402910</v>
      </c>
      <c r="K152" s="369">
        <f t="shared" si="234"/>
        <v>308962.5</v>
      </c>
      <c r="L152" s="369"/>
      <c r="M152" s="22">
        <f>M26</f>
        <v>1436263</v>
      </c>
      <c r="N152" s="369">
        <f t="shared" ref="N152:W152" si="235">N26</f>
        <v>355131</v>
      </c>
      <c r="O152" s="369">
        <f t="shared" si="235"/>
        <v>332359</v>
      </c>
      <c r="P152" s="369">
        <f t="shared" si="235"/>
        <v>371956</v>
      </c>
      <c r="Q152" s="369">
        <f t="shared" si="235"/>
        <v>422916</v>
      </c>
      <c r="R152" s="22">
        <f t="shared" si="235"/>
        <v>1482362</v>
      </c>
      <c r="S152" s="369"/>
      <c r="T152" s="369"/>
      <c r="U152" s="369"/>
      <c r="V152" s="369"/>
      <c r="W152" s="22">
        <f t="shared" si="235"/>
        <v>1812333</v>
      </c>
      <c r="X152" s="369"/>
      <c r="Y152" s="369"/>
      <c r="Z152" s="369"/>
      <c r="AA152" s="369"/>
      <c r="AB152" s="22">
        <f>AB26</f>
        <v>2125585</v>
      </c>
      <c r="AC152" s="369">
        <f>AC26</f>
        <v>563651</v>
      </c>
      <c r="AD152" s="369">
        <f>AD26</f>
        <v>607563</v>
      </c>
      <c r="AE152" s="369">
        <f>AE26</f>
        <v>609019</v>
      </c>
      <c r="AF152" s="369">
        <f>+AF155+AF154-AF151</f>
        <v>715231.05008203082</v>
      </c>
      <c r="AG152" s="22">
        <v>2542603</v>
      </c>
      <c r="AH152" s="369">
        <f>+AH26</f>
        <v>952267</v>
      </c>
      <c r="AI152" s="369">
        <f>+AI155+AI154-AI151</f>
        <v>972823.62666666659</v>
      </c>
      <c r="AJ152" s="369">
        <f>+AJ155+AJ154-AJ151</f>
        <v>1175619.3333333335</v>
      </c>
      <c r="AK152" s="369">
        <f>+AK155+AK154-AK151</f>
        <v>1163897.8666666665</v>
      </c>
      <c r="AL152" s="416">
        <v>4227767</v>
      </c>
      <c r="AM152" s="369">
        <v>935752</v>
      </c>
      <c r="AN152" s="369">
        <f>+AN155+AN154-AN151</f>
        <v>735211.37813333329</v>
      </c>
      <c r="AO152" s="369">
        <v>1026837</v>
      </c>
      <c r="AP152" s="369">
        <f>+AP155+AP154-AP151</f>
        <v>1172174.6886666666</v>
      </c>
      <c r="AQ152" s="416">
        <v>3877296</v>
      </c>
      <c r="AR152" s="417">
        <f>+AR155+AR154-AR151</f>
        <v>1026294.8083013333</v>
      </c>
      <c r="AS152" s="417">
        <f>+AS155+AS154-AS151</f>
        <v>1134124.3775891997</v>
      </c>
      <c r="AT152" s="416">
        <v>4908593</v>
      </c>
      <c r="AU152" s="416">
        <f>AU32</f>
        <v>920631</v>
      </c>
      <c r="AV152" s="416">
        <f>+AV155+AV154-AV151</f>
        <v>1117683.8562764444</v>
      </c>
      <c r="AW152" s="416">
        <f>AW155+AW154-AW151</f>
        <v>1030173.8865019111</v>
      </c>
      <c r="AX152" s="416">
        <f>AX155+AX154-AX151</f>
        <v>1129584.2088888888</v>
      </c>
      <c r="AY152" s="417">
        <f>+AY155+AY154-AY151</f>
        <v>5156046.4206666676</v>
      </c>
      <c r="AZ152" s="688">
        <f>AZ155+AZ154-AZ151</f>
        <v>967178.4222222222</v>
      </c>
      <c r="BA152" s="688">
        <f>BA155+BA154-BA151</f>
        <v>983614.5777777778</v>
      </c>
      <c r="BB152" s="688">
        <f>BB155+BB154-BB151</f>
        <v>1003193.2222222221</v>
      </c>
      <c r="BC152" s="688">
        <f>BC155+BC154-BC151</f>
        <v>1030645.6215555555</v>
      </c>
      <c r="BD152" s="417">
        <f>+BD155+BD154-BD151</f>
        <v>4011386.3059999999</v>
      </c>
      <c r="BE152" s="688">
        <f>BE155+BE154-BE151</f>
        <v>995917.46666666667</v>
      </c>
      <c r="BF152" s="688">
        <f>BF155+BF154-BF151</f>
        <v>930285.8</v>
      </c>
      <c r="BG152" s="688">
        <f>BG155+BG154-BG151</f>
        <v>994005.77777777775</v>
      </c>
      <c r="BH152" s="688">
        <f>BH155+BH154-BH151</f>
        <v>1067258.6933333334</v>
      </c>
      <c r="BI152" s="417">
        <f>+BI155+BI154-BI151</f>
        <v>3992739.38</v>
      </c>
      <c r="BJ152" s="688">
        <f>BJ155+BJ154-BJ151</f>
        <v>902838.48888888885</v>
      </c>
      <c r="BK152" s="688">
        <f>BK155+BK154-BK151</f>
        <v>949668.53333333333</v>
      </c>
      <c r="BL152" s="688">
        <f>BL155+BL154-BL151</f>
        <v>1089238.6044444444</v>
      </c>
      <c r="BM152" s="688">
        <f>BM155+BM154-BM151</f>
        <v>1009430.4022222222</v>
      </c>
      <c r="BN152" s="417">
        <f>+BN155+BN154-BN151</f>
        <v>3956236.3080000002</v>
      </c>
      <c r="BO152" s="688">
        <f>BO155+BO154-BO151</f>
        <v>890266.49422222213</v>
      </c>
      <c r="BP152" s="668"/>
      <c r="BQ152" s="668">
        <f>BQ155+BQ154-BQ151</f>
        <v>1009542.7555555556</v>
      </c>
      <c r="BR152" s="668">
        <f t="shared" ref="BR152:CB152" si="236">+BR155+BR154-BR151</f>
        <v>4045357.2926400006</v>
      </c>
      <c r="BS152" s="417">
        <f t="shared" si="236"/>
        <v>4136313.1314192005</v>
      </c>
      <c r="BT152" s="417">
        <f t="shared" si="236"/>
        <v>4135706.8768800003</v>
      </c>
      <c r="BU152" s="417">
        <f t="shared" si="236"/>
        <v>4135706.8768800003</v>
      </c>
      <c r="BV152" s="417">
        <f t="shared" si="236"/>
        <v>4135706.8768800003</v>
      </c>
      <c r="BW152" s="417">
        <f t="shared" si="236"/>
        <v>4135706.8768800003</v>
      </c>
      <c r="BX152" s="417">
        <f t="shared" si="236"/>
        <v>4135706.8768800003</v>
      </c>
      <c r="BY152" s="417">
        <f t="shared" si="236"/>
        <v>4135706.8768800003</v>
      </c>
      <c r="BZ152" s="417">
        <f t="shared" si="236"/>
        <v>4135706.8768800003</v>
      </c>
      <c r="CA152" s="417">
        <f t="shared" si="236"/>
        <v>4135706.8768800003</v>
      </c>
      <c r="CB152" s="417">
        <f t="shared" si="236"/>
        <v>4135706.8768800003</v>
      </c>
      <c r="CC152" s="269"/>
      <c r="CD152" s="269"/>
      <c r="CE152" s="269"/>
      <c r="CF152" s="269"/>
      <c r="CG152" s="269"/>
      <c r="CH152" s="269"/>
      <c r="CI152" s="269"/>
      <c r="CJ152" s="269"/>
      <c r="CK152" s="269"/>
      <c r="CL152" s="269"/>
    </row>
    <row r="153" spans="1:90">
      <c r="A153" s="1" t="s">
        <v>101</v>
      </c>
      <c r="C153" s="14">
        <f t="shared" ref="C153:K153" si="237">C151+C152</f>
        <v>667937</v>
      </c>
      <c r="D153" s="14">
        <f t="shared" si="237"/>
        <v>924052.25664929033</v>
      </c>
      <c r="E153" s="14">
        <f t="shared" si="237"/>
        <v>1142620.259305475</v>
      </c>
      <c r="F153" s="14">
        <f t="shared" si="237"/>
        <v>1168635.4131870235</v>
      </c>
      <c r="G153" s="22">
        <f t="shared" si="237"/>
        <v>1100173.2000314433</v>
      </c>
      <c r="H153" s="22">
        <f t="shared" si="237"/>
        <v>1126865.8117016559</v>
      </c>
      <c r="I153" s="369">
        <f t="shared" si="237"/>
        <v>719468.69279752229</v>
      </c>
      <c r="J153" s="369">
        <f t="shared" si="237"/>
        <v>460499.9716783255</v>
      </c>
      <c r="K153" s="369">
        <f t="shared" si="237"/>
        <v>352897.1292311498</v>
      </c>
      <c r="L153" s="369"/>
      <c r="M153" s="22">
        <f t="shared" ref="M153:R153" si="238">M151+M152</f>
        <v>1461757.6927975223</v>
      </c>
      <c r="N153" s="369">
        <f t="shared" si="238"/>
        <v>382537.40031977964</v>
      </c>
      <c r="O153" s="369">
        <f t="shared" si="238"/>
        <v>351299.32</v>
      </c>
      <c r="P153" s="369">
        <f t="shared" si="238"/>
        <v>394113.26666666666</v>
      </c>
      <c r="Q153" s="369">
        <f t="shared" si="238"/>
        <v>444699.23118399997</v>
      </c>
      <c r="R153" s="22">
        <f t="shared" si="238"/>
        <v>1509768.4003197798</v>
      </c>
      <c r="S153" s="369"/>
      <c r="T153" s="369"/>
      <c r="U153" s="369"/>
      <c r="V153" s="369"/>
      <c r="W153" s="22">
        <f>W151+W152</f>
        <v>1835306.1239229885</v>
      </c>
      <c r="X153" s="369"/>
      <c r="Y153" s="369"/>
      <c r="Z153" s="369"/>
      <c r="AA153" s="369"/>
      <c r="AB153" s="22">
        <f t="shared" ref="AB153:BN153" si="239">AB151+AB152</f>
        <v>2136154.5527502559</v>
      </c>
      <c r="AC153" s="369">
        <f t="shared" si="239"/>
        <v>566309.52325130254</v>
      </c>
      <c r="AD153" s="369">
        <f t="shared" si="239"/>
        <v>613124.52325130254</v>
      </c>
      <c r="AE153" s="369">
        <f t="shared" si="239"/>
        <v>631924.52325130254</v>
      </c>
      <c r="AF153" s="369">
        <f t="shared" si="239"/>
        <v>728959.57333333336</v>
      </c>
      <c r="AG153" s="22">
        <f t="shared" si="239"/>
        <v>2545261.5232513025</v>
      </c>
      <c r="AH153" s="369">
        <f t="shared" si="239"/>
        <v>961858.57333333336</v>
      </c>
      <c r="AI153" s="369">
        <f t="shared" si="239"/>
        <v>1001967.2</v>
      </c>
      <c r="AJ153" s="369">
        <f>AJ151+AJ152</f>
        <v>1214156.5333333334</v>
      </c>
      <c r="AK153" s="369">
        <f>AK151+AK152</f>
        <v>1195434.3999999999</v>
      </c>
      <c r="AL153" s="22">
        <f t="shared" si="239"/>
        <v>4237358.5733333332</v>
      </c>
      <c r="AM153" s="369">
        <f>AM151+AM152</f>
        <v>963978.35333333327</v>
      </c>
      <c r="AN153" s="369">
        <f t="shared" si="239"/>
        <v>759618.0181333333</v>
      </c>
      <c r="AO153" s="369">
        <f t="shared" si="239"/>
        <v>1046567.3381333334</v>
      </c>
      <c r="AP153" s="369">
        <f t="shared" si="239"/>
        <v>1198746.4617333333</v>
      </c>
      <c r="AQ153" s="22">
        <f t="shared" si="239"/>
        <v>3905522.3533333335</v>
      </c>
      <c r="AR153" s="16">
        <f>AR151+AR152</f>
        <v>1057431.0800346667</v>
      </c>
      <c r="AS153" s="16">
        <f>AS151+AS152</f>
        <v>1165260.649322533</v>
      </c>
      <c r="AT153" s="22">
        <f t="shared" si="239"/>
        <v>4934292.66</v>
      </c>
      <c r="AU153" s="22" t="e">
        <f>AU151+AU152</f>
        <v>#REF!</v>
      </c>
      <c r="AV153" s="22">
        <f>AV151+AV152</f>
        <v>1124686.7111111111</v>
      </c>
      <c r="AW153" s="22">
        <f>AW151+AW152</f>
        <v>1037890.8444444444</v>
      </c>
      <c r="AX153" s="22">
        <f>AX151+AX152</f>
        <v>1162310.6222222222</v>
      </c>
      <c r="AY153" s="16">
        <f t="shared" si="239"/>
        <v>5188772.8340000007</v>
      </c>
      <c r="AZ153" s="677">
        <f t="shared" si="239"/>
        <v>991628.1333333333</v>
      </c>
      <c r="BA153" s="677">
        <f>BA151+BA152</f>
        <v>1006177.4222222222</v>
      </c>
      <c r="BB153" s="677">
        <f>BB151+BB152</f>
        <v>1028460.8444444444</v>
      </c>
      <c r="BC153" s="677">
        <f>BC151+BC152</f>
        <v>1065008.3555555556</v>
      </c>
      <c r="BD153" s="16">
        <f t="shared" si="239"/>
        <v>4045749.04</v>
      </c>
      <c r="BE153" s="677">
        <f t="shared" si="239"/>
        <v>1017790.8888888889</v>
      </c>
      <c r="BF153" s="677">
        <f t="shared" si="239"/>
        <v>952643.64444444445</v>
      </c>
      <c r="BG153" s="677">
        <f t="shared" si="239"/>
        <v>1017158.1333333333</v>
      </c>
      <c r="BH153" s="677">
        <f t="shared" si="239"/>
        <v>1094051.7333333334</v>
      </c>
      <c r="BI153" s="16">
        <f t="shared" si="239"/>
        <v>4019532.42</v>
      </c>
      <c r="BJ153" s="677">
        <f t="shared" ref="BJ153:BK153" si="240">BJ151+BJ152</f>
        <v>923548.1333333333</v>
      </c>
      <c r="BK153" s="677">
        <f t="shared" si="240"/>
        <v>971780.66666666663</v>
      </c>
      <c r="BL153" s="677">
        <f t="shared" ref="BL153:BM153" si="241">BL151+BL152</f>
        <v>1113022.3377777778</v>
      </c>
      <c r="BM153" s="677">
        <f t="shared" si="241"/>
        <v>1036049.8222222222</v>
      </c>
      <c r="BN153" s="16">
        <f t="shared" si="239"/>
        <v>3982855.7280000001</v>
      </c>
      <c r="BO153" s="677">
        <f>BO151+BO152</f>
        <v>916643.02222222218</v>
      </c>
      <c r="BP153" s="668"/>
      <c r="BQ153" s="668">
        <f>BQ151+BQ152</f>
        <v>1029469.7777777778</v>
      </c>
      <c r="BR153" s="668">
        <f t="shared" ref="BR153:CB153" si="242">BR151+BR152</f>
        <v>4071733.8206400005</v>
      </c>
      <c r="BS153" s="16">
        <f t="shared" si="242"/>
        <v>4163278.2560592005</v>
      </c>
      <c r="BT153" s="16">
        <f t="shared" si="242"/>
        <v>4163278.2560592005</v>
      </c>
      <c r="BU153" s="16">
        <f t="shared" si="242"/>
        <v>4163278.2560592005</v>
      </c>
      <c r="BV153" s="16">
        <f t="shared" si="242"/>
        <v>4163278.2560592005</v>
      </c>
      <c r="BW153" s="16">
        <f t="shared" si="242"/>
        <v>4163278.2560592005</v>
      </c>
      <c r="BX153" s="16">
        <f t="shared" si="242"/>
        <v>4163278.2560592005</v>
      </c>
      <c r="BY153" s="16">
        <f t="shared" si="242"/>
        <v>4163278.2560592005</v>
      </c>
      <c r="BZ153" s="16">
        <f t="shared" si="242"/>
        <v>4163278.2560592005</v>
      </c>
      <c r="CA153" s="16">
        <f t="shared" si="242"/>
        <v>4163278.2560592005</v>
      </c>
      <c r="CB153" s="16">
        <f t="shared" si="242"/>
        <v>4163278.2560592005</v>
      </c>
      <c r="CC153" s="269"/>
      <c r="CD153" s="269"/>
      <c r="CE153" s="269"/>
      <c r="CF153" s="269"/>
      <c r="CG153" s="269"/>
      <c r="CH153" s="269"/>
      <c r="CI153" s="269"/>
      <c r="CJ153" s="269"/>
      <c r="CK153" s="269"/>
      <c r="CL153" s="269"/>
    </row>
    <row r="154" spans="1:90">
      <c r="A154" s="1" t="s">
        <v>58</v>
      </c>
      <c r="C154" s="14">
        <f>C32</f>
        <v>671417</v>
      </c>
      <c r="D154" s="14">
        <f>D32</f>
        <v>900010</v>
      </c>
      <c r="E154" s="14">
        <f>E32</f>
        <v>1115288</v>
      </c>
      <c r="F154" s="14">
        <f>F32</f>
        <v>1198864</v>
      </c>
      <c r="G154" s="22">
        <f>G153-G155</f>
        <v>1093011.3883297874</v>
      </c>
      <c r="H154" s="22">
        <f>H153-H155</f>
        <v>1101371.1189041336</v>
      </c>
      <c r="I154" s="369">
        <v>707982</v>
      </c>
      <c r="J154" s="369">
        <v>413268</v>
      </c>
      <c r="K154" s="369">
        <f>+M154-J154-I154</f>
        <v>312301</v>
      </c>
      <c r="L154" s="369"/>
      <c r="M154" s="22">
        <f>+M32</f>
        <v>1433551</v>
      </c>
      <c r="N154" s="369">
        <f>+N32</f>
        <v>354156</v>
      </c>
      <c r="O154" s="369">
        <f>+O32</f>
        <v>333934</v>
      </c>
      <c r="P154" s="369">
        <f>P153-P155</f>
        <v>372330.03548266669</v>
      </c>
      <c r="Q154" s="369">
        <f>Q153-Q155</f>
        <v>419931.57855999999</v>
      </c>
      <c r="R154" s="22">
        <f>+SUM(N154:Q154)</f>
        <v>1480351.6140426667</v>
      </c>
      <c r="S154" s="369"/>
      <c r="T154" s="369"/>
      <c r="U154" s="369"/>
      <c r="V154" s="369"/>
      <c r="W154" s="22">
        <f>W153-W155</f>
        <v>1824736.5711727329</v>
      </c>
      <c r="X154" s="369"/>
      <c r="Y154" s="369"/>
      <c r="Z154" s="369"/>
      <c r="AA154" s="369"/>
      <c r="AB154" s="22">
        <f>AB153-AB155</f>
        <v>2133496.0294989534</v>
      </c>
      <c r="AC154" s="369">
        <f t="shared" ref="AC154:AQ154" si="243">+AC32</f>
        <v>560748</v>
      </c>
      <c r="AD154" s="369">
        <f t="shared" si="243"/>
        <v>590219</v>
      </c>
      <c r="AE154" s="369">
        <f t="shared" si="243"/>
        <v>618196</v>
      </c>
      <c r="AF154" s="369">
        <f t="shared" si="243"/>
        <v>719368</v>
      </c>
      <c r="AG154" s="22">
        <f t="shared" si="243"/>
        <v>2502306</v>
      </c>
      <c r="AH154" s="369">
        <f t="shared" si="243"/>
        <v>932715</v>
      </c>
      <c r="AI154" s="369">
        <f t="shared" si="243"/>
        <v>963430</v>
      </c>
      <c r="AJ154" s="369">
        <f t="shared" si="243"/>
        <v>1182620</v>
      </c>
      <c r="AK154" s="369">
        <f t="shared" si="243"/>
        <v>1179705</v>
      </c>
      <c r="AL154" s="22">
        <f t="shared" si="243"/>
        <v>4233953</v>
      </c>
      <c r="AM154" s="369">
        <f>+AM32</f>
        <v>915249</v>
      </c>
      <c r="AN154" s="369">
        <f>+AN32</f>
        <v>739887.67999999993</v>
      </c>
      <c r="AO154" s="369">
        <f>+AO32</f>
        <v>996441.49</v>
      </c>
      <c r="AP154" s="369">
        <f>+AP32</f>
        <v>1167610.19</v>
      </c>
      <c r="AQ154" s="22">
        <f t="shared" si="243"/>
        <v>3854949</v>
      </c>
      <c r="AR154" s="16">
        <f>+AR32</f>
        <v>1050428.2252</v>
      </c>
      <c r="AS154" s="16">
        <f>+AS32</f>
        <v>1157543.6913799997</v>
      </c>
      <c r="AT154" s="22">
        <f>AT32</f>
        <v>4908962</v>
      </c>
      <c r="AU154" s="22">
        <f>AU32</f>
        <v>920631</v>
      </c>
      <c r="AV154" s="22">
        <f>AV32</f>
        <v>1100237</v>
      </c>
      <c r="AW154" s="22">
        <f>AW32</f>
        <v>1015328</v>
      </c>
      <c r="AX154" s="22">
        <f>AX32</f>
        <v>1137043</v>
      </c>
      <c r="AY154" s="16">
        <f>+AY32</f>
        <v>5154410.1000000006</v>
      </c>
      <c r="AZ154" s="677">
        <f>AZ32</f>
        <v>970071</v>
      </c>
      <c r="BA154" s="677">
        <f>BA32</f>
        <v>984304</v>
      </c>
      <c r="BB154" s="677">
        <f>BB32</f>
        <v>1006103</v>
      </c>
      <c r="BC154" s="677">
        <f>BC32</f>
        <v>1041856</v>
      </c>
      <c r="BD154" s="16">
        <f>+BD32</f>
        <v>4018956</v>
      </c>
      <c r="BE154" s="677">
        <f>BE32</f>
        <v>995665</v>
      </c>
      <c r="BF154" s="677">
        <f>BF32</f>
        <v>931934</v>
      </c>
      <c r="BG154" s="677">
        <f>BG32</f>
        <v>995046</v>
      </c>
      <c r="BH154" s="677">
        <f>BH32</f>
        <v>1070268</v>
      </c>
      <c r="BI154" s="16">
        <f t="shared" ref="BI154:CB154" si="244">+BI32</f>
        <v>3992913</v>
      </c>
      <c r="BJ154" s="677">
        <f>BJ32</f>
        <v>903471</v>
      </c>
      <c r="BK154" s="677">
        <f>BK32</f>
        <v>950655</v>
      </c>
      <c r="BL154" s="677">
        <f>BL32</f>
        <v>1088826.2</v>
      </c>
      <c r="BM154" s="677">
        <f>BM32</f>
        <v>1013527</v>
      </c>
      <c r="BN154" s="16">
        <f t="shared" si="244"/>
        <v>3956479.2</v>
      </c>
      <c r="BO154" s="677">
        <f>BO32</f>
        <v>896716</v>
      </c>
      <c r="BP154" s="668"/>
      <c r="BQ154" s="668">
        <f>BQ32</f>
        <v>1007090</v>
      </c>
      <c r="BR154" s="668">
        <f t="shared" si="244"/>
        <v>4044768.6960000005</v>
      </c>
      <c r="BS154" s="16">
        <f t="shared" si="244"/>
        <v>4135706.8768800003</v>
      </c>
      <c r="BT154" s="16">
        <f t="shared" si="244"/>
        <v>4135706.8768800003</v>
      </c>
      <c r="BU154" s="16">
        <f t="shared" si="244"/>
        <v>4135706.8768800003</v>
      </c>
      <c r="BV154" s="16">
        <f t="shared" si="244"/>
        <v>4135706.8768800003</v>
      </c>
      <c r="BW154" s="16">
        <f t="shared" si="244"/>
        <v>4135706.8768800003</v>
      </c>
      <c r="BX154" s="16">
        <f t="shared" si="244"/>
        <v>4135706.8768800003</v>
      </c>
      <c r="BY154" s="16">
        <f t="shared" si="244"/>
        <v>4135706.8768800003</v>
      </c>
      <c r="BZ154" s="16">
        <f t="shared" si="244"/>
        <v>4135706.8768800003</v>
      </c>
      <c r="CA154" s="16">
        <f t="shared" si="244"/>
        <v>4135706.8768800003</v>
      </c>
      <c r="CB154" s="16">
        <f t="shared" si="244"/>
        <v>4135706.8768800003</v>
      </c>
      <c r="CC154" s="269"/>
      <c r="CD154" s="269"/>
      <c r="CE154" s="269"/>
      <c r="CF154" s="269"/>
      <c r="CG154" s="269"/>
      <c r="CH154" s="269"/>
      <c r="CI154" s="269"/>
      <c r="CJ154" s="269"/>
      <c r="CK154" s="269"/>
      <c r="CL154" s="269"/>
    </row>
    <row r="155" spans="1:90">
      <c r="A155" s="73" t="s">
        <v>102</v>
      </c>
      <c r="C155" s="11">
        <f>-Assumptions!C138*1000000/Assumptions!C142</f>
        <v>11073.256649290328</v>
      </c>
      <c r="D155" s="11">
        <f>-Assumptions!D138*1000000/Assumptions!D142</f>
        <v>31116.259305475076</v>
      </c>
      <c r="E155" s="11">
        <f>-Assumptions!E138*1000000/Assumptions!E142</f>
        <v>19323.413187023518</v>
      </c>
      <c r="F155" s="11">
        <f>-Assumptions!F138*1000000/Assumptions!F142</f>
        <v>12385.20003144331</v>
      </c>
      <c r="G155" s="11">
        <f>-Assumptions!G138*1000000/Assumptions!G142</f>
        <v>7161.8117016559299</v>
      </c>
      <c r="H155" s="11">
        <f>-Assumptions!H138*1000000/Assumptions!H142</f>
        <v>25494.692797522297</v>
      </c>
      <c r="I155" s="369">
        <f>(I152/I24)*I156</f>
        <v>2944.1321212121211</v>
      </c>
      <c r="J155" s="418">
        <f>+J167</f>
        <v>43934.629231149818</v>
      </c>
      <c r="K155" s="369">
        <f>(K152/K24)*K156</f>
        <v>40595.800000000003</v>
      </c>
      <c r="L155" s="369"/>
      <c r="M155" s="11">
        <f>-Assumptions!M138*1000000/Assumptions!M142</f>
        <v>27406.400319779656</v>
      </c>
      <c r="N155" s="369">
        <f>(N152/N24)*N156</f>
        <v>18940.32</v>
      </c>
      <c r="O155" s="369">
        <f>(O152/O24)*O156</f>
        <v>22157.266666666663</v>
      </c>
      <c r="P155" s="369">
        <f>(P152/P24)*P156</f>
        <v>21783.231183999997</v>
      </c>
      <c r="Q155" s="369">
        <f>(Q152/Q24)*Q156</f>
        <v>24767.652623999998</v>
      </c>
      <c r="R155" s="11">
        <f>-Assumptions!R138*1000000/Assumptions!R142</f>
        <v>22973.123922988536</v>
      </c>
      <c r="S155" s="369"/>
      <c r="T155" s="369"/>
      <c r="U155" s="369"/>
      <c r="V155" s="369"/>
      <c r="W155" s="11">
        <f>-Assumptions!W138*1000000/Assumptions!W142</f>
        <v>10569.552750255683</v>
      </c>
      <c r="X155" s="369"/>
      <c r="Y155" s="369"/>
      <c r="Z155" s="369"/>
      <c r="AA155" s="369"/>
      <c r="AB155" s="11">
        <f>-Assumptions!AB138*$A$3/Assumptions!AB142</f>
        <v>2658.5232513025921</v>
      </c>
      <c r="AC155" s="369">
        <f>+AC153-AC154</f>
        <v>5561.5232513025403</v>
      </c>
      <c r="AD155" s="369">
        <f>+AD153-AD154</f>
        <v>22905.52325130254</v>
      </c>
      <c r="AE155" s="369">
        <f>+AE153-AE154</f>
        <v>13728.52325130254</v>
      </c>
      <c r="AF155" s="369">
        <f>(AF154/AF24)*AF156</f>
        <v>9591.5733333333337</v>
      </c>
      <c r="AG155" s="11">
        <f>+AF155</f>
        <v>9591.5733333333337</v>
      </c>
      <c r="AH155" s="369">
        <f>+AH153-AH154</f>
        <v>29143.573333333363</v>
      </c>
      <c r="AI155" s="369">
        <f t="shared" ref="AI155:AT155" si="245">(AI154/AI24)*AI156</f>
        <v>38537.199999999997</v>
      </c>
      <c r="AJ155" s="369">
        <f t="shared" si="245"/>
        <v>31536.533333333333</v>
      </c>
      <c r="AK155" s="369">
        <f t="shared" si="245"/>
        <v>15729.4</v>
      </c>
      <c r="AL155" s="22">
        <f t="shared" si="245"/>
        <v>28226.353333333333</v>
      </c>
      <c r="AM155" s="369">
        <f t="shared" si="245"/>
        <v>24406.639999999999</v>
      </c>
      <c r="AN155" s="369">
        <f t="shared" si="245"/>
        <v>19730.338133333331</v>
      </c>
      <c r="AO155" s="369">
        <f t="shared" si="245"/>
        <v>26571.773066666665</v>
      </c>
      <c r="AP155" s="369">
        <f t="shared" si="245"/>
        <v>31136.271733333331</v>
      </c>
      <c r="AQ155" s="22">
        <f t="shared" si="245"/>
        <v>25699.66</v>
      </c>
      <c r="AR155" s="16">
        <f t="shared" si="245"/>
        <v>7002.8548346666666</v>
      </c>
      <c r="AS155" s="16">
        <f t="shared" si="245"/>
        <v>7716.9579425333313</v>
      </c>
      <c r="AT155" s="22">
        <f t="shared" si="245"/>
        <v>32726.413333333334</v>
      </c>
      <c r="AU155" s="22" t="e">
        <f>AU153-AU154</f>
        <v>#REF!</v>
      </c>
      <c r="AV155" s="22">
        <f t="shared" ref="AV155:CB155" si="246">(AV154/AV24)*AV156</f>
        <v>24449.711111111112</v>
      </c>
      <c r="AW155" s="22">
        <f t="shared" si="246"/>
        <v>22562.844444444443</v>
      </c>
      <c r="AX155" s="22">
        <f t="shared" si="246"/>
        <v>25267.62222222222</v>
      </c>
      <c r="AY155" s="16">
        <f t="shared" si="246"/>
        <v>34362.734000000004</v>
      </c>
      <c r="AZ155" s="677">
        <f t="shared" si="246"/>
        <v>21557.133333333335</v>
      </c>
      <c r="BA155" s="677">
        <f t="shared" si="246"/>
        <v>21873.422222222223</v>
      </c>
      <c r="BB155" s="677">
        <f t="shared" si="246"/>
        <v>22357.844444444443</v>
      </c>
      <c r="BC155" s="677">
        <f t="shared" si="246"/>
        <v>23152.355555555554</v>
      </c>
      <c r="BD155" s="16">
        <f t="shared" si="246"/>
        <v>26793.040000000001</v>
      </c>
      <c r="BE155" s="677">
        <f t="shared" si="246"/>
        <v>22125.888888888891</v>
      </c>
      <c r="BF155" s="677">
        <f t="shared" si="246"/>
        <v>20709.644444444446</v>
      </c>
      <c r="BG155" s="677">
        <f t="shared" si="246"/>
        <v>22112.133333333335</v>
      </c>
      <c r="BH155" s="677">
        <f t="shared" si="246"/>
        <v>23783.733333333334</v>
      </c>
      <c r="BI155" s="16">
        <f t="shared" si="246"/>
        <v>26619.42</v>
      </c>
      <c r="BJ155" s="677">
        <f t="shared" ref="BJ155:BK155" si="247">(BJ154/BJ24)*BJ156</f>
        <v>20077.133333333335</v>
      </c>
      <c r="BK155" s="677">
        <f t="shared" si="247"/>
        <v>21125.666666666668</v>
      </c>
      <c r="BL155" s="677">
        <f t="shared" ref="BL155:BM155" si="248">(BL154/BL24)*BL156</f>
        <v>24196.137777777778</v>
      </c>
      <c r="BM155" s="677">
        <f t="shared" si="248"/>
        <v>22522.822222222221</v>
      </c>
      <c r="BN155" s="16">
        <f t="shared" si="246"/>
        <v>26376.528000000002</v>
      </c>
      <c r="BO155" s="677">
        <f t="shared" si="246"/>
        <v>19927.022222222222</v>
      </c>
      <c r="BP155" s="668"/>
      <c r="BQ155" s="668">
        <f t="shared" ref="BQ155" si="249">(BQ154/BQ24)*BQ156</f>
        <v>22379.777777777777</v>
      </c>
      <c r="BR155" s="668">
        <f t="shared" si="246"/>
        <v>26965.124640000002</v>
      </c>
      <c r="BS155" s="16">
        <f t="shared" si="246"/>
        <v>27571.379179200001</v>
      </c>
      <c r="BT155" s="16">
        <f t="shared" si="246"/>
        <v>27571.379179200001</v>
      </c>
      <c r="BU155" s="16">
        <f t="shared" si="246"/>
        <v>27571.379179200001</v>
      </c>
      <c r="BV155" s="16">
        <f t="shared" si="246"/>
        <v>27571.379179200001</v>
      </c>
      <c r="BW155" s="16">
        <f t="shared" si="246"/>
        <v>27571.379179200001</v>
      </c>
      <c r="BX155" s="16">
        <f t="shared" si="246"/>
        <v>27571.379179200001</v>
      </c>
      <c r="BY155" s="16">
        <f t="shared" si="246"/>
        <v>27571.379179200001</v>
      </c>
      <c r="BZ155" s="16">
        <f t="shared" si="246"/>
        <v>27571.379179200001</v>
      </c>
      <c r="CA155" s="16">
        <f t="shared" si="246"/>
        <v>27571.379179200001</v>
      </c>
      <c r="CB155" s="16">
        <f t="shared" si="246"/>
        <v>27571.379179200001</v>
      </c>
      <c r="CC155" s="269"/>
      <c r="CD155" s="269"/>
      <c r="CE155" s="269"/>
      <c r="CF155" s="269"/>
      <c r="CG155" s="269"/>
      <c r="CH155" s="269"/>
      <c r="CI155" s="269"/>
      <c r="CJ155" s="269"/>
      <c r="CK155" s="269"/>
      <c r="CL155" s="269"/>
    </row>
    <row r="156" spans="1:90" s="420" customFormat="1">
      <c r="A156" s="419" t="s">
        <v>103</v>
      </c>
      <c r="C156" s="421">
        <f t="shared" ref="C156:H156" si="250">C155/(C152/C24)</f>
        <v>5.4708373608076935</v>
      </c>
      <c r="D156" s="421">
        <f t="shared" si="250"/>
        <v>11.24709940842755</v>
      </c>
      <c r="E156" s="421">
        <f t="shared" si="250"/>
        <v>5.737025104469045</v>
      </c>
      <c r="F156" s="421">
        <f t="shared" si="250"/>
        <v>3.5561414223259584</v>
      </c>
      <c r="G156" s="421">
        <f t="shared" si="250"/>
        <v>2.1726640315451693</v>
      </c>
      <c r="H156" s="421">
        <f t="shared" si="250"/>
        <v>7.5138149217850057</v>
      </c>
      <c r="I156" s="422">
        <v>0.7</v>
      </c>
      <c r="J156" s="422">
        <v>0</v>
      </c>
      <c r="K156" s="422">
        <v>10.84</v>
      </c>
      <c r="L156" s="422"/>
      <c r="M156" s="421">
        <f>M155/(M152/M24)</f>
        <v>6.2969749311423371</v>
      </c>
      <c r="N156" s="422">
        <v>4</v>
      </c>
      <c r="O156" s="422">
        <v>5</v>
      </c>
      <c r="P156" s="422">
        <v>4.3922999999999996</v>
      </c>
      <c r="Q156" s="422">
        <f>+P156</f>
        <v>4.3922999999999996</v>
      </c>
      <c r="R156" s="31">
        <f>R155/(R152/R24)</f>
        <v>4.6492942863460884</v>
      </c>
      <c r="S156" s="422"/>
      <c r="T156" s="422"/>
      <c r="U156" s="422"/>
      <c r="V156" s="422"/>
      <c r="W156" s="31">
        <f>W155/(W152/W24)</f>
        <v>1.7496044187666975</v>
      </c>
      <c r="X156" s="422"/>
      <c r="Y156" s="422"/>
      <c r="Z156" s="422"/>
      <c r="AA156" s="422"/>
      <c r="AB156" s="31">
        <f>AB155/(AB152/AB24)</f>
        <v>0.37521763438807554</v>
      </c>
      <c r="AC156" s="422">
        <f>AC155/(AC152/AC24)</f>
        <v>0.74002218366984274</v>
      </c>
      <c r="AD156" s="422">
        <f>AD155/(AD152/AD24)</f>
        <v>2.8275491493848217</v>
      </c>
      <c r="AE156" s="422">
        <f>AE155/(AE152/AE24)</f>
        <v>1.6906520877800044</v>
      </c>
      <c r="AF156" s="422">
        <v>1</v>
      </c>
      <c r="AG156" s="31">
        <f>AG155/(AG152/AG24)</f>
        <v>1.1317032191026282</v>
      </c>
      <c r="AH156" s="422">
        <f>AH155/(AH152/AH24)</f>
        <v>2.2953310363585024</v>
      </c>
      <c r="AI156" s="422">
        <v>3</v>
      </c>
      <c r="AJ156" s="422">
        <v>2</v>
      </c>
      <c r="AK156" s="422">
        <v>1</v>
      </c>
      <c r="AL156" s="31">
        <v>2</v>
      </c>
      <c r="AM156" s="42">
        <v>2</v>
      </c>
      <c r="AN156" s="42">
        <v>2</v>
      </c>
      <c r="AO156" s="42">
        <v>2</v>
      </c>
      <c r="AP156" s="42">
        <v>2</v>
      </c>
      <c r="AQ156" s="31">
        <v>2</v>
      </c>
      <c r="AR156" s="229">
        <v>2</v>
      </c>
      <c r="AS156" s="229">
        <v>2</v>
      </c>
      <c r="AT156" s="31">
        <v>2</v>
      </c>
      <c r="AU156" s="31" t="e">
        <f>AU32/AU155</f>
        <v>#REF!</v>
      </c>
      <c r="AV156" s="31">
        <v>2</v>
      </c>
      <c r="AW156" s="31">
        <v>2</v>
      </c>
      <c r="AX156" s="31">
        <v>2</v>
      </c>
      <c r="AY156" s="229">
        <v>2</v>
      </c>
      <c r="AZ156" s="619">
        <v>2</v>
      </c>
      <c r="BA156" s="619">
        <v>2</v>
      </c>
      <c r="BB156" s="619">
        <v>2</v>
      </c>
      <c r="BC156" s="619">
        <v>2</v>
      </c>
      <c r="BD156" s="229">
        <v>2</v>
      </c>
      <c r="BE156" s="619">
        <v>2</v>
      </c>
      <c r="BF156" s="619">
        <v>2</v>
      </c>
      <c r="BG156" s="619">
        <v>2</v>
      </c>
      <c r="BH156" s="619">
        <v>2</v>
      </c>
      <c r="BI156" s="229">
        <v>2</v>
      </c>
      <c r="BJ156" s="619">
        <v>2</v>
      </c>
      <c r="BK156" s="619">
        <v>2</v>
      </c>
      <c r="BL156" s="619">
        <v>2</v>
      </c>
      <c r="BM156" s="619">
        <v>2</v>
      </c>
      <c r="BN156" s="229">
        <v>2</v>
      </c>
      <c r="BO156" s="619">
        <v>2</v>
      </c>
      <c r="BP156" s="668"/>
      <c r="BQ156" s="668">
        <v>2</v>
      </c>
      <c r="BR156" s="668">
        <v>2</v>
      </c>
      <c r="BS156" s="229">
        <v>2</v>
      </c>
      <c r="BT156" s="229">
        <v>2</v>
      </c>
      <c r="BU156" s="229">
        <v>2</v>
      </c>
      <c r="BV156" s="229">
        <v>2</v>
      </c>
      <c r="BW156" s="229">
        <v>2</v>
      </c>
      <c r="BX156" s="229">
        <v>2</v>
      </c>
      <c r="BY156" s="229">
        <v>2</v>
      </c>
      <c r="BZ156" s="229">
        <v>2</v>
      </c>
      <c r="CA156" s="229">
        <v>2</v>
      </c>
      <c r="CB156" s="229">
        <v>2</v>
      </c>
      <c r="CC156" s="269"/>
      <c r="CD156" s="269"/>
      <c r="CE156" s="269"/>
      <c r="CF156" s="269"/>
      <c r="CG156" s="269"/>
      <c r="CH156" s="269"/>
      <c r="CI156" s="269"/>
      <c r="CJ156" s="790"/>
      <c r="CK156" s="790"/>
      <c r="CL156" s="790"/>
    </row>
    <row r="157" spans="1:90">
      <c r="I157" s="40"/>
      <c r="J157" s="40"/>
      <c r="K157" s="40"/>
      <c r="L157" s="40"/>
      <c r="N157" s="40"/>
      <c r="O157" s="40"/>
      <c r="P157" s="40"/>
      <c r="Q157" s="40"/>
      <c r="S157" s="40"/>
      <c r="T157" s="40"/>
      <c r="U157" s="40"/>
      <c r="V157" s="40"/>
      <c r="X157" s="40"/>
      <c r="Y157" s="40"/>
      <c r="Z157" s="40"/>
      <c r="AA157" s="40"/>
      <c r="AC157" s="40"/>
      <c r="AD157" s="40"/>
      <c r="AE157" s="40"/>
      <c r="AF157" s="40"/>
      <c r="AG157" s="260">
        <f>IS!AG15/IS!AG12</f>
        <v>1.6226648752847711E-2</v>
      </c>
      <c r="AH157" s="260">
        <f>IS!AH15/IS!AH12</f>
        <v>1.1191648870692638E-2</v>
      </c>
      <c r="AI157" s="260">
        <f>IS!AI15/IS!AI12</f>
        <v>1.070157241132161E-2</v>
      </c>
      <c r="AJ157" s="260">
        <f>IS!AJ15/IS!AJ12</f>
        <v>6.7390080369079258E-3</v>
      </c>
      <c r="AK157" s="260">
        <f>IS!AK15/IS!AK12</f>
        <v>8.5839229009599446E-3</v>
      </c>
      <c r="AL157" s="260">
        <f>IS!AL15/IS!AL12</f>
        <v>8.9713993158924369E-3</v>
      </c>
      <c r="AM157" s="40"/>
      <c r="AN157" s="40"/>
      <c r="AO157" s="369"/>
      <c r="AP157" s="40"/>
      <c r="AR157" s="4"/>
      <c r="AS157" s="4"/>
      <c r="AY157" s="4"/>
      <c r="BD157" s="4"/>
      <c r="BE157" s="640"/>
      <c r="BF157" s="640"/>
      <c r="BG157" s="640"/>
      <c r="BH157" s="640"/>
      <c r="BI157" s="4"/>
      <c r="BJ157" s="640"/>
      <c r="BK157" s="640"/>
      <c r="BL157" s="640"/>
      <c r="BM157" s="640"/>
      <c r="BN157" s="4"/>
      <c r="BO157" s="4"/>
      <c r="BP157" s="668"/>
      <c r="BQ157" s="668"/>
      <c r="BR157" s="668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269"/>
      <c r="CD157" s="269"/>
      <c r="CE157" s="269"/>
      <c r="CF157" s="269"/>
      <c r="CG157" s="269"/>
      <c r="CH157" s="269"/>
      <c r="CI157" s="269"/>
      <c r="CJ157" s="269"/>
      <c r="CK157" s="269"/>
      <c r="CL157" s="269"/>
    </row>
    <row r="158" spans="1:90">
      <c r="A158" s="1" t="s">
        <v>374</v>
      </c>
      <c r="G158" s="31">
        <f>+IS!G15</f>
        <v>38.173000000000002</v>
      </c>
      <c r="H158" s="31">
        <f>+IS!H15</f>
        <v>40.593000000000004</v>
      </c>
      <c r="I158" s="42">
        <f>+IS!I15</f>
        <v>26.509</v>
      </c>
      <c r="J158" s="42">
        <f>+IS!J15</f>
        <v>14.865</v>
      </c>
      <c r="K158" s="42">
        <f>+IS!K15</f>
        <v>15.01365</v>
      </c>
      <c r="L158" s="42">
        <f>+IS!L15</f>
        <v>56.387650000000001</v>
      </c>
      <c r="M158" s="31">
        <f>+IS!M15</f>
        <v>57.023000000000003</v>
      </c>
      <c r="N158" s="40"/>
      <c r="O158" s="40"/>
      <c r="P158" s="40"/>
      <c r="Q158" s="40"/>
      <c r="R158" s="31">
        <f>+IS!R15</f>
        <v>68.644999999999996</v>
      </c>
      <c r="S158" s="40"/>
      <c r="T158" s="40"/>
      <c r="U158" s="40"/>
      <c r="V158" s="40"/>
      <c r="W158" s="31">
        <f>+IS!W15</f>
        <v>76.48</v>
      </c>
      <c r="X158" s="40">
        <f>+IS!X15</f>
        <v>17.643999999999998</v>
      </c>
      <c r="Y158" s="40">
        <f>+IS!Y15</f>
        <v>20.643999999999998</v>
      </c>
      <c r="Z158" s="40">
        <f>+IS!Z15</f>
        <v>23.265999999999998</v>
      </c>
      <c r="AA158" s="40">
        <f>+IS!AA15</f>
        <v>60.399000000000008</v>
      </c>
      <c r="AB158" s="31">
        <f>+IS!AB15-DEp!L26</f>
        <v>114.69200000000001</v>
      </c>
      <c r="AC158" s="42">
        <f>+IS!AC15</f>
        <v>21.315999999999999</v>
      </c>
      <c r="AD158" s="42">
        <f>+IS!AD15</f>
        <v>28.893000000000001</v>
      </c>
      <c r="AE158" s="42">
        <f>+IS!AE15</f>
        <v>23.242999999999999</v>
      </c>
      <c r="AF158" s="42">
        <f>+IS!AF15</f>
        <v>30.717000000000002</v>
      </c>
      <c r="AG158" s="31">
        <f>+IS!AG15-DEp!M26</f>
        <v>95.141999999999996</v>
      </c>
      <c r="AH158" s="42">
        <f>+AH159*AH32/$A$3</f>
        <v>23.311345994999996</v>
      </c>
      <c r="AI158" s="42">
        <f>+AI159*AI32/$A$3</f>
        <v>27.690856888499997</v>
      </c>
      <c r="AJ158" s="42">
        <f>+AJ159*AJ32</f>
        <v>23.687000000000001</v>
      </c>
      <c r="AK158" s="42">
        <f>+IS!AM15</f>
        <v>31.466999999999999</v>
      </c>
      <c r="AL158" s="31">
        <f>+IS!AL15-DEp!N26</f>
        <v>99.814000000000007</v>
      </c>
      <c r="AM158" s="42">
        <f>IS!AM12*AVERAGE(Assumptions!AH157:AL157)</f>
        <v>40.067072806583539</v>
      </c>
      <c r="AN158" s="42">
        <f>IS!AQ12*AVERAGE(Assumptions!AI157:AM157)</f>
        <v>157.81589176714886</v>
      </c>
      <c r="AO158" s="42">
        <f>IS!AU12*AVERAGE(Assumptions!AJ157:AN157)</f>
        <v>136.57774579850013</v>
      </c>
      <c r="AP158" s="42">
        <f>IS!AZ12*AVERAGE(Assumptions!AK157:AO157)</f>
        <v>163.06434838813283</v>
      </c>
      <c r="AQ158" s="92">
        <f>+AQ160*IS!AQ12</f>
        <v>162.34392231539999</v>
      </c>
      <c r="AR158" s="333" t="e">
        <f>+AR160*IS!#REF!</f>
        <v>#REF!</v>
      </c>
      <c r="AS158" s="333" t="e">
        <f>+AS160*IS!#REF!</f>
        <v>#REF!</v>
      </c>
      <c r="AT158" s="92">
        <f>IS!AU15</f>
        <v>172.43600000000001</v>
      </c>
      <c r="AU158" s="92">
        <f>IS!AV15</f>
        <v>41.96</v>
      </c>
      <c r="AV158" s="92">
        <f>IS!AW15</f>
        <v>56.588000000000001</v>
      </c>
      <c r="AW158" s="92">
        <f>IS!AX15</f>
        <v>50.982999999999997</v>
      </c>
      <c r="AX158" s="92">
        <f>IS!AY15</f>
        <v>61.830999999999989</v>
      </c>
      <c r="AY158" s="92">
        <f>IS!AZ15</f>
        <v>211.36199999999999</v>
      </c>
      <c r="AZ158" s="92">
        <f>IS!BA15</f>
        <v>51.37</v>
      </c>
      <c r="BA158" s="92">
        <f>IS!BB15</f>
        <v>68.822999999999993</v>
      </c>
      <c r="BB158" s="92">
        <f>IS!BC15</f>
        <v>60.210999999999999</v>
      </c>
      <c r="BC158" s="92">
        <f>IS!BD15</f>
        <v>87.300999999999988</v>
      </c>
      <c r="BD158" s="92">
        <f>IS!BE15</f>
        <v>267.70499999999998</v>
      </c>
      <c r="BE158" s="92">
        <f>IS!BF15</f>
        <v>73.944000000000003</v>
      </c>
      <c r="BF158" s="92">
        <f>IS!BG15</f>
        <v>113.905</v>
      </c>
      <c r="BG158" s="92">
        <f>IS!BH15</f>
        <v>101.911</v>
      </c>
      <c r="BH158" s="92">
        <f>IS!BI15</f>
        <v>115.81900000000002</v>
      </c>
      <c r="BI158" s="333">
        <f>IS!BJ15</f>
        <v>405.57900000000001</v>
      </c>
      <c r="BJ158" s="636">
        <f>IS!BK15</f>
        <v>107.232</v>
      </c>
      <c r="BK158" s="636">
        <f>IS!BL12*Assumptions!BK160</f>
        <v>117.88469999999998</v>
      </c>
      <c r="BL158" s="636">
        <f>IS!BM12*Assumptions!BL160</f>
        <v>122.448841</v>
      </c>
      <c r="BM158" s="636">
        <f>IS!BN12*Assumptions!BM160</f>
        <v>93.323173157459181</v>
      </c>
      <c r="BN158" s="333">
        <f>IS!BP15</f>
        <v>480.46800000000002</v>
      </c>
      <c r="BO158" s="636">
        <f>IS!BP12*Assumptions!BO160</f>
        <v>451.22265299999998</v>
      </c>
      <c r="BP158" s="668">
        <f>IS!BR15</f>
        <v>119.40300000000001</v>
      </c>
      <c r="BQ158" s="668">
        <f>IS!BS15</f>
        <v>125.37315000000001</v>
      </c>
      <c r="BR158" s="668">
        <f>+BR160*IS!BU12</f>
        <v>527.63142372158006</v>
      </c>
      <c r="BS158" s="333">
        <f>+BS160*IS!BV12</f>
        <v>565.92057840094992</v>
      </c>
      <c r="BT158" s="333">
        <f>+BT160*IS!BW12</f>
        <v>592.21507554046366</v>
      </c>
      <c r="BU158" s="333">
        <f>+BU160*IS!BX12</f>
        <v>618.14265784478482</v>
      </c>
      <c r="BV158" s="333">
        <f>+BV160*IS!BY12</f>
        <v>645.17232653285282</v>
      </c>
      <c r="BW158" s="333">
        <f>+BW160*IS!BZ12</f>
        <v>673.35130911338831</v>
      </c>
      <c r="BX158" s="333">
        <f>+BX160*IS!CA12</f>
        <v>702.72887309205623</v>
      </c>
      <c r="BY158" s="333">
        <f>+BY160*IS!CB12</f>
        <v>733.35641473781038</v>
      </c>
      <c r="BZ158" s="333">
        <f>+BZ160*IS!CC12</f>
        <v>765.28755173551087</v>
      </c>
      <c r="CA158" s="333">
        <f>+CA160*IS!CD12</f>
        <v>798.57821989568754</v>
      </c>
      <c r="CB158" s="333">
        <f>+CB160*IS!CE12</f>
        <v>833.28677409984323</v>
      </c>
      <c r="CC158" s="269"/>
      <c r="CD158" s="269"/>
      <c r="CE158" s="269"/>
      <c r="CF158" s="269"/>
      <c r="CG158" s="269"/>
      <c r="CH158" s="269"/>
      <c r="CI158" s="269"/>
      <c r="CJ158" s="269"/>
      <c r="CK158" s="269"/>
      <c r="CL158" s="269"/>
    </row>
    <row r="159" spans="1:90" s="36" customFormat="1">
      <c r="A159" s="36" t="s">
        <v>375</v>
      </c>
      <c r="G159" s="92">
        <f t="shared" ref="G159:M159" si="251">+G158*$A$3/G$32</f>
        <v>34.879088628136081</v>
      </c>
      <c r="H159" s="92">
        <f t="shared" si="251"/>
        <v>36.85678633046971</v>
      </c>
      <c r="I159" s="88">
        <f t="shared" si="251"/>
        <v>37.443042337234566</v>
      </c>
      <c r="J159" s="88">
        <f t="shared" si="251"/>
        <v>35.969395162461161</v>
      </c>
      <c r="K159" s="88">
        <f t="shared" si="251"/>
        <v>48.074293710234677</v>
      </c>
      <c r="L159" s="88" t="e">
        <f t="shared" si="251"/>
        <v>#DIV/0!</v>
      </c>
      <c r="M159" s="92">
        <f t="shared" si="251"/>
        <v>39.77744775037651</v>
      </c>
      <c r="N159" s="88"/>
      <c r="O159" s="88"/>
      <c r="P159" s="88"/>
      <c r="Q159" s="88"/>
      <c r="R159" s="92">
        <f>+R158*$A$3/R$32</f>
        <v>88.068283871232609</v>
      </c>
      <c r="S159" s="88"/>
      <c r="T159" s="88"/>
      <c r="U159" s="88"/>
      <c r="V159" s="88"/>
      <c r="W159" s="92">
        <f t="shared" ref="W159:AB159" si="252">+W158*$A$3/W$32</f>
        <v>42.194791194264866</v>
      </c>
      <c r="X159" s="88">
        <f t="shared" si="252"/>
        <v>34.166981342163609</v>
      </c>
      <c r="Y159" s="88">
        <f t="shared" si="252"/>
        <v>41.205342083779939</v>
      </c>
      <c r="Z159" s="88">
        <f t="shared" si="252"/>
        <v>44.519453581399262</v>
      </c>
      <c r="AA159" s="88">
        <f>+AA158*$A$3/AA$32</f>
        <v>108.08136299297281</v>
      </c>
      <c r="AB159" s="92">
        <f t="shared" si="252"/>
        <v>54.645423186140917</v>
      </c>
      <c r="AC159" s="88">
        <f>+AC158*$A$3/AC$32</f>
        <v>38.013510525227019</v>
      </c>
      <c r="AD159" s="88">
        <f>+AD158*$A$3/AD$32</f>
        <v>48.953015745003128</v>
      </c>
      <c r="AE159" s="88">
        <f>+AE158*$A$3/AE$32</f>
        <v>37.598108043403712</v>
      </c>
      <c r="AF159" s="88">
        <f>+AF158*$A$3/AF$32</f>
        <v>42.699981094516303</v>
      </c>
      <c r="AG159" s="92">
        <f>+AG158*$A$3/AG$32</f>
        <v>38.021728757394179</v>
      </c>
      <c r="AH159" s="88">
        <v>24.992999999999999</v>
      </c>
      <c r="AI159" s="88">
        <f>+AH159*1.15</f>
        <v>28.741949999999996</v>
      </c>
      <c r="AJ159" s="134">
        <f>IS!AJ15/Assumptions!AJ32</f>
        <v>2.0029257073277976E-5</v>
      </c>
      <c r="AK159" s="88">
        <f t="shared" ref="AK159:AP159" si="253">+AK158*$A$3/AK$32</f>
        <v>26.673617556931607</v>
      </c>
      <c r="AL159" s="92">
        <f t="shared" si="253"/>
        <v>23.574659425836799</v>
      </c>
      <c r="AM159" s="88">
        <f t="shared" si="253"/>
        <v>43.777237458422285</v>
      </c>
      <c r="AN159" s="88">
        <f t="shared" si="253"/>
        <v>213.29709364419861</v>
      </c>
      <c r="AO159" s="88">
        <f t="shared" si="253"/>
        <v>137.06549473215946</v>
      </c>
      <c r="AP159" s="88">
        <f t="shared" si="253"/>
        <v>139.65649647861744</v>
      </c>
      <c r="AQ159" s="92"/>
      <c r="AR159" s="333"/>
      <c r="AS159" s="333"/>
      <c r="AT159" s="92"/>
      <c r="AU159" s="92"/>
      <c r="AV159" s="92"/>
      <c r="AW159" s="92"/>
      <c r="AX159" s="92"/>
      <c r="AY159" s="333"/>
      <c r="AZ159" s="636"/>
      <c r="BA159" s="636"/>
      <c r="BB159" s="636"/>
      <c r="BC159" s="636"/>
      <c r="BD159" s="333"/>
      <c r="BE159" s="636"/>
      <c r="BF159" s="636"/>
      <c r="BG159" s="636"/>
      <c r="BH159" s="636"/>
      <c r="BI159" s="333"/>
      <c r="BJ159" s="636"/>
      <c r="BK159" s="636"/>
      <c r="BL159" s="636"/>
      <c r="BM159" s="636"/>
      <c r="BN159" s="333"/>
      <c r="BO159" s="333"/>
      <c r="BP159" s="668"/>
      <c r="BQ159" s="668"/>
      <c r="BR159" s="668"/>
      <c r="BS159" s="333"/>
      <c r="BT159" s="333"/>
      <c r="BU159" s="333"/>
      <c r="BV159" s="333"/>
      <c r="BW159" s="333"/>
      <c r="BX159" s="333"/>
      <c r="BY159" s="333"/>
      <c r="BZ159" s="333"/>
      <c r="CA159" s="333"/>
      <c r="CB159" s="333"/>
      <c r="CC159" s="213"/>
      <c r="CD159" s="213"/>
      <c r="CE159" s="213"/>
      <c r="CF159" s="213"/>
      <c r="CG159" s="213"/>
      <c r="CH159" s="213"/>
      <c r="CI159" s="213"/>
      <c r="CJ159" s="213"/>
      <c r="CK159" s="213"/>
      <c r="CL159" s="213"/>
    </row>
    <row r="160" spans="1:90">
      <c r="A160" s="1" t="s">
        <v>104</v>
      </c>
      <c r="C160" s="34" t="e">
        <f>#REF!/IS!C12</f>
        <v>#REF!</v>
      </c>
      <c r="D160" s="34" t="e">
        <f>#REF!/IS!D12</f>
        <v>#REF!</v>
      </c>
      <c r="E160" s="34" t="e">
        <f>#REF!/IS!E12</f>
        <v>#REF!</v>
      </c>
      <c r="F160" s="34">
        <f>IS!F15/IS!F12</f>
        <v>1.196766308281238E-2</v>
      </c>
      <c r="G160" s="259">
        <f>+IS!G15/IS!G12</f>
        <v>1.4959056865812484E-2</v>
      </c>
      <c r="H160" s="259">
        <f>+IS!H15/IS!H12</f>
        <v>1.4931285849541726E-2</v>
      </c>
      <c r="I160" s="395">
        <f>+IS!I15/IS!I12</f>
        <v>1.6701065481230598E-2</v>
      </c>
      <c r="J160" s="395">
        <f>+IS!J15/IS!J12</f>
        <v>2.0290274454455741E-2</v>
      </c>
      <c r="K160" s="395">
        <f>+J160</f>
        <v>2.0290274454455741E-2</v>
      </c>
      <c r="L160" s="395"/>
      <c r="M160" s="259">
        <f>+IS!M15/IS!M12</f>
        <v>1.9058451085993806E-2</v>
      </c>
      <c r="N160" s="395">
        <f>+IS!N15/IS!N12</f>
        <v>1.5725017032398547E-2</v>
      </c>
      <c r="O160" s="395">
        <f>+IS!O15/IS!O12</f>
        <v>1.514024569249103E-2</v>
      </c>
      <c r="P160" s="395">
        <f>+O160</f>
        <v>1.514024569249103E-2</v>
      </c>
      <c r="Q160" s="395">
        <f>+P160</f>
        <v>1.514024569249103E-2</v>
      </c>
      <c r="R160" s="259">
        <f>+IS!R15/IS!R12</f>
        <v>1.7679452430181035E-2</v>
      </c>
      <c r="S160" s="395"/>
      <c r="T160" s="395"/>
      <c r="U160" s="395"/>
      <c r="V160" s="395"/>
      <c r="W160" s="259">
        <f>+IS!W15/IS!W12</f>
        <v>1.4486055656153164E-2</v>
      </c>
      <c r="X160" s="395">
        <f>+IS!X15/IS!X12</f>
        <v>9.5888855012942597E-3</v>
      </c>
      <c r="Y160" s="395">
        <f>+IS!Y15/IS!Y12</f>
        <v>1.1180015911105767E-2</v>
      </c>
      <c r="Z160" s="395">
        <f>+IS!Z15/IS!Z12</f>
        <v>1.2283834397904154E-2</v>
      </c>
      <c r="AA160" s="395">
        <f>+IS!AA15/IS!AA12</f>
        <v>2.5430354830900087E-2</v>
      </c>
      <c r="AB160" s="259">
        <f>+IS!AB15/IS!AB12</f>
        <v>1.5329076827644202E-2</v>
      </c>
      <c r="AC160" s="395">
        <f>+IS!AC15/IS!AC12</f>
        <v>1.1522305412445668E-2</v>
      </c>
      <c r="AD160" s="395"/>
      <c r="AE160" s="395"/>
      <c r="AF160" s="395">
        <f>+IS!AF15/IS!AF12</f>
        <v>1.8978895038684402E-2</v>
      </c>
      <c r="AG160" s="259">
        <f>+IS!AG15/IS!AG12</f>
        <v>1.6226648752847711E-2</v>
      </c>
      <c r="AH160" s="395">
        <f>+IS!AH15/IS!AH12</f>
        <v>1.1191648870692638E-2</v>
      </c>
      <c r="AI160" s="395">
        <f>+IS!AI15/IS!AI12</f>
        <v>1.070157241132161E-2</v>
      </c>
      <c r="AJ160" s="395">
        <f>+IS!AJ15/IS!AJ12</f>
        <v>6.7390080369079258E-3</v>
      </c>
      <c r="AK160" s="395">
        <f>+IS!AK15/IS!AK12</f>
        <v>8.5839229009599446E-3</v>
      </c>
      <c r="AL160" s="259">
        <f>+IS!AL15/IS!AL12</f>
        <v>8.9713993158924369E-3</v>
      </c>
      <c r="AM160" s="395">
        <f>+IS!AM15/IS!AM12</f>
        <v>7.254753503916603E-3</v>
      </c>
      <c r="AN160" s="395">
        <v>8.5000000000000006E-3</v>
      </c>
      <c r="AO160" s="395">
        <v>8.5000000000000006E-3</v>
      </c>
      <c r="AP160" s="395">
        <v>8.5000000000000006E-3</v>
      </c>
      <c r="AQ160" s="259">
        <v>8.9999999999999993E-3</v>
      </c>
      <c r="AR160" s="366">
        <v>1.2500000000000001E-2</v>
      </c>
      <c r="AS160" s="366">
        <v>8.5000000000000006E-3</v>
      </c>
      <c r="AT160" s="259">
        <f>AT158/IS!AU12</f>
        <v>1.022425507451258E-2</v>
      </c>
      <c r="AU160" s="259">
        <f>AU158/IS!AV12</f>
        <v>1.1893683620645917E-2</v>
      </c>
      <c r="AV160" s="259">
        <f>AV158/IS!AW12</f>
        <v>1.2178000060257299E-2</v>
      </c>
      <c r="AW160" s="259">
        <f>AW158/IS!AX12</f>
        <v>1.0397159119992836E-2</v>
      </c>
      <c r="AX160" s="259">
        <f>AX158/IS!AY12</f>
        <v>1.1244077087694742E-2</v>
      </c>
      <c r="AY160" s="259">
        <f>AY158/IS!AZ12</f>
        <v>1.1377496218751611E-2</v>
      </c>
      <c r="AZ160" s="259">
        <f>AZ158/IS!BA12</f>
        <v>1.0096279235135602E-2</v>
      </c>
      <c r="BA160" s="259">
        <f>BA158/IS!BB12</f>
        <v>1.2260492578823941E-2</v>
      </c>
      <c r="BB160" s="259">
        <f>BB158/IS!BC12</f>
        <v>1.0030626136568846E-2</v>
      </c>
      <c r="BC160" s="259">
        <f>BC158/IS!BD12</f>
        <v>1.3977714047105478E-2</v>
      </c>
      <c r="BD160" s="259">
        <f>BD158/IS!BE12</f>
        <v>1.1664780597941085E-2</v>
      </c>
      <c r="BE160" s="259">
        <f>BE158/IS!BF12</f>
        <v>1.2588274028870772E-2</v>
      </c>
      <c r="BF160" s="259">
        <f>BF158/IS!BG12</f>
        <v>1.9137962523163226E-2</v>
      </c>
      <c r="BG160" s="259">
        <f>BG158/IS!BH12</f>
        <v>1.6160517029982693E-2</v>
      </c>
      <c r="BH160" s="259">
        <f>BH158/IS!BI12</f>
        <v>1.6702852599289303E-2</v>
      </c>
      <c r="BI160" s="259">
        <f>BI158/IS!BJ12</f>
        <v>1.6277903239711278E-2</v>
      </c>
      <c r="BJ160" s="683">
        <f>BJ158/IS!BK12</f>
        <v>1.831750304446152E-2</v>
      </c>
      <c r="BK160" s="683">
        <v>1.7999999999999999E-2</v>
      </c>
      <c r="BL160" s="683">
        <v>1.7000000000000001E-2</v>
      </c>
      <c r="BM160" s="683">
        <v>1.23E-2</v>
      </c>
      <c r="BN160" s="366">
        <f>BN158/IS!BP12</f>
        <v>1.8101830539079784E-2</v>
      </c>
      <c r="BO160" s="366">
        <f>BL160</f>
        <v>1.7000000000000001E-2</v>
      </c>
      <c r="BP160" s="668">
        <f>BP158/IS!BR12</f>
        <v>2.0545827314423275E-2</v>
      </c>
      <c r="BQ160" s="668">
        <f>BP160</f>
        <v>2.0545827314423275E-2</v>
      </c>
      <c r="BR160" s="668">
        <f>BN160</f>
        <v>1.8101830539079784E-2</v>
      </c>
      <c r="BS160" s="366">
        <f>BR160</f>
        <v>1.8101830539079784E-2</v>
      </c>
      <c r="BT160" s="366">
        <f>BS160</f>
        <v>1.8101830539079784E-2</v>
      </c>
      <c r="BU160" s="366">
        <f t="shared" ref="BU160:CB160" si="254">AVERAGE(BR160:BT160)</f>
        <v>1.8101830539079784E-2</v>
      </c>
      <c r="BV160" s="366">
        <f t="shared" si="254"/>
        <v>1.8101830539079784E-2</v>
      </c>
      <c r="BW160" s="366">
        <f t="shared" si="254"/>
        <v>1.8101830539079784E-2</v>
      </c>
      <c r="BX160" s="366">
        <f t="shared" si="254"/>
        <v>1.8101830539079784E-2</v>
      </c>
      <c r="BY160" s="366">
        <f t="shared" si="254"/>
        <v>1.8101830539079784E-2</v>
      </c>
      <c r="BZ160" s="366">
        <f t="shared" si="254"/>
        <v>1.8101830539079784E-2</v>
      </c>
      <c r="CA160" s="366">
        <f t="shared" si="254"/>
        <v>1.8101830539079784E-2</v>
      </c>
      <c r="CB160" s="366">
        <f t="shared" si="254"/>
        <v>1.8101830539079784E-2</v>
      </c>
      <c r="CC160" s="790"/>
      <c r="CD160" s="790"/>
      <c r="CE160" s="790"/>
      <c r="CF160" s="790"/>
      <c r="CG160" s="790"/>
      <c r="CH160" s="790"/>
      <c r="CI160" s="790"/>
      <c r="CJ160" s="269"/>
      <c r="CK160" s="269"/>
      <c r="CL160" s="269"/>
    </row>
    <row r="161" spans="1:90">
      <c r="I161" s="40"/>
      <c r="J161" s="40"/>
      <c r="K161" s="40"/>
      <c r="L161" s="40"/>
      <c r="N161" s="40"/>
      <c r="O161" s="40"/>
      <c r="P161" s="40"/>
      <c r="Q161" s="40"/>
      <c r="S161" s="40"/>
      <c r="T161" s="40"/>
      <c r="U161" s="40"/>
      <c r="V161" s="40"/>
      <c r="X161" s="40"/>
      <c r="Y161" s="40"/>
      <c r="Z161" s="40"/>
      <c r="AA161" s="40"/>
      <c r="AC161" s="40"/>
      <c r="AD161" s="40"/>
      <c r="AE161" s="40"/>
      <c r="AF161" s="40"/>
      <c r="AH161" s="40"/>
      <c r="AI161" s="40"/>
      <c r="AJ161" s="40"/>
      <c r="AK161" s="40"/>
      <c r="AM161" s="40"/>
      <c r="AN161" s="40"/>
      <c r="AO161" s="40"/>
      <c r="AP161" s="40"/>
      <c r="AR161" s="4"/>
      <c r="AS161" s="4"/>
      <c r="AY161" s="4"/>
      <c r="BD161" s="4"/>
      <c r="BE161" s="640"/>
      <c r="BF161" s="640"/>
      <c r="BG161" s="640"/>
      <c r="BH161" s="640"/>
      <c r="BI161" s="4"/>
      <c r="BJ161" s="640"/>
      <c r="BK161" s="640"/>
      <c r="BL161" s="640"/>
      <c r="BM161" s="640"/>
      <c r="BN161" s="4"/>
      <c r="BO161" s="4"/>
      <c r="BP161" s="668"/>
      <c r="BQ161" s="668"/>
      <c r="BR161" s="668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269"/>
      <c r="CD161" s="269"/>
      <c r="CE161" s="269"/>
      <c r="CF161" s="269"/>
      <c r="CG161" s="269"/>
      <c r="CH161" s="269"/>
      <c r="CI161" s="269"/>
      <c r="CJ161" s="269"/>
      <c r="CK161" s="269"/>
      <c r="CL161" s="269"/>
    </row>
    <row r="162" spans="1:90">
      <c r="A162" s="1" t="s">
        <v>373</v>
      </c>
      <c r="G162" s="31">
        <f>+IS!G16</f>
        <v>20.411000000000001</v>
      </c>
      <c r="H162" s="31">
        <f>+IS!H16</f>
        <v>22.597999999999999</v>
      </c>
      <c r="I162" s="42">
        <f>+IS!I16</f>
        <v>10.353</v>
      </c>
      <c r="J162" s="42">
        <f>+IS!J16</f>
        <v>4.6870000000000003</v>
      </c>
      <c r="K162" s="42">
        <f>+IS!K16</f>
        <v>4.7338700000000005</v>
      </c>
      <c r="L162" s="42">
        <f>+IS!L16</f>
        <v>19.773869999999999</v>
      </c>
      <c r="M162" s="31">
        <f>+IS!M16</f>
        <v>21.622</v>
      </c>
      <c r="N162" s="31">
        <f>+IS!N16</f>
        <v>5.8730000000000002</v>
      </c>
      <c r="O162" s="31">
        <f>+IS!O16</f>
        <v>10.948</v>
      </c>
      <c r="P162" s="31">
        <f>+IS!P16</f>
        <v>8.4390000000000001</v>
      </c>
      <c r="Q162" s="31">
        <f>+IS!Q16</f>
        <v>13.3</v>
      </c>
      <c r="R162" s="31">
        <f>+IS!R16</f>
        <v>38.56</v>
      </c>
      <c r="S162" s="31">
        <f>+IS!S16</f>
        <v>0</v>
      </c>
      <c r="T162" s="31">
        <f>+IS!T16</f>
        <v>0</v>
      </c>
      <c r="U162" s="31">
        <f>+IS!U16</f>
        <v>0</v>
      </c>
      <c r="V162" s="31">
        <f>+IS!V16</f>
        <v>0</v>
      </c>
      <c r="W162" s="31">
        <f>+IS!W16</f>
        <v>60.905000000000001</v>
      </c>
      <c r="X162" s="31">
        <f>+IS!X16</f>
        <v>7.335</v>
      </c>
      <c r="Y162" s="31">
        <f>+IS!Y16</f>
        <v>7.23</v>
      </c>
      <c r="Z162" s="31">
        <f>+IS!Z16</f>
        <v>8.1010000000000009</v>
      </c>
      <c r="AA162" s="31">
        <f>+IS!AA16</f>
        <v>11.685999999999996</v>
      </c>
      <c r="AB162" s="31">
        <f>+IS!AB16</f>
        <v>34.351999999999997</v>
      </c>
      <c r="AC162" s="31">
        <f>+IS!AC16</f>
        <v>14.010999999999999</v>
      </c>
      <c r="AD162" s="31">
        <f>+IS!AD16</f>
        <v>10.712</v>
      </c>
      <c r="AE162" s="31">
        <f>+IS!AE16</f>
        <v>13.792999999999999</v>
      </c>
      <c r="AF162" s="31">
        <f>+IS!AF16</f>
        <v>26.606000000000005</v>
      </c>
      <c r="AG162" s="31">
        <f>+IS!AG16</f>
        <v>65.122</v>
      </c>
      <c r="AH162" s="31">
        <f>+IS!AH16</f>
        <v>46.167999999999999</v>
      </c>
      <c r="AI162" s="31">
        <f>+IS!AI16</f>
        <v>72.980999999999995</v>
      </c>
      <c r="AJ162" s="31">
        <f>+IS!AJ16</f>
        <v>127.339</v>
      </c>
      <c r="AK162" s="31">
        <f>+IS!AK16</f>
        <v>314.97700000000003</v>
      </c>
      <c r="AL162" s="31">
        <f>+IS!AL16</f>
        <v>561.46500000000003</v>
      </c>
      <c r="AM162" s="31">
        <f>+IS!AM16</f>
        <v>428.17899999999997</v>
      </c>
      <c r="AN162" s="31">
        <f>+IS!AN16</f>
        <v>661.98599999999999</v>
      </c>
      <c r="AO162" s="31">
        <f>+IS!AO16</f>
        <v>280.25400000000002</v>
      </c>
      <c r="AP162" s="31">
        <f>+IS!AP16</f>
        <v>456.80633333333327</v>
      </c>
      <c r="AQ162" s="31">
        <f>+IS!AQ16</f>
        <v>1871.5170000000001</v>
      </c>
      <c r="AR162" s="31">
        <f>+IS!AR16</f>
        <v>397.05799999999999</v>
      </c>
      <c r="AS162" s="31">
        <f>+IS!AS16</f>
        <v>126.07599999999999</v>
      </c>
      <c r="AT162" s="31">
        <f>IS!AU16</f>
        <v>994.41800000000001</v>
      </c>
      <c r="AU162" s="31">
        <f>IS!AV16</f>
        <v>326.73200000000003</v>
      </c>
      <c r="AV162" s="31">
        <f>IS!AW16</f>
        <v>442.37299999999999</v>
      </c>
      <c r="AW162" s="31">
        <f>IS!AX16</f>
        <v>753.81899999999996</v>
      </c>
      <c r="AX162" s="31">
        <f>IS!AY16</f>
        <v>947.67500000000018</v>
      </c>
      <c r="AY162" s="31">
        <f>IS!AZ16</f>
        <v>2470.5990000000002</v>
      </c>
      <c r="AZ162" s="31">
        <f>IS!BA16</f>
        <v>635.68799999999999</v>
      </c>
      <c r="BA162" s="31">
        <f>IS!BB16</f>
        <v>602.20000000000005</v>
      </c>
      <c r="BB162" s="31">
        <f>IS!BC16</f>
        <v>584.803</v>
      </c>
      <c r="BC162" s="31">
        <f>IS!BD16</f>
        <v>380.21000000000004</v>
      </c>
      <c r="BD162" s="31">
        <f>IS!BE16</f>
        <v>2202.9009999999998</v>
      </c>
      <c r="BE162" s="31">
        <f>IS!BF16</f>
        <v>575.01099999999997</v>
      </c>
      <c r="BF162" s="31">
        <f>IS!BG16</f>
        <v>312.69900000000001</v>
      </c>
      <c r="BG162" s="31">
        <f>IS!BH16</f>
        <v>393.88299999999998</v>
      </c>
      <c r="BH162" s="31">
        <f>IS!BI16</f>
        <v>469.5809999999999</v>
      </c>
      <c r="BI162" s="31">
        <f>IS!BJ16</f>
        <v>1751.174</v>
      </c>
      <c r="BJ162" s="31">
        <f>IS!BK16</f>
        <v>320.96499999999997</v>
      </c>
      <c r="BK162" s="31">
        <f>IS!BL16</f>
        <v>419.55200000000002</v>
      </c>
      <c r="BL162" s="31">
        <f>IS!BM16</f>
        <v>449.76900000000001</v>
      </c>
      <c r="BM162" s="31">
        <f ca="1">BM34*BM163/$A$3</f>
        <v>269.87457281641122</v>
      </c>
      <c r="BN162" s="31">
        <f>IS!BP16</f>
        <v>1445.2249999999999</v>
      </c>
      <c r="BO162" s="31">
        <f ca="1">BO34*BO163/$A$3</f>
        <v>297.08</v>
      </c>
      <c r="BP162" s="668"/>
      <c r="BQ162" s="668">
        <f ca="1">BQ34*BQ163/$A$3</f>
        <v>283.1945323896793</v>
      </c>
      <c r="BR162" s="668">
        <f t="shared" ref="BR162:CB162" si="255">BR34*BR163/$A$3</f>
        <v>1488.5817500000003</v>
      </c>
      <c r="BS162" s="31">
        <f t="shared" si="255"/>
        <v>1533.2392025000001</v>
      </c>
      <c r="BT162" s="31">
        <f t="shared" si="255"/>
        <v>1579.2363785750001</v>
      </c>
      <c r="BU162" s="31">
        <f t="shared" si="255"/>
        <v>1626.6134699322502</v>
      </c>
      <c r="BV162" s="31">
        <f t="shared" si="255"/>
        <v>1675.4118740302176</v>
      </c>
      <c r="BW162" s="31">
        <f t="shared" si="255"/>
        <v>1725.6742302511243</v>
      </c>
      <c r="BX162" s="31">
        <f t="shared" si="255"/>
        <v>1777.444457158658</v>
      </c>
      <c r="BY162" s="31">
        <f t="shared" si="255"/>
        <v>1830.7677908734179</v>
      </c>
      <c r="BZ162" s="31">
        <f t="shared" si="255"/>
        <v>1885.6908245996203</v>
      </c>
      <c r="CA162" s="31">
        <f t="shared" si="255"/>
        <v>1942.261549337609</v>
      </c>
      <c r="CB162" s="31">
        <f t="shared" si="255"/>
        <v>2000.5293958177376</v>
      </c>
      <c r="CC162" s="269"/>
      <c r="CD162" s="269"/>
      <c r="CE162" s="269"/>
      <c r="CF162" s="269"/>
      <c r="CG162" s="269"/>
      <c r="CH162" s="269"/>
      <c r="CI162" s="269"/>
      <c r="CJ162" s="269"/>
      <c r="CK162" s="269"/>
      <c r="CL162" s="269"/>
    </row>
    <row r="163" spans="1:90" s="36" customFormat="1">
      <c r="A163" s="36" t="s">
        <v>375</v>
      </c>
      <c r="G163" s="92">
        <f>+G162*$A$3/G$32</f>
        <v>18.649754485863976</v>
      </c>
      <c r="H163" s="92">
        <f>+H162*$A$3/H34</f>
        <v>3293.2089769746431</v>
      </c>
      <c r="I163" s="88">
        <f>+I162*$A$3/I32</f>
        <v>14.623253133554243</v>
      </c>
      <c r="J163" s="88">
        <f>+J162*$A$3/J32</f>
        <v>11.341308787518027</v>
      </c>
      <c r="K163" s="88">
        <f>+K162*$A$3/K32</f>
        <v>15.158036637730911</v>
      </c>
      <c r="L163" s="88" t="e">
        <f>+L162*$A$3/L32</f>
        <v>#DIV/0!</v>
      </c>
      <c r="M163" s="92">
        <f t="shared" ref="M163:BE163" si="256">+M162*$A$3/M34</f>
        <v>521.18787060695172</v>
      </c>
      <c r="N163" s="92">
        <f t="shared" si="256"/>
        <v>150.70953835099695</v>
      </c>
      <c r="O163" s="92">
        <f t="shared" si="256"/>
        <v>290.42098840756557</v>
      </c>
      <c r="P163" s="92">
        <f t="shared" si="256"/>
        <v>190.55253234583512</v>
      </c>
      <c r="Q163" s="92">
        <f t="shared" si="256"/>
        <v>282.52788104089217</v>
      </c>
      <c r="R163" s="92">
        <f t="shared" si="256"/>
        <v>229.48556193015449</v>
      </c>
      <c r="S163" s="92" t="e">
        <f t="shared" si="256"/>
        <v>#DIV/0!</v>
      </c>
      <c r="T163" s="92" t="e">
        <f t="shared" si="256"/>
        <v>#DIV/0!</v>
      </c>
      <c r="U163" s="92" t="e">
        <f t="shared" si="256"/>
        <v>#DIV/0!</v>
      </c>
      <c r="V163" s="92" t="e">
        <f t="shared" si="256"/>
        <v>#DIV/0!</v>
      </c>
      <c r="W163" s="92">
        <f t="shared" si="256"/>
        <v>209.86888578763288</v>
      </c>
      <c r="X163" s="92">
        <f t="shared" si="256"/>
        <v>136.62525378583268</v>
      </c>
      <c r="Y163" s="92">
        <f t="shared" si="256"/>
        <v>211.4467873541368</v>
      </c>
      <c r="Z163" s="92">
        <f t="shared" si="256"/>
        <v>196.8699117840045</v>
      </c>
      <c r="AA163" s="92">
        <f t="shared" si="256"/>
        <v>314.03848221003966</v>
      </c>
      <c r="AB163" s="92">
        <f t="shared" si="256"/>
        <v>206.6397579417833</v>
      </c>
      <c r="AC163" s="92">
        <f t="shared" si="256"/>
        <v>315.74084507042255</v>
      </c>
      <c r="AD163" s="92">
        <f t="shared" si="256"/>
        <v>454.32182543048606</v>
      </c>
      <c r="AE163" s="92">
        <f t="shared" si="256"/>
        <v>436.76377454084866</v>
      </c>
      <c r="AF163" s="92">
        <f t="shared" si="256"/>
        <v>493.21518611893822</v>
      </c>
      <c r="AG163" s="92">
        <f t="shared" si="256"/>
        <v>424.31113456739445</v>
      </c>
      <c r="AH163" s="92">
        <f t="shared" si="256"/>
        <v>448.59013972288619</v>
      </c>
      <c r="AI163" s="92">
        <f t="shared" si="256"/>
        <v>738.95830380105713</v>
      </c>
      <c r="AJ163" s="92">
        <f t="shared" si="256"/>
        <v>720.22691794303296</v>
      </c>
      <c r="AK163" s="92">
        <f t="shared" si="256"/>
        <v>990.1076309866595</v>
      </c>
      <c r="AL163" s="92">
        <f t="shared" si="256"/>
        <v>848.29461756373939</v>
      </c>
      <c r="AM163" s="92">
        <f t="shared" si="256"/>
        <v>1644.2494527859913</v>
      </c>
      <c r="AN163" s="92">
        <f t="shared" si="256"/>
        <v>3550.6460488840976</v>
      </c>
      <c r="AO163" s="92">
        <f t="shared" si="256"/>
        <v>608.73966080489333</v>
      </c>
      <c r="AP163" s="92">
        <f t="shared" si="256"/>
        <v>796.82734079976478</v>
      </c>
      <c r="AQ163" s="92">
        <f t="shared" si="256"/>
        <v>1827.949648087483</v>
      </c>
      <c r="AR163" s="26">
        <f t="shared" si="256"/>
        <v>752.83228265748983</v>
      </c>
      <c r="AS163" s="92">
        <f t="shared" si="256"/>
        <v>226.7215479097724</v>
      </c>
      <c r="AT163" s="92">
        <f t="shared" si="256"/>
        <v>1235.1468946132225</v>
      </c>
      <c r="AU163" s="92">
        <f t="shared" si="256"/>
        <v>1552.4438975021737</v>
      </c>
      <c r="AV163" s="92">
        <f t="shared" si="256"/>
        <v>1148.6806504048152</v>
      </c>
      <c r="AW163" s="92">
        <f t="shared" si="256"/>
        <v>2566.1137190690329</v>
      </c>
      <c r="AX163" s="92">
        <f t="shared" si="256"/>
        <v>2239.7945678172009</v>
      </c>
      <c r="AY163" s="92">
        <f t="shared" si="256"/>
        <v>1882.4414603594516</v>
      </c>
      <c r="AZ163" s="92">
        <f t="shared" si="256"/>
        <v>1845.3285338984281</v>
      </c>
      <c r="BA163" s="92">
        <f t="shared" si="256"/>
        <v>1879.7309319057949</v>
      </c>
      <c r="BB163" s="92">
        <f t="shared" si="256"/>
        <v>2073.1593183566538</v>
      </c>
      <c r="BC163" s="92">
        <f t="shared" si="256"/>
        <v>1240.5339180198964</v>
      </c>
      <c r="BD163" s="92">
        <f t="shared" si="256"/>
        <v>1757.5094421511669</v>
      </c>
      <c r="BE163" s="92">
        <f t="shared" si="256"/>
        <v>1555.5847128175023</v>
      </c>
      <c r="BF163" s="92">
        <f t="shared" ref="BF163:BI163" si="257">+BF162*$A$3/BF34</f>
        <v>1615.998801045984</v>
      </c>
      <c r="BG163" s="92">
        <f t="shared" si="257"/>
        <v>1661.5049100664799</v>
      </c>
      <c r="BH163" s="92">
        <f t="shared" si="257"/>
        <v>1599.684546885326</v>
      </c>
      <c r="BI163" s="92">
        <f t="shared" si="257"/>
        <v>1601.0660522694754</v>
      </c>
      <c r="BJ163" s="92">
        <f>+BJ162*$A$3/BJ34</f>
        <v>1136.1391833772855</v>
      </c>
      <c r="BK163" s="92">
        <f>+BK162*$A$3/BK34</f>
        <v>1929.3295318679297</v>
      </c>
      <c r="BL163" s="92">
        <f>+BL162*$A$3/BL34</f>
        <v>1401.3634480029662</v>
      </c>
      <c r="BM163" s="92">
        <f ca="1">+BM162*$A$3/BM34</f>
        <v>1401.3634480029659</v>
      </c>
      <c r="BN163" s="92">
        <f t="shared" ref="BN163" si="258">+BN162*$A$3/BN34</f>
        <v>1425.9799742672888</v>
      </c>
      <c r="BO163" s="92">
        <f ca="1">+BO162*$A$3/BO34</f>
        <v>1401.3868578706542</v>
      </c>
      <c r="BP163" s="668"/>
      <c r="BQ163" s="668">
        <f ca="1">+BQ162*$A$3/BQ34</f>
        <v>1401.3634480029657</v>
      </c>
      <c r="BR163" s="668">
        <f>BN163*(1+BR164)</f>
        <v>1468.7593734953075</v>
      </c>
      <c r="BS163" s="92">
        <f t="shared" ref="BS163:CB163" si="259">BR163*(1+BS164)</f>
        <v>1512.8221547001667</v>
      </c>
      <c r="BT163" s="92">
        <f t="shared" si="259"/>
        <v>1558.2068193411717</v>
      </c>
      <c r="BU163" s="92">
        <f t="shared" si="259"/>
        <v>1604.9530239214068</v>
      </c>
      <c r="BV163" s="92">
        <f t="shared" si="259"/>
        <v>1653.1016146390491</v>
      </c>
      <c r="BW163" s="92">
        <f t="shared" si="259"/>
        <v>1702.6946630782206</v>
      </c>
      <c r="BX163" s="92">
        <f t="shared" si="259"/>
        <v>1753.7755029705672</v>
      </c>
      <c r="BY163" s="92">
        <f t="shared" si="259"/>
        <v>1806.3887680596843</v>
      </c>
      <c r="BZ163" s="92">
        <f t="shared" si="259"/>
        <v>1860.5804311014749</v>
      </c>
      <c r="CA163" s="92">
        <f t="shared" si="259"/>
        <v>1916.3978440345193</v>
      </c>
      <c r="CB163" s="92">
        <f t="shared" si="259"/>
        <v>1973.889779355555</v>
      </c>
      <c r="CC163" s="213"/>
      <c r="CD163" s="213"/>
      <c r="CE163" s="213"/>
      <c r="CF163" s="213"/>
      <c r="CG163" s="213"/>
      <c r="CH163" s="213"/>
      <c r="CI163" s="213"/>
      <c r="CJ163" s="213"/>
      <c r="CK163" s="213"/>
      <c r="CL163" s="213"/>
    </row>
    <row r="164" spans="1:90" s="423" customFormat="1">
      <c r="A164" s="423" t="s">
        <v>12</v>
      </c>
      <c r="C164" s="342"/>
      <c r="D164" s="342"/>
      <c r="E164" s="342"/>
      <c r="F164" s="342"/>
      <c r="G164" s="424"/>
      <c r="H164" s="424">
        <f>+H163/G163-1</f>
        <v>175.58189438744671</v>
      </c>
      <c r="I164" s="425"/>
      <c r="J164" s="425"/>
      <c r="K164" s="425"/>
      <c r="L164" s="425"/>
      <c r="M164" s="424">
        <f>+M163/H163-1</f>
        <v>-0.84173859774737136</v>
      </c>
      <c r="N164" s="425"/>
      <c r="O164" s="425"/>
      <c r="P164" s="425"/>
      <c r="Q164" s="425"/>
      <c r="R164" s="424">
        <f>+R163/M163-1</f>
        <v>-0.55968744694133798</v>
      </c>
      <c r="S164" s="425"/>
      <c r="T164" s="425"/>
      <c r="U164" s="425"/>
      <c r="V164" s="425"/>
      <c r="W164" s="424">
        <f>+W163/R163-1</f>
        <v>-8.5481090738475651E-2</v>
      </c>
      <c r="X164" s="425"/>
      <c r="Y164" s="425"/>
      <c r="Z164" s="425"/>
      <c r="AA164" s="425"/>
      <c r="AB164" s="424">
        <f>+AB163/W163-1</f>
        <v>-1.5386405820618565E-2</v>
      </c>
      <c r="AC164" s="425"/>
      <c r="AD164" s="425"/>
      <c r="AE164" s="425"/>
      <c r="AF164" s="425"/>
      <c r="AG164" s="424">
        <f>+AG163/AB163-1</f>
        <v>1.0533857510950813</v>
      </c>
      <c r="AH164" s="425"/>
      <c r="AI164" s="425"/>
      <c r="AJ164" s="425"/>
      <c r="AK164" s="425"/>
      <c r="AL164" s="424">
        <f>+AL163/AG163-1</f>
        <v>0.99922780350465334</v>
      </c>
      <c r="AM164" s="425"/>
      <c r="AN164" s="426">
        <f>AN163/AM163-1</f>
        <v>1.1594327082596481</v>
      </c>
      <c r="AO164" s="425"/>
      <c r="AP164" s="425"/>
      <c r="AQ164" s="424">
        <f>+AQ163/AL163-1</f>
        <v>1.1548523475691321</v>
      </c>
      <c r="AR164" s="427">
        <v>-0.15</v>
      </c>
      <c r="AS164" s="427">
        <v>-0.15</v>
      </c>
      <c r="AT164" s="424">
        <f>+AT163/AP163-1</f>
        <v>0.55008096656613503</v>
      </c>
      <c r="AU164" s="424"/>
      <c r="AV164" s="424"/>
      <c r="AW164" s="424"/>
      <c r="AX164" s="424"/>
      <c r="AY164" s="427">
        <v>-0.1</v>
      </c>
      <c r="AZ164" s="689"/>
      <c r="BA164" s="689"/>
      <c r="BB164" s="689"/>
      <c r="BC164" s="689"/>
      <c r="BD164" s="427">
        <v>0.04</v>
      </c>
      <c r="BE164" s="689"/>
      <c r="BF164" s="689"/>
      <c r="BG164" s="689"/>
      <c r="BH164" s="689"/>
      <c r="BI164" s="427">
        <v>0.04</v>
      </c>
      <c r="BJ164" s="689"/>
      <c r="BK164" s="689"/>
      <c r="BL164" s="689"/>
      <c r="BM164" s="689"/>
      <c r="BN164" s="427">
        <v>0.03</v>
      </c>
      <c r="BO164" s="427"/>
      <c r="BP164" s="668"/>
      <c r="BQ164" s="668"/>
      <c r="BR164" s="668">
        <f>BN164</f>
        <v>0.03</v>
      </c>
      <c r="BS164" s="427">
        <f t="shared" ref="BS164:CB164" si="260">BR164</f>
        <v>0.03</v>
      </c>
      <c r="BT164" s="427">
        <f t="shared" si="260"/>
        <v>0.03</v>
      </c>
      <c r="BU164" s="427">
        <f t="shared" si="260"/>
        <v>0.03</v>
      </c>
      <c r="BV164" s="427">
        <f t="shared" si="260"/>
        <v>0.03</v>
      </c>
      <c r="BW164" s="427">
        <f t="shared" si="260"/>
        <v>0.03</v>
      </c>
      <c r="BX164" s="427">
        <f t="shared" si="260"/>
        <v>0.03</v>
      </c>
      <c r="BY164" s="427">
        <f t="shared" si="260"/>
        <v>0.03</v>
      </c>
      <c r="BZ164" s="427">
        <f t="shared" si="260"/>
        <v>0.03</v>
      </c>
      <c r="CA164" s="427">
        <f t="shared" si="260"/>
        <v>0.03</v>
      </c>
      <c r="CB164" s="427">
        <f t="shared" si="260"/>
        <v>0.03</v>
      </c>
      <c r="CC164" s="791"/>
      <c r="CD164" s="791"/>
      <c r="CE164" s="791"/>
      <c r="CF164" s="791"/>
      <c r="CG164" s="791"/>
      <c r="CH164" s="791"/>
      <c r="CI164" s="791"/>
      <c r="CJ164" s="791"/>
      <c r="CK164" s="791"/>
      <c r="CL164" s="791"/>
    </row>
    <row r="165" spans="1:90" s="423" customFormat="1">
      <c r="A165" s="423" t="s">
        <v>105</v>
      </c>
      <c r="C165" s="342" t="e">
        <f>#REF!/IS!C12</f>
        <v>#REF!</v>
      </c>
      <c r="D165" s="342" t="e">
        <f>#REF!/IS!D12</f>
        <v>#REF!</v>
      </c>
      <c r="E165" s="342" t="e">
        <f>#REF!/IS!E12</f>
        <v>#REF!</v>
      </c>
      <c r="F165" s="342">
        <f>IS!F16/IS!F12</f>
        <v>2.4339333757841451E-2</v>
      </c>
      <c r="G165" s="424">
        <f>+IS!G16/IS!G12</f>
        <v>7.998567303803699E-3</v>
      </c>
      <c r="H165" s="424">
        <f>+IS!H16/IS!H12</f>
        <v>8.3122015526801134E-3</v>
      </c>
      <c r="I165" s="425">
        <f>+IS!I16/IS!I12</f>
        <v>6.5225444538526672E-3</v>
      </c>
      <c r="J165" s="425">
        <f>+IS!J16/IS!J12</f>
        <v>6.3976129410046453E-3</v>
      </c>
      <c r="K165" s="425">
        <v>7.0000000000000001E-3</v>
      </c>
      <c r="L165" s="425"/>
      <c r="M165" s="424">
        <f>+IS!M16/IS!M12</f>
        <v>7.226589786250427E-3</v>
      </c>
      <c r="N165" s="425">
        <f>+IS!N16/IS!N12</f>
        <v>6.4850098329665524E-3</v>
      </c>
      <c r="O165" s="425">
        <f>+IS!O16/IS!O12</f>
        <v>1.2703510870738182E-2</v>
      </c>
      <c r="P165" s="425">
        <v>0.01</v>
      </c>
      <c r="Q165" s="425">
        <f>+P165</f>
        <v>0.01</v>
      </c>
      <c r="R165" s="424">
        <f>+IS!R16/IS!R12</f>
        <v>9.9310901843947964E-3</v>
      </c>
      <c r="S165" s="425"/>
      <c r="T165" s="425"/>
      <c r="U165" s="425"/>
      <c r="V165" s="425"/>
      <c r="W165" s="424">
        <f>+IS!W16/IS!W12</f>
        <v>1.153599921205555E-2</v>
      </c>
      <c r="X165" s="425">
        <f>+IS!X16/IS!X12</f>
        <v>3.9863112192242917E-3</v>
      </c>
      <c r="Y165" s="425">
        <f>+IS!Y16/IS!Y12</f>
        <v>3.9154967563115048E-3</v>
      </c>
      <c r="Z165" s="425">
        <f>+IS!Z16/IS!Z12</f>
        <v>4.2771143495840096E-3</v>
      </c>
      <c r="AA165" s="425">
        <f>+IS!AA16/IS!AA12</f>
        <v>4.9202656758207631E-3</v>
      </c>
      <c r="AB165" s="424">
        <f>+IS!AB16/IS!AB12</f>
        <v>4.3179294251329079E-3</v>
      </c>
      <c r="AC165" s="425">
        <f>+IS!AC16/IS!AC12</f>
        <v>7.573607671879163E-3</v>
      </c>
      <c r="AD165" s="425"/>
      <c r="AE165" s="425"/>
      <c r="AF165" s="425"/>
      <c r="AG165" s="424">
        <f>IS!AG16/IS!AG12</f>
        <v>1.0144206242576474E-2</v>
      </c>
      <c r="AH165" s="424">
        <f>IS!AH16/IS!AH12</f>
        <v>2.0673630419002831E-2</v>
      </c>
      <c r="AI165" s="424">
        <f>IS!AI16/IS!AI12</f>
        <v>2.8183150120910157E-2</v>
      </c>
      <c r="AJ165" s="424">
        <f>IS!AJ16/IS!AJ12</f>
        <v>3.6228249436898646E-2</v>
      </c>
      <c r="AK165" s="424">
        <f>IS!AK16/IS!AK12</f>
        <v>7.6666996074850002E-2</v>
      </c>
      <c r="AL165" s="424">
        <f>IS!AL16/IS!AL12</f>
        <v>4.5112098702265374E-2</v>
      </c>
      <c r="AM165" s="425">
        <f>IS!AM16/IS!AM12</f>
        <v>9.8717167208615605E-2</v>
      </c>
      <c r="AN165" s="425">
        <f>IS!AQ16/IS!AQ12</f>
        <v>0.1037529016163373</v>
      </c>
      <c r="AO165" s="425">
        <f>IS!AU16/IS!AU12</f>
        <v>5.8962068725130774E-2</v>
      </c>
      <c r="AP165" s="425">
        <f>IS!AZ16/IS!AZ12</f>
        <v>0.13299093867654316</v>
      </c>
      <c r="AQ165" s="424">
        <f>IS!AQ16/IS!AQ12</f>
        <v>0.1037529016163373</v>
      </c>
      <c r="AR165" s="427">
        <v>0.08</v>
      </c>
      <c r="AS165" s="427">
        <v>0.08</v>
      </c>
      <c r="AT165" s="424">
        <f>IS!AU16/IS!AU12</f>
        <v>5.8962068725130774E-2</v>
      </c>
      <c r="AU165" s="424"/>
      <c r="AV165" s="424"/>
      <c r="AW165" s="424"/>
      <c r="AX165" s="424"/>
      <c r="AY165" s="427">
        <v>0.08</v>
      </c>
      <c r="AZ165" s="689"/>
      <c r="BA165" s="689"/>
      <c r="BB165" s="689"/>
      <c r="BC165" s="689"/>
      <c r="BD165" s="427">
        <v>0.08</v>
      </c>
      <c r="BE165" s="689"/>
      <c r="BF165" s="689"/>
      <c r="BG165" s="689"/>
      <c r="BH165" s="689"/>
      <c r="BI165" s="427">
        <v>0.08</v>
      </c>
      <c r="BJ165" s="689"/>
      <c r="BK165" s="689"/>
      <c r="BL165" s="689"/>
      <c r="BM165" s="689"/>
      <c r="BN165" s="427">
        <v>0.08</v>
      </c>
      <c r="BO165" s="427"/>
      <c r="BP165" s="668"/>
      <c r="BQ165" s="668"/>
      <c r="BR165" s="668">
        <v>0.08</v>
      </c>
      <c r="BS165" s="427">
        <v>0.08</v>
      </c>
      <c r="BT165" s="427">
        <v>0.08</v>
      </c>
      <c r="BU165" s="427">
        <v>0.08</v>
      </c>
      <c r="BV165" s="427">
        <v>0.08</v>
      </c>
      <c r="BW165" s="427">
        <v>0.08</v>
      </c>
      <c r="BX165" s="427">
        <v>0.08</v>
      </c>
      <c r="BY165" s="427">
        <v>0.08</v>
      </c>
      <c r="BZ165" s="427">
        <v>0.08</v>
      </c>
      <c r="CA165" s="427">
        <v>0.08</v>
      </c>
      <c r="CB165" s="427">
        <v>0.08</v>
      </c>
      <c r="CC165" s="791"/>
      <c r="CD165" s="791"/>
      <c r="CE165" s="791"/>
      <c r="CF165" s="791"/>
      <c r="CG165" s="791"/>
      <c r="CH165" s="791"/>
      <c r="CI165" s="791"/>
      <c r="CJ165" s="791"/>
      <c r="CK165" s="791"/>
      <c r="CL165" s="791"/>
    </row>
    <row r="166" spans="1:90">
      <c r="I166" s="40"/>
      <c r="J166" s="40"/>
      <c r="K166" s="40"/>
      <c r="L166" s="40"/>
      <c r="N166" s="40"/>
      <c r="O166" s="40"/>
      <c r="P166" s="40"/>
      <c r="Q166" s="40"/>
      <c r="S166" s="40"/>
      <c r="T166" s="40"/>
      <c r="U166" s="40"/>
      <c r="V166" s="40"/>
      <c r="X166" s="40"/>
      <c r="Y166" s="40"/>
      <c r="Z166" s="40"/>
      <c r="AA166" s="40"/>
      <c r="AC166" s="40"/>
      <c r="AD166" s="40"/>
      <c r="AE166" s="40"/>
      <c r="AF166" s="40"/>
      <c r="AH166" s="40"/>
      <c r="AI166" s="40"/>
      <c r="AJ166" s="40"/>
      <c r="AK166" s="40"/>
      <c r="AL166" s="31">
        <f>IS!AL16/Assumptions!AL32*Assumptions!$A$3</f>
        <v>132.61011636170738</v>
      </c>
      <c r="AM166" s="40"/>
      <c r="AN166" s="40"/>
      <c r="AO166" s="40"/>
      <c r="AP166" s="40"/>
      <c r="AQ166" s="31">
        <f>IS!AQ16/Assumptions!AQ32*Assumptions!$A$3</f>
        <v>485.48424376042328</v>
      </c>
      <c r="AR166" s="247" t="e">
        <f>AR165*IS!#REF!</f>
        <v>#REF!</v>
      </c>
      <c r="AS166" s="247" t="e">
        <f>AS165*IS!#REF!</f>
        <v>#REF!</v>
      </c>
      <c r="AT166" s="31">
        <f>IS!AU16/Assumptions!AT32*Assumptions!$A$3</f>
        <v>202.57194901895758</v>
      </c>
      <c r="AU166" s="31"/>
      <c r="AV166" s="31"/>
      <c r="AW166" s="31"/>
      <c r="AX166" s="31"/>
      <c r="AY166" s="247">
        <f>AY165*IS!AZ12</f>
        <v>1486.1758400000001</v>
      </c>
      <c r="AZ166" s="619"/>
      <c r="BA166" s="619"/>
      <c r="BB166" s="619"/>
      <c r="BC166" s="619"/>
      <c r="BD166" s="247">
        <f>BD165*IS!BE12</f>
        <v>1835.9882399999999</v>
      </c>
      <c r="BE166" s="619"/>
      <c r="BF166" s="619"/>
      <c r="BG166" s="619"/>
      <c r="BH166" s="619"/>
      <c r="BI166" s="247">
        <f>BI165*IS!BJ12</f>
        <v>1993.2739199999999</v>
      </c>
      <c r="BJ166" s="619"/>
      <c r="BK166" s="619"/>
      <c r="BL166" s="619"/>
      <c r="BM166" s="619"/>
      <c r="BN166" s="247">
        <f>BN165*IS!BP12</f>
        <v>2123.4007200000001</v>
      </c>
      <c r="BO166" s="247"/>
      <c r="BP166" s="668"/>
      <c r="BQ166" s="668"/>
      <c r="BR166" s="668">
        <f>BR165*IS!BU12</f>
        <v>2331.8367612932147</v>
      </c>
      <c r="BS166" s="247">
        <f>BS165*IS!BV12</f>
        <v>2501.0534804386421</v>
      </c>
      <c r="BT166" s="247">
        <f>BT165*IS!BW12</f>
        <v>2617.2604997574758</v>
      </c>
      <c r="BU166" s="247">
        <f>BU165*IS!BX12</f>
        <v>2731.8459600438109</v>
      </c>
      <c r="BV166" s="247">
        <f>BV165*IS!BY12</f>
        <v>2851.3020277811111</v>
      </c>
      <c r="BW166" s="247">
        <f>BW165*IS!BZ12</f>
        <v>2975.8374222306402</v>
      </c>
      <c r="BX166" s="247">
        <f>BX165*IS!CA12</f>
        <v>3105.6698783029483</v>
      </c>
      <c r="BY166" s="247">
        <f>BY165*IS!CB12</f>
        <v>3241.0265388556268</v>
      </c>
      <c r="BZ166" s="247">
        <f>BZ165*IS!CC12</f>
        <v>3382.1443641662318</v>
      </c>
      <c r="CA166" s="247">
        <f>CA165*IS!CD12</f>
        <v>3529.2705593355258</v>
      </c>
      <c r="CB166" s="247">
        <f>CB165*IS!CE12</f>
        <v>3682.6630204094436</v>
      </c>
      <c r="CC166" s="269"/>
      <c r="CD166" s="269"/>
      <c r="CE166" s="269"/>
      <c r="CF166" s="269"/>
      <c r="CG166" s="269"/>
      <c r="CH166" s="269"/>
      <c r="CI166" s="269"/>
      <c r="CJ166" s="269"/>
      <c r="CK166" s="269"/>
      <c r="CL166" s="269"/>
    </row>
    <row r="167" spans="1:90">
      <c r="I167" s="418">
        <f>98.95/Assumptions!I142*1000000</f>
        <v>57589.971678325492</v>
      </c>
      <c r="J167" s="418">
        <f>64.358/Assumptions!J142*1000000</f>
        <v>43934.629231149818</v>
      </c>
      <c r="K167" s="40"/>
      <c r="L167" s="40"/>
      <c r="N167" s="40"/>
      <c r="O167" s="40"/>
      <c r="P167" s="40"/>
      <c r="Q167" s="40"/>
      <c r="S167" s="40"/>
      <c r="T167" s="40"/>
      <c r="U167" s="40"/>
      <c r="V167" s="40"/>
      <c r="X167" s="40"/>
      <c r="Y167" s="40"/>
      <c r="Z167" s="40"/>
      <c r="AA167" s="40"/>
      <c r="AC167" s="40"/>
      <c r="AD167" s="40"/>
      <c r="AE167" s="40"/>
      <c r="AF167" s="40"/>
      <c r="AH167" s="40"/>
      <c r="AI167" s="40"/>
      <c r="AJ167" s="40"/>
      <c r="AK167" s="40"/>
      <c r="AM167" s="40"/>
      <c r="AN167" s="40"/>
      <c r="AO167" s="40"/>
      <c r="AP167" s="40"/>
      <c r="AR167" s="20" t="e">
        <f>AR166/AP166-1</f>
        <v>#REF!</v>
      </c>
      <c r="AS167" s="20" t="e">
        <f>AS166/AP166-1</f>
        <v>#REF!</v>
      </c>
      <c r="AT167" s="45">
        <f>AT166/AQ166-1</f>
        <v>-0.58274248521457106</v>
      </c>
      <c r="AU167" s="45"/>
      <c r="AV167" s="45"/>
      <c r="AW167" s="45"/>
      <c r="AX167" s="45"/>
      <c r="AY167" s="20">
        <f>AY166/AT166-1</f>
        <v>6.3365332524934992</v>
      </c>
      <c r="AZ167" s="629"/>
      <c r="BA167" s="629"/>
      <c r="BB167" s="629"/>
      <c r="BC167" s="629"/>
      <c r="BD167" s="20">
        <f>BD166/AY166-1</f>
        <v>0.23537753110022286</v>
      </c>
      <c r="BE167" s="629"/>
      <c r="BF167" s="629"/>
      <c r="BG167" s="629"/>
      <c r="BH167" s="629"/>
      <c r="BI167" s="20">
        <f>BI166/BD166-1</f>
        <v>8.5668130423319111E-2</v>
      </c>
      <c r="BJ167" s="629"/>
      <c r="BK167" s="629"/>
      <c r="BL167" s="629"/>
      <c r="BM167" s="629"/>
      <c r="BN167" s="20">
        <f>BN166/BI166-1</f>
        <v>6.5282949169374715E-2</v>
      </c>
      <c r="BO167" s="20"/>
      <c r="BP167" s="668"/>
      <c r="BQ167" s="668"/>
      <c r="BR167" s="668">
        <f>BR166/BN166-1</f>
        <v>9.8161425363562316E-2</v>
      </c>
      <c r="BS167" s="20">
        <f t="shared" ref="BS167:CB167" si="261">BS166/BR166-1</f>
        <v>7.2567995304946287E-2</v>
      </c>
      <c r="BT167" s="20">
        <f t="shared" si="261"/>
        <v>4.6463228486602892E-2</v>
      </c>
      <c r="BU167" s="20">
        <f t="shared" si="261"/>
        <v>4.3780686063520591E-2</v>
      </c>
      <c r="BV167" s="20">
        <f t="shared" si="261"/>
        <v>4.3727234069736554E-2</v>
      </c>
      <c r="BW167" s="20">
        <f t="shared" si="261"/>
        <v>4.3676675861112679E-2</v>
      </c>
      <c r="BX167" s="20">
        <f t="shared" si="261"/>
        <v>4.3628880765598899E-2</v>
      </c>
      <c r="BY167" s="20">
        <f t="shared" si="261"/>
        <v>4.3583724560783743E-2</v>
      </c>
      <c r="BZ167" s="20">
        <f t="shared" si="261"/>
        <v>4.3541089102106634E-2</v>
      </c>
      <c r="CA167" s="20">
        <f t="shared" si="261"/>
        <v>4.3500861976234262E-2</v>
      </c>
      <c r="CB167" s="20">
        <f t="shared" si="261"/>
        <v>4.346293617760999E-2</v>
      </c>
      <c r="CC167" s="269"/>
      <c r="CD167" s="269"/>
      <c r="CE167" s="269"/>
      <c r="CF167" s="269"/>
      <c r="CG167" s="269"/>
      <c r="CH167" s="269"/>
      <c r="CI167" s="269"/>
      <c r="CJ167" s="269"/>
      <c r="CK167" s="269"/>
      <c r="CL167" s="269"/>
    </row>
    <row r="168" spans="1:90">
      <c r="A168" s="1" t="s">
        <v>19</v>
      </c>
      <c r="I168" s="418"/>
      <c r="J168" s="418"/>
      <c r="K168" s="40"/>
      <c r="L168" s="40"/>
      <c r="N168" s="40"/>
      <c r="O168" s="40"/>
      <c r="P168" s="40"/>
      <c r="Q168" s="40"/>
      <c r="S168" s="40"/>
      <c r="T168" s="40"/>
      <c r="U168" s="40"/>
      <c r="V168" s="40"/>
      <c r="X168" s="42">
        <f>+IS!X19</f>
        <v>37.463999999999999</v>
      </c>
      <c r="Y168" s="42">
        <f>+IS!Y19</f>
        <v>54.573999999999998</v>
      </c>
      <c r="Z168" s="42">
        <f>+IS!Z19</f>
        <v>41.084000000000003</v>
      </c>
      <c r="AA168" s="42">
        <f>+IS!AA19</f>
        <v>58.727999999999994</v>
      </c>
      <c r="AB168" s="31">
        <f>+IS!AB19</f>
        <v>191.85</v>
      </c>
      <c r="AC168" s="42">
        <f>+IS!AC19</f>
        <v>38.512</v>
      </c>
      <c r="AD168" s="42">
        <f>+IS!AD19</f>
        <v>43.786000000000001</v>
      </c>
      <c r="AE168" s="42">
        <f>+IS!AE19</f>
        <v>28.782</v>
      </c>
      <c r="AF168" s="42">
        <f>+IS!AF19</f>
        <v>28.22699999999999</v>
      </c>
      <c r="AG168" s="31">
        <f>+IS!AG19</f>
        <v>139.30699999999999</v>
      </c>
      <c r="AH168" s="42">
        <v>17.478999999999999</v>
      </c>
      <c r="AI168" s="42">
        <f>+IS!AI17*Assumptions!AI169</f>
        <v>16.558946192091287</v>
      </c>
      <c r="AJ168" s="42">
        <f>+IS!AL19</f>
        <v>581.91300000000001</v>
      </c>
      <c r="AK168" s="42">
        <f>+IS!AM19</f>
        <v>6.0979999999999999</v>
      </c>
      <c r="AL168" s="31">
        <f>+IS!AL19</f>
        <v>581.91300000000001</v>
      </c>
      <c r="AM168" s="42">
        <f>+IS!AZ19</f>
        <v>37.963999999999999</v>
      </c>
      <c r="AN168" s="42">
        <f>+IS!BE19</f>
        <v>500.83499999999998</v>
      </c>
      <c r="AO168" s="42">
        <f>+IS!BJ19</f>
        <v>544.80600000000004</v>
      </c>
      <c r="AP168" s="42">
        <f>+IS!BV19</f>
        <v>687.78970712062642</v>
      </c>
      <c r="AQ168" s="31">
        <f>+IS!AQ19</f>
        <v>1053.24</v>
      </c>
      <c r="AR168" s="4"/>
      <c r="AS168" s="4"/>
      <c r="AT168" s="31">
        <f>+IS!AU19</f>
        <v>189.01499999999999</v>
      </c>
      <c r="AU168" s="31"/>
      <c r="AV168" s="31"/>
      <c r="AW168" s="31"/>
      <c r="AX168" s="31"/>
      <c r="AY168" s="4"/>
      <c r="AZ168" s="619"/>
      <c r="BA168" s="619"/>
      <c r="BB168" s="619"/>
      <c r="BC168" s="619"/>
      <c r="BD168" s="4"/>
      <c r="BE168" s="619"/>
      <c r="BF168" s="619"/>
      <c r="BG168" s="619"/>
      <c r="BH168" s="619"/>
      <c r="BI168" s="4"/>
      <c r="BJ168" s="619"/>
      <c r="BK168" s="619"/>
      <c r="BL168" s="619"/>
      <c r="BM168" s="619"/>
      <c r="BN168" s="4"/>
      <c r="BO168" s="4"/>
      <c r="BP168" s="668"/>
      <c r="BQ168" s="668"/>
      <c r="BR168" s="668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269"/>
      <c r="CD168" s="269"/>
      <c r="CE168" s="269"/>
      <c r="CF168" s="269"/>
      <c r="CG168" s="269"/>
      <c r="CH168" s="269"/>
      <c r="CI168" s="269"/>
      <c r="CJ168" s="269"/>
      <c r="CK168" s="269"/>
      <c r="CL168" s="269"/>
    </row>
    <row r="169" spans="1:90" s="34" customFormat="1">
      <c r="G169" s="260"/>
      <c r="H169" s="260"/>
      <c r="I169" s="345"/>
      <c r="J169" s="345"/>
      <c r="K169" s="188"/>
      <c r="L169" s="188"/>
      <c r="M169" s="260"/>
      <c r="N169" s="188"/>
      <c r="O169" s="188"/>
      <c r="P169" s="188"/>
      <c r="Q169" s="188"/>
      <c r="R169" s="260"/>
      <c r="S169" s="188"/>
      <c r="T169" s="188"/>
      <c r="U169" s="188"/>
      <c r="V169" s="188"/>
      <c r="W169" s="260"/>
      <c r="X169" s="188">
        <f>+X168/IS!X17</f>
        <v>4.4653690747207951E-2</v>
      </c>
      <c r="Y169" s="188">
        <f>+Y168/IS!Y17</f>
        <v>5.8695226643550237E-2</v>
      </c>
      <c r="Z169" s="188">
        <f>+Z168/IS!Z17</f>
        <v>4.6390937710308437E-2</v>
      </c>
      <c r="AA169" s="188">
        <f>+AA168/IS!AA17</f>
        <v>5.0972175691181267E-2</v>
      </c>
      <c r="AB169" s="260">
        <f>+AB168/IS!AB17</f>
        <v>5.0400127359821439E-2</v>
      </c>
      <c r="AC169" s="188">
        <f>+AC168/IS!AC17</f>
        <v>4.920460309368576E-2</v>
      </c>
      <c r="AD169" s="188">
        <f>+AD168/IS!AD17</f>
        <v>0.13246167063977055</v>
      </c>
      <c r="AE169" s="188">
        <f>+AE168/IS!AE17</f>
        <v>6.770164420294969E-2</v>
      </c>
      <c r="AF169" s="188">
        <f>+AF168/IS!AF17</f>
        <v>8.7035215545284511E-2</v>
      </c>
      <c r="AG169" s="260">
        <f>+AG168/IS!AG17</f>
        <v>7.4787914708481382E-2</v>
      </c>
      <c r="AH169" s="188">
        <f>+AH168/IS!AH17</f>
        <v>5.7781436155794008E-2</v>
      </c>
      <c r="AI169" s="188">
        <f>+AH169</f>
        <v>5.7781436155794008E-2</v>
      </c>
      <c r="AJ169" s="188">
        <f>+AJ168/IS!AL17</f>
        <v>0.46847240671416529</v>
      </c>
      <c r="AK169" s="188">
        <f>+AK168/IS!AM17</f>
        <v>7.255516000685339E-3</v>
      </c>
      <c r="AL169" s="260">
        <f>+AL168/IS!AL17</f>
        <v>0.46847240671416529</v>
      </c>
      <c r="AM169" s="188">
        <f>+AM168/IS!AZ17</f>
        <v>2.2292320411882963E-2</v>
      </c>
      <c r="AN169" s="188">
        <f>+AN168/IS!BE17</f>
        <v>9.9448010771722606E-2</v>
      </c>
      <c r="AO169" s="188">
        <f>+AO168/IS!BJ17</f>
        <v>7.5992006978689852E-2</v>
      </c>
      <c r="AP169" s="188">
        <f>+AP168/IS!BV17</f>
        <v>6.7338116761605948E-2</v>
      </c>
      <c r="AQ169" s="260">
        <f>+AQ168/IS!AQ17</f>
        <v>0.28727086101297322</v>
      </c>
      <c r="AR169" s="261"/>
      <c r="AS169" s="261"/>
      <c r="AT169" s="260">
        <f>+AT168/IS!AU17</f>
        <v>8.8800422123141043E-2</v>
      </c>
      <c r="AU169" s="260"/>
      <c r="AV169" s="260"/>
      <c r="AW169" s="260"/>
      <c r="AX169" s="260"/>
      <c r="AY169" s="261"/>
      <c r="AZ169" s="672"/>
      <c r="BA169" s="672"/>
      <c r="BB169" s="672"/>
      <c r="BC169" s="672"/>
      <c r="BD169" s="261"/>
      <c r="BE169" s="672"/>
      <c r="BF169" s="672"/>
      <c r="BG169" s="672"/>
      <c r="BH169" s="672"/>
      <c r="BI169" s="261"/>
      <c r="BJ169" s="672"/>
      <c r="BK169" s="672"/>
      <c r="BL169" s="672"/>
      <c r="BM169" s="672"/>
      <c r="BN169" s="261"/>
      <c r="BO169" s="261"/>
      <c r="BP169" s="668"/>
      <c r="BQ169" s="668"/>
      <c r="BR169" s="668"/>
      <c r="BS169" s="261"/>
      <c r="BT169" s="261"/>
      <c r="BU169" s="261"/>
      <c r="BV169" s="261"/>
      <c r="BW169" s="261"/>
      <c r="BX169" s="261"/>
      <c r="BY169" s="261"/>
      <c r="BZ169" s="261"/>
      <c r="CA169" s="261"/>
      <c r="CB169" s="261"/>
      <c r="CC169" s="753"/>
      <c r="CD169" s="753"/>
      <c r="CE169" s="753"/>
      <c r="CF169" s="753"/>
      <c r="CG169" s="753"/>
      <c r="CH169" s="753"/>
      <c r="CI169" s="753"/>
      <c r="CJ169" s="753"/>
      <c r="CK169" s="753"/>
      <c r="CL169" s="753"/>
    </row>
    <row r="170" spans="1:90">
      <c r="A170" s="266" t="s">
        <v>367</v>
      </c>
      <c r="I170" s="40"/>
      <c r="J170" s="40"/>
      <c r="K170" s="40"/>
      <c r="L170" s="40"/>
      <c r="N170" s="40"/>
      <c r="O170" s="40"/>
      <c r="P170" s="40"/>
      <c r="Q170" s="40"/>
      <c r="S170" s="40"/>
      <c r="T170" s="40"/>
      <c r="U170" s="40"/>
      <c r="V170" s="40"/>
      <c r="X170" s="40"/>
      <c r="Y170" s="40"/>
      <c r="Z170" s="40"/>
      <c r="AA170" s="40"/>
      <c r="AC170" s="40"/>
      <c r="AD170" s="40"/>
      <c r="AE170" s="40"/>
      <c r="AF170" s="40"/>
      <c r="AH170" s="40"/>
      <c r="AI170" s="40"/>
      <c r="AJ170" s="40"/>
      <c r="AK170" s="40"/>
      <c r="AM170" s="40"/>
      <c r="AN170" s="40"/>
      <c r="AO170" s="40"/>
      <c r="AP170" s="40"/>
      <c r="AR170" s="4"/>
      <c r="AS170" s="4"/>
      <c r="AY170" s="4"/>
      <c r="BD170" s="4"/>
      <c r="BE170" s="640"/>
      <c r="BF170" s="640"/>
      <c r="BG170" s="640"/>
      <c r="BH170" s="640"/>
      <c r="BI170" s="4"/>
      <c r="BJ170" s="640"/>
      <c r="BK170" s="640"/>
      <c r="BL170" s="640"/>
      <c r="BM170" s="640"/>
      <c r="BN170" s="4"/>
      <c r="BO170" s="4"/>
      <c r="BP170" s="668"/>
      <c r="BQ170" s="668"/>
      <c r="BR170" s="668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269"/>
      <c r="CD170" s="269"/>
      <c r="CE170" s="269"/>
      <c r="CF170" s="269"/>
      <c r="CG170" s="269"/>
      <c r="CH170" s="269"/>
      <c r="CI170" s="269"/>
      <c r="CJ170" s="269"/>
      <c r="CK170" s="269"/>
      <c r="CL170" s="269"/>
    </row>
    <row r="171" spans="1:90" s="36" customFormat="1">
      <c r="A171" s="36" t="s">
        <v>368</v>
      </c>
      <c r="G171" s="92"/>
      <c r="H171" s="92"/>
      <c r="I171" s="88"/>
      <c r="J171" s="88"/>
      <c r="K171" s="88"/>
      <c r="L171" s="88"/>
      <c r="M171" s="92"/>
      <c r="N171" s="88"/>
      <c r="O171" s="88"/>
      <c r="P171" s="88"/>
      <c r="Q171" s="88"/>
      <c r="R171" s="92">
        <v>0.53500000000000003</v>
      </c>
      <c r="S171" s="88"/>
      <c r="T171" s="88"/>
      <c r="U171" s="88"/>
      <c r="V171" s="88"/>
      <c r="W171" s="92">
        <v>0.58199999999999996</v>
      </c>
      <c r="X171" s="88"/>
      <c r="Y171" s="88"/>
      <c r="Z171" s="88"/>
      <c r="AA171" s="88"/>
      <c r="AB171" s="92">
        <v>0.36299999999999999</v>
      </c>
      <c r="AC171" s="88"/>
      <c r="AD171" s="88"/>
      <c r="AE171" s="88"/>
      <c r="AF171" s="88"/>
      <c r="AG171" s="92">
        <v>0.5</v>
      </c>
      <c r="AH171" s="88"/>
      <c r="AI171" s="88"/>
      <c r="AJ171" s="88"/>
      <c r="AK171" s="88"/>
      <c r="AL171" s="92">
        <v>0.5</v>
      </c>
      <c r="AM171" s="88"/>
      <c r="AN171" s="88"/>
      <c r="AO171" s="88">
        <f>AQ171/4</f>
        <v>0.125</v>
      </c>
      <c r="AP171" s="88">
        <f>AT171/4</f>
        <v>0.125</v>
      </c>
      <c r="AQ171" s="92">
        <v>0.5</v>
      </c>
      <c r="AR171" s="333">
        <v>0.5</v>
      </c>
      <c r="AS171" s="333">
        <v>0.5</v>
      </c>
      <c r="AT171" s="92">
        <v>0.5</v>
      </c>
      <c r="AU171" s="92"/>
      <c r="AV171" s="92"/>
      <c r="AW171" s="92"/>
      <c r="AX171" s="92"/>
      <c r="AY171" s="333">
        <v>0.5</v>
      </c>
      <c r="AZ171" s="636"/>
      <c r="BA171" s="636"/>
      <c r="BB171" s="636"/>
      <c r="BC171" s="636"/>
      <c r="BD171" s="333">
        <v>0.5</v>
      </c>
      <c r="BE171" s="636"/>
      <c r="BF171" s="636"/>
      <c r="BG171" s="636"/>
      <c r="BH171" s="636"/>
      <c r="BI171" s="333">
        <v>0.5</v>
      </c>
      <c r="BJ171" s="636"/>
      <c r="BK171" s="636"/>
      <c r="BL171" s="636"/>
      <c r="BM171" s="636"/>
      <c r="BN171" s="333">
        <v>0.5</v>
      </c>
      <c r="BO171" s="333"/>
      <c r="BP171" s="668"/>
      <c r="BQ171" s="668"/>
      <c r="BR171" s="668">
        <v>0.5</v>
      </c>
      <c r="BS171" s="333">
        <v>0.5</v>
      </c>
      <c r="BT171" s="333">
        <v>0.5</v>
      </c>
      <c r="BU171" s="333">
        <v>0.5</v>
      </c>
      <c r="BV171" s="333">
        <v>0.5</v>
      </c>
      <c r="BW171" s="333">
        <v>0.5</v>
      </c>
      <c r="BX171" s="333">
        <v>0.5</v>
      </c>
      <c r="BY171" s="333">
        <v>0.5</v>
      </c>
      <c r="BZ171" s="333">
        <v>0.5</v>
      </c>
      <c r="CA171" s="333">
        <v>0.5</v>
      </c>
      <c r="CB171" s="333">
        <v>0.5</v>
      </c>
      <c r="CC171" s="213"/>
      <c r="CD171" s="213"/>
      <c r="CE171" s="213"/>
      <c r="CF171" s="213"/>
      <c r="CG171" s="213"/>
      <c r="CH171" s="213"/>
      <c r="CI171" s="213"/>
      <c r="CJ171" s="213"/>
      <c r="CK171" s="213"/>
      <c r="CL171" s="213"/>
    </row>
    <row r="172" spans="1:90" s="36" customFormat="1">
      <c r="G172" s="92"/>
      <c r="H172" s="92"/>
      <c r="I172" s="88"/>
      <c r="J172" s="88"/>
      <c r="K172" s="88"/>
      <c r="L172" s="88"/>
      <c r="M172" s="92"/>
      <c r="N172" s="88"/>
      <c r="O172" s="88"/>
      <c r="P172" s="88"/>
      <c r="Q172" s="88"/>
      <c r="R172" s="92"/>
      <c r="S172" s="88"/>
      <c r="T172" s="88"/>
      <c r="U172" s="88"/>
      <c r="V172" s="88"/>
      <c r="W172" s="92"/>
      <c r="X172" s="88"/>
      <c r="Y172" s="88"/>
      <c r="Z172" s="88"/>
      <c r="AA172" s="88"/>
      <c r="AB172" s="92"/>
      <c r="AC172" s="88"/>
      <c r="AD172" s="88"/>
      <c r="AE172" s="88"/>
      <c r="AF172" s="88"/>
      <c r="AG172" s="92"/>
      <c r="AH172" s="88"/>
      <c r="AI172" s="88"/>
      <c r="AJ172" s="88"/>
      <c r="AK172" s="88"/>
      <c r="AL172" s="92"/>
      <c r="AM172" s="88"/>
      <c r="AN172" s="88"/>
      <c r="AO172" s="88"/>
      <c r="AP172" s="88"/>
      <c r="AQ172" s="92"/>
      <c r="AR172" s="333"/>
      <c r="AS172" s="333"/>
      <c r="AT172" s="92"/>
      <c r="AU172" s="92"/>
      <c r="AV172" s="92"/>
      <c r="AW172" s="92"/>
      <c r="AX172" s="92"/>
      <c r="AY172" s="333"/>
      <c r="AZ172" s="636"/>
      <c r="BA172" s="636"/>
      <c r="BB172" s="636"/>
      <c r="BC172" s="636"/>
      <c r="BD172" s="333"/>
      <c r="BE172" s="636"/>
      <c r="BF172" s="636"/>
      <c r="BG172" s="636"/>
      <c r="BH172" s="636"/>
      <c r="BI172" s="333"/>
      <c r="BJ172" s="636"/>
      <c r="BK172" s="636"/>
      <c r="BL172" s="636"/>
      <c r="BM172" s="636"/>
      <c r="BN172" s="333"/>
      <c r="BO172" s="333"/>
      <c r="BP172" s="668"/>
      <c r="BQ172" s="668"/>
      <c r="BR172" s="668"/>
      <c r="BS172" s="333"/>
      <c r="BT172" s="333"/>
      <c r="BU172" s="333"/>
      <c r="BV172" s="333"/>
      <c r="BW172" s="333"/>
      <c r="BX172" s="333"/>
      <c r="BY172" s="333"/>
      <c r="BZ172" s="333"/>
      <c r="CA172" s="333"/>
      <c r="CB172" s="333"/>
      <c r="CC172" s="213"/>
      <c r="CD172" s="213"/>
      <c r="CE172" s="213"/>
      <c r="CF172" s="213"/>
      <c r="CG172" s="213"/>
      <c r="CH172" s="213"/>
      <c r="CI172" s="213"/>
      <c r="CJ172" s="213"/>
      <c r="CK172" s="213"/>
      <c r="CL172" s="213"/>
    </row>
    <row r="173" spans="1:90" s="36" customFormat="1">
      <c r="A173" s="36" t="s">
        <v>369</v>
      </c>
      <c r="G173" s="92"/>
      <c r="H173" s="92"/>
      <c r="I173" s="88"/>
      <c r="J173" s="88"/>
      <c r="K173" s="88"/>
      <c r="L173" s="88"/>
      <c r="M173" s="92"/>
      <c r="N173" s="88"/>
      <c r="O173" s="88"/>
      <c r="P173" s="88"/>
      <c r="Q173" s="88"/>
      <c r="R173" s="92">
        <f>0.29+1.98+3.827+1.351+0.289</f>
        <v>7.7369999999999992</v>
      </c>
      <c r="S173" s="88"/>
      <c r="T173" s="88"/>
      <c r="U173" s="88"/>
      <c r="V173" s="88"/>
      <c r="W173" s="92">
        <f>0.276+2.002+3.207+2.911+2.002+0.729+0.5</f>
        <v>11.626999999999999</v>
      </c>
      <c r="X173" s="88"/>
      <c r="Y173" s="88"/>
      <c r="Z173" s="88"/>
      <c r="AA173" s="88"/>
      <c r="AB173" s="92">
        <f>0.181+2.847+3.567+7.609+4.562+2.116+6.986</f>
        <v>27.868000000000002</v>
      </c>
      <c r="AC173" s="88"/>
      <c r="AD173" s="88"/>
      <c r="AE173" s="88"/>
      <c r="AF173" s="88"/>
      <c r="AG173" s="92">
        <f>+AG174*IS!AG12</f>
        <v>32.098125000000003</v>
      </c>
      <c r="AH173" s="88"/>
      <c r="AI173" s="88"/>
      <c r="AJ173" s="88"/>
      <c r="AK173" s="88"/>
      <c r="AL173" s="92">
        <f>+AL174*IS!AL12</f>
        <v>62.229979999999998</v>
      </c>
      <c r="AM173" s="88"/>
      <c r="AN173" s="88"/>
      <c r="AO173" s="88">
        <f>AQ173/4</f>
        <v>22.54776698825</v>
      </c>
      <c r="AP173" s="88">
        <f>AT173/4</f>
        <v>21.081731473750001</v>
      </c>
      <c r="AQ173" s="92">
        <f>+AQ174*IS!AQ12</f>
        <v>90.191067953000001</v>
      </c>
      <c r="AR173" s="333" t="e">
        <f>+AR174*IS!#REF!</f>
        <v>#REF!</v>
      </c>
      <c r="AS173" s="333" t="e">
        <f>+AS174*IS!#REF!</f>
        <v>#REF!</v>
      </c>
      <c r="AT173" s="92">
        <f>+AT174*IS!AU12</f>
        <v>84.326925895000002</v>
      </c>
      <c r="AU173" s="92"/>
      <c r="AV173" s="92"/>
      <c r="AW173" s="92"/>
      <c r="AX173" s="92"/>
      <c r="AY173" s="333">
        <f>+AY174*IS!BW12</f>
        <v>163.57878123484224</v>
      </c>
      <c r="AZ173" s="636"/>
      <c r="BA173" s="636"/>
      <c r="BB173" s="636"/>
      <c r="BC173" s="636"/>
      <c r="BD173" s="333">
        <f>+BD174*IS!BX12</f>
        <v>170.74037250273818</v>
      </c>
      <c r="BE173" s="636"/>
      <c r="BF173" s="636"/>
      <c r="BG173" s="636"/>
      <c r="BH173" s="636"/>
      <c r="BI173" s="333">
        <f>+BI174*IS!BY12</f>
        <v>178.20637673631944</v>
      </c>
      <c r="BJ173" s="636"/>
      <c r="BK173" s="636"/>
      <c r="BL173" s="636"/>
      <c r="BM173" s="636"/>
      <c r="BN173" s="333">
        <f>+BN174*IS!BZ12</f>
        <v>185.98983888941501</v>
      </c>
      <c r="BO173" s="333"/>
      <c r="BP173" s="668"/>
      <c r="BQ173" s="668"/>
      <c r="BR173" s="668">
        <f>+BR174*IS!CA12</f>
        <v>194.10436739393427</v>
      </c>
      <c r="BS173" s="333">
        <f>+BS174*IS!CB12</f>
        <v>202.56415867847667</v>
      </c>
      <c r="BT173" s="333">
        <f>+BT174*IS!CC12</f>
        <v>211.38402276038948</v>
      </c>
      <c r="BU173" s="333">
        <f>+BU174*IS!CD12</f>
        <v>220.57940995847036</v>
      </c>
      <c r="BV173" s="333">
        <f>+BV174*IS!CE12</f>
        <v>230.16643877559022</v>
      </c>
      <c r="BW173" s="333">
        <f>+BW174*IS!CF12</f>
        <v>0</v>
      </c>
      <c r="BX173" s="333">
        <f>+BX174*IS!CG12</f>
        <v>0</v>
      </c>
      <c r="BY173" s="333">
        <f>+BY174*IS!CH12</f>
        <v>0</v>
      </c>
      <c r="BZ173" s="333">
        <f>+BZ174*IS!CI12</f>
        <v>0</v>
      </c>
      <c r="CA173" s="333">
        <f>+CA174*IS!CJ12</f>
        <v>0</v>
      </c>
      <c r="CB173" s="333">
        <f>+CB174*IS!CK12</f>
        <v>0</v>
      </c>
      <c r="CC173" s="213"/>
      <c r="CD173" s="213"/>
      <c r="CE173" s="213"/>
      <c r="CF173" s="213"/>
      <c r="CG173" s="213"/>
      <c r="CH173" s="213"/>
      <c r="CI173" s="213"/>
      <c r="CJ173" s="213"/>
      <c r="CK173" s="213"/>
      <c r="CL173" s="213"/>
    </row>
    <row r="174" spans="1:90" s="342" customFormat="1">
      <c r="G174" s="344"/>
      <c r="H174" s="344"/>
      <c r="I174" s="345"/>
      <c r="J174" s="345"/>
      <c r="K174" s="345"/>
      <c r="L174" s="345"/>
      <c r="M174" s="344"/>
      <c r="N174" s="345"/>
      <c r="O174" s="345"/>
      <c r="P174" s="345"/>
      <c r="Q174" s="345"/>
      <c r="R174" s="344">
        <f>+R173/IS!R12</f>
        <v>1.9926567623615803E-3</v>
      </c>
      <c r="S174" s="345"/>
      <c r="T174" s="345"/>
      <c r="U174" s="345"/>
      <c r="V174" s="345"/>
      <c r="W174" s="344">
        <f>+W173/IS!W12</f>
        <v>2.2022668555712974E-3</v>
      </c>
      <c r="X174" s="345"/>
      <c r="Y174" s="345"/>
      <c r="Z174" s="345"/>
      <c r="AA174" s="345"/>
      <c r="AB174" s="344">
        <f>+AB173/IS!AB12</f>
        <v>3.502912704343383E-3</v>
      </c>
      <c r="AC174" s="345"/>
      <c r="AD174" s="345"/>
      <c r="AE174" s="345"/>
      <c r="AF174" s="345"/>
      <c r="AG174" s="344">
        <v>5.0000000000000001E-3</v>
      </c>
      <c r="AH174" s="345"/>
      <c r="AI174" s="345"/>
      <c r="AJ174" s="345"/>
      <c r="AK174" s="345"/>
      <c r="AL174" s="344">
        <v>5.0000000000000001E-3</v>
      </c>
      <c r="AM174" s="345"/>
      <c r="AN174" s="345"/>
      <c r="AO174" s="345"/>
      <c r="AP174" s="345"/>
      <c r="AQ174" s="344">
        <v>5.0000000000000001E-3</v>
      </c>
      <c r="AR174" s="347">
        <v>5.0000000000000001E-3</v>
      </c>
      <c r="AS174" s="347">
        <v>5.0000000000000001E-3</v>
      </c>
      <c r="AT174" s="344">
        <v>5.0000000000000001E-3</v>
      </c>
      <c r="AU174" s="344"/>
      <c r="AV174" s="344"/>
      <c r="AW174" s="344"/>
      <c r="AX174" s="344"/>
      <c r="AY174" s="347">
        <v>5.0000000000000001E-3</v>
      </c>
      <c r="AZ174" s="674"/>
      <c r="BA174" s="674"/>
      <c r="BB174" s="674"/>
      <c r="BC174" s="674"/>
      <c r="BD174" s="347">
        <v>5.0000000000000001E-3</v>
      </c>
      <c r="BE174" s="674"/>
      <c r="BF174" s="674"/>
      <c r="BG174" s="674"/>
      <c r="BH174" s="674"/>
      <c r="BI174" s="347">
        <v>5.0000000000000001E-3</v>
      </c>
      <c r="BJ174" s="674"/>
      <c r="BK174" s="674"/>
      <c r="BL174" s="674"/>
      <c r="BM174" s="674"/>
      <c r="BN174" s="347">
        <v>5.0000000000000001E-3</v>
      </c>
      <c r="BO174" s="347"/>
      <c r="BP174" s="668"/>
      <c r="BQ174" s="668"/>
      <c r="BR174" s="668">
        <v>5.0000000000000001E-3</v>
      </c>
      <c r="BS174" s="347">
        <v>5.0000000000000001E-3</v>
      </c>
      <c r="BT174" s="347">
        <v>5.0000000000000001E-3</v>
      </c>
      <c r="BU174" s="347">
        <v>5.0000000000000001E-3</v>
      </c>
      <c r="BV174" s="347">
        <v>5.0000000000000001E-3</v>
      </c>
      <c r="BW174" s="347">
        <v>5.0000000000000001E-3</v>
      </c>
      <c r="BX174" s="347">
        <v>5.0000000000000001E-3</v>
      </c>
      <c r="BY174" s="347">
        <v>5.0000000000000001E-3</v>
      </c>
      <c r="BZ174" s="347">
        <v>5.0000000000000001E-3</v>
      </c>
      <c r="CA174" s="347">
        <v>5.0000000000000001E-3</v>
      </c>
      <c r="CB174" s="347">
        <v>5.0000000000000001E-3</v>
      </c>
      <c r="CC174" s="783"/>
      <c r="CD174" s="783"/>
      <c r="CE174" s="783"/>
      <c r="CF174" s="783"/>
      <c r="CG174" s="783"/>
      <c r="CH174" s="783"/>
      <c r="CI174" s="783"/>
      <c r="CJ174" s="783"/>
      <c r="CK174" s="783"/>
      <c r="CL174" s="783"/>
    </row>
    <row r="175" spans="1:90" s="36" customFormat="1">
      <c r="G175" s="92"/>
      <c r="H175" s="92"/>
      <c r="I175" s="88"/>
      <c r="J175" s="88"/>
      <c r="K175" s="88"/>
      <c r="L175" s="88"/>
      <c r="M175" s="92"/>
      <c r="N175" s="88"/>
      <c r="O175" s="88"/>
      <c r="P175" s="88"/>
      <c r="Q175" s="88"/>
      <c r="R175" s="92"/>
      <c r="S175" s="88"/>
      <c r="T175" s="88"/>
      <c r="U175" s="88"/>
      <c r="V175" s="88"/>
      <c r="W175" s="92"/>
      <c r="X175" s="88"/>
      <c r="Y175" s="88"/>
      <c r="Z175" s="88"/>
      <c r="AA175" s="88"/>
      <c r="AB175" s="92"/>
      <c r="AC175" s="88"/>
      <c r="AD175" s="88"/>
      <c r="AE175" s="88"/>
      <c r="AF175" s="88"/>
      <c r="AG175" s="92"/>
      <c r="AH175" s="88"/>
      <c r="AI175" s="88"/>
      <c r="AJ175" s="88"/>
      <c r="AK175" s="88"/>
      <c r="AL175" s="92"/>
      <c r="AM175" s="88"/>
      <c r="AN175" s="88"/>
      <c r="AO175" s="88"/>
      <c r="AP175" s="88"/>
      <c r="AQ175" s="92"/>
      <c r="AR175" s="333"/>
      <c r="AS175" s="333"/>
      <c r="AT175" s="92"/>
      <c r="AU175" s="92"/>
      <c r="AV175" s="92"/>
      <c r="AW175" s="92"/>
      <c r="AX175" s="92"/>
      <c r="AY175" s="333"/>
      <c r="AZ175" s="636"/>
      <c r="BA175" s="636"/>
      <c r="BB175" s="636"/>
      <c r="BC175" s="636"/>
      <c r="BD175" s="333"/>
      <c r="BE175" s="636"/>
      <c r="BF175" s="636"/>
      <c r="BG175" s="636"/>
      <c r="BH175" s="636"/>
      <c r="BI175" s="333"/>
      <c r="BJ175" s="636"/>
      <c r="BK175" s="636"/>
      <c r="BL175" s="636"/>
      <c r="BM175" s="636"/>
      <c r="BN175" s="333"/>
      <c r="BO175" s="333"/>
      <c r="BP175" s="668"/>
      <c r="BQ175" s="668"/>
      <c r="BR175" s="668"/>
      <c r="BS175" s="333"/>
      <c r="BT175" s="333"/>
      <c r="BU175" s="333"/>
      <c r="BV175" s="333"/>
      <c r="BW175" s="333"/>
      <c r="BX175" s="333"/>
      <c r="BY175" s="333"/>
      <c r="BZ175" s="333"/>
      <c r="CA175" s="333"/>
      <c r="CB175" s="333"/>
      <c r="CC175" s="213"/>
      <c r="CD175" s="213"/>
      <c r="CE175" s="213"/>
      <c r="CF175" s="213"/>
      <c r="CG175" s="213"/>
      <c r="CH175" s="213"/>
      <c r="CI175" s="213"/>
      <c r="CJ175" s="213"/>
      <c r="CK175" s="213"/>
      <c r="CL175" s="213"/>
    </row>
    <row r="176" spans="1:90" s="36" customFormat="1">
      <c r="A176" s="36" t="s">
        <v>372</v>
      </c>
      <c r="G176" s="92"/>
      <c r="H176" s="92"/>
      <c r="I176" s="88"/>
      <c r="J176" s="88"/>
      <c r="K176" s="88"/>
      <c r="L176" s="88"/>
      <c r="M176" s="92"/>
      <c r="N176" s="88"/>
      <c r="O176" s="88"/>
      <c r="P176" s="88"/>
      <c r="Q176" s="88"/>
      <c r="R176" s="92">
        <v>0</v>
      </c>
      <c r="S176" s="88"/>
      <c r="T176" s="88"/>
      <c r="U176" s="88"/>
      <c r="V176" s="88"/>
      <c r="W176" s="92">
        <v>543.173</v>
      </c>
      <c r="X176" s="88"/>
      <c r="Y176" s="88"/>
      <c r="Z176" s="88"/>
      <c r="AA176" s="88"/>
      <c r="AB176" s="92">
        <v>0</v>
      </c>
      <c r="AC176" s="88"/>
      <c r="AD176" s="88"/>
      <c r="AE176" s="88"/>
      <c r="AF176" s="88"/>
      <c r="AG176" s="92"/>
      <c r="AH176" s="88"/>
      <c r="AI176" s="88"/>
      <c r="AJ176" s="88"/>
      <c r="AK176" s="88"/>
      <c r="AL176" s="92"/>
      <c r="AM176" s="88"/>
      <c r="AN176" s="88"/>
      <c r="AO176" s="88"/>
      <c r="AP176" s="88"/>
      <c r="AQ176" s="92"/>
      <c r="AR176" s="333"/>
      <c r="AS176" s="333"/>
      <c r="AT176" s="92"/>
      <c r="AU176" s="92"/>
      <c r="AV176" s="92"/>
      <c r="AW176" s="92"/>
      <c r="AX176" s="92"/>
      <c r="AY176" s="333"/>
      <c r="AZ176" s="636"/>
      <c r="BA176" s="636"/>
      <c r="BB176" s="636"/>
      <c r="BC176" s="636"/>
      <c r="BD176" s="333"/>
      <c r="BE176" s="636"/>
      <c r="BF176" s="636"/>
      <c r="BG176" s="636"/>
      <c r="BH176" s="636"/>
      <c r="BI176" s="333"/>
      <c r="BJ176" s="636"/>
      <c r="BK176" s="636"/>
      <c r="BL176" s="636"/>
      <c r="BM176" s="636"/>
      <c r="BN176" s="333"/>
      <c r="BO176" s="333"/>
      <c r="BP176" s="668"/>
      <c r="BQ176" s="668"/>
      <c r="BR176" s="668"/>
      <c r="BS176" s="333"/>
      <c r="BT176" s="333"/>
      <c r="BU176" s="333"/>
      <c r="BV176" s="333"/>
      <c r="BW176" s="333"/>
      <c r="BX176" s="333"/>
      <c r="BY176" s="333"/>
      <c r="BZ176" s="333"/>
      <c r="CA176" s="333"/>
      <c r="CB176" s="333"/>
      <c r="CC176" s="213"/>
      <c r="CD176" s="213"/>
      <c r="CE176" s="213"/>
      <c r="CF176" s="213"/>
      <c r="CG176" s="213"/>
      <c r="CH176" s="213"/>
      <c r="CI176" s="213"/>
      <c r="CJ176" s="213"/>
      <c r="CK176" s="213"/>
      <c r="CL176" s="213"/>
    </row>
    <row r="177" spans="1:90" s="36" customFormat="1">
      <c r="G177" s="92"/>
      <c r="H177" s="92"/>
      <c r="I177" s="88"/>
      <c r="J177" s="88"/>
      <c r="K177" s="88"/>
      <c r="L177" s="88"/>
      <c r="M177" s="92"/>
      <c r="N177" s="88"/>
      <c r="O177" s="88"/>
      <c r="P177" s="88"/>
      <c r="Q177" s="88"/>
      <c r="R177" s="92"/>
      <c r="S177" s="88"/>
      <c r="T177" s="88"/>
      <c r="U177" s="88"/>
      <c r="V177" s="88"/>
      <c r="W177" s="92"/>
      <c r="X177" s="88"/>
      <c r="Y177" s="88"/>
      <c r="Z177" s="88"/>
      <c r="AA177" s="88"/>
      <c r="AB177" s="92"/>
      <c r="AC177" s="88"/>
      <c r="AD177" s="88"/>
      <c r="AE177" s="88"/>
      <c r="AF177" s="88"/>
      <c r="AG177" s="92"/>
      <c r="AH177" s="88"/>
      <c r="AI177" s="88"/>
      <c r="AJ177" s="88"/>
      <c r="AK177" s="88"/>
      <c r="AL177" s="92"/>
      <c r="AM177" s="88"/>
      <c r="AN177" s="88"/>
      <c r="AO177" s="88"/>
      <c r="AP177" s="88"/>
      <c r="AQ177" s="92"/>
      <c r="AR177" s="333"/>
      <c r="AS177" s="333"/>
      <c r="AT177" s="92"/>
      <c r="AU177" s="92"/>
      <c r="AV177" s="92"/>
      <c r="AW177" s="92"/>
      <c r="AX177" s="92"/>
      <c r="AY177" s="333"/>
      <c r="AZ177" s="636"/>
      <c r="BA177" s="636"/>
      <c r="BB177" s="636"/>
      <c r="BC177" s="636"/>
      <c r="BD177" s="333"/>
      <c r="BE177" s="636"/>
      <c r="BF177" s="636"/>
      <c r="BG177" s="636"/>
      <c r="BH177" s="636"/>
      <c r="BI177" s="333"/>
      <c r="BJ177" s="636"/>
      <c r="BK177" s="636"/>
      <c r="BL177" s="636"/>
      <c r="BM177" s="636"/>
      <c r="BN177" s="333"/>
      <c r="BO177" s="333"/>
      <c r="BP177" s="668"/>
      <c r="BQ177" s="668"/>
      <c r="BR177" s="668"/>
      <c r="BS177" s="333"/>
      <c r="BT177" s="333"/>
      <c r="BU177" s="333"/>
      <c r="BV177" s="333"/>
      <c r="BW177" s="333"/>
      <c r="BX177" s="333"/>
      <c r="BY177" s="333"/>
      <c r="BZ177" s="333"/>
      <c r="CA177" s="333"/>
      <c r="CB177" s="333"/>
      <c r="CC177" s="213"/>
      <c r="CD177" s="213"/>
      <c r="CE177" s="213"/>
      <c r="CF177" s="213"/>
      <c r="CG177" s="213"/>
      <c r="CH177" s="213"/>
      <c r="CI177" s="213"/>
      <c r="CJ177" s="213"/>
      <c r="CK177" s="213"/>
      <c r="CL177" s="213"/>
    </row>
    <row r="178" spans="1:90" s="36" customFormat="1">
      <c r="A178" s="100" t="s">
        <v>106</v>
      </c>
      <c r="G178" s="92"/>
      <c r="H178" s="92"/>
      <c r="I178" s="88"/>
      <c r="J178" s="88"/>
      <c r="K178" s="88"/>
      <c r="L178" s="88"/>
      <c r="M178" s="92"/>
      <c r="N178" s="88"/>
      <c r="O178" s="88"/>
      <c r="P178" s="88"/>
      <c r="Q178" s="88"/>
      <c r="R178" s="92"/>
      <c r="S178" s="88"/>
      <c r="T178" s="88"/>
      <c r="U178" s="88"/>
      <c r="V178" s="88"/>
      <c r="W178" s="92"/>
      <c r="X178" s="88"/>
      <c r="Y178" s="88"/>
      <c r="Z178" s="88"/>
      <c r="AA178" s="88"/>
      <c r="AB178" s="92"/>
      <c r="AC178" s="88"/>
      <c r="AD178" s="88"/>
      <c r="AE178" s="88"/>
      <c r="AF178" s="88"/>
      <c r="AG178" s="92"/>
      <c r="AH178" s="88"/>
      <c r="AI178" s="88"/>
      <c r="AJ178" s="88"/>
      <c r="AK178" s="88"/>
      <c r="AL178" s="92"/>
      <c r="AM178" s="88"/>
      <c r="AN178" s="88"/>
      <c r="AO178" s="88"/>
      <c r="AP178" s="88"/>
      <c r="AQ178" s="92"/>
      <c r="AR178" s="333"/>
      <c r="AS178" s="333"/>
      <c r="AT178" s="92"/>
      <c r="AU178" s="92"/>
      <c r="AV178" s="92"/>
      <c r="AW178" s="92"/>
      <c r="AX178" s="92"/>
      <c r="AY178" s="333"/>
      <c r="AZ178" s="636"/>
      <c r="BA178" s="636"/>
      <c r="BB178" s="636"/>
      <c r="BC178" s="636"/>
      <c r="BD178" s="333"/>
      <c r="BE178" s="636"/>
      <c r="BF178" s="636"/>
      <c r="BG178" s="636"/>
      <c r="BH178" s="636"/>
      <c r="BI178" s="333"/>
      <c r="BJ178" s="636"/>
      <c r="BK178" s="636"/>
      <c r="BL178" s="636"/>
      <c r="BM178" s="636"/>
      <c r="BN178" s="333"/>
      <c r="BO178" s="333"/>
      <c r="BP178" s="668"/>
      <c r="BQ178" s="668"/>
      <c r="BR178" s="668"/>
      <c r="BS178" s="333"/>
      <c r="BT178" s="333"/>
      <c r="BU178" s="333"/>
      <c r="BV178" s="333"/>
      <c r="BW178" s="333"/>
      <c r="BX178" s="333"/>
      <c r="BY178" s="333"/>
      <c r="BZ178" s="333"/>
      <c r="CA178" s="333"/>
      <c r="CB178" s="333"/>
      <c r="CC178" s="213"/>
      <c r="CD178" s="213"/>
      <c r="CE178" s="213"/>
      <c r="CF178" s="213"/>
      <c r="CG178" s="213"/>
      <c r="CH178" s="213"/>
      <c r="CI178" s="213"/>
      <c r="CJ178" s="213"/>
      <c r="CK178" s="213"/>
      <c r="CL178" s="213"/>
    </row>
    <row r="179" spans="1:90" s="36" customFormat="1">
      <c r="A179" s="36" t="s">
        <v>107</v>
      </c>
      <c r="G179" s="92"/>
      <c r="H179" s="92"/>
      <c r="I179" s="88"/>
      <c r="J179" s="88"/>
      <c r="K179" s="88"/>
      <c r="L179" s="88"/>
      <c r="M179" s="92"/>
      <c r="N179" s="88">
        <f>12178437*0/1000000</f>
        <v>0</v>
      </c>
      <c r="O179" s="88">
        <f>12178437*1.5/1000000</f>
        <v>18.2676555</v>
      </c>
      <c r="P179" s="88">
        <f>12178437*0/1000000</f>
        <v>0</v>
      </c>
      <c r="Q179" s="88">
        <f>12178437*0/1000000</f>
        <v>0</v>
      </c>
      <c r="R179" s="92">
        <v>18.268000000000001</v>
      </c>
      <c r="S179" s="88"/>
      <c r="T179" s="88"/>
      <c r="U179" s="88"/>
      <c r="V179" s="88"/>
      <c r="W179" s="92">
        <v>24.356999999999999</v>
      </c>
      <c r="X179" s="88"/>
      <c r="Y179" s="88"/>
      <c r="Z179" s="88"/>
      <c r="AA179" s="88"/>
      <c r="AB179" s="92">
        <v>45.811999999999998</v>
      </c>
      <c r="AC179" s="88"/>
      <c r="AD179" s="88"/>
      <c r="AE179" s="88"/>
      <c r="AF179" s="88"/>
      <c r="AG179" s="92">
        <f>+Investments!L130/$A$3</f>
        <v>0</v>
      </c>
      <c r="AH179" s="88"/>
      <c r="AI179" s="88"/>
      <c r="AJ179" s="88"/>
      <c r="AK179" s="88"/>
      <c r="AL179" s="92">
        <f>Investments!C165/1000</f>
        <v>0</v>
      </c>
      <c r="AM179" s="88"/>
      <c r="AN179" s="88"/>
      <c r="AO179" s="88"/>
      <c r="AP179" s="88"/>
      <c r="AQ179" s="92">
        <f>Investments!F165/1000</f>
        <v>0</v>
      </c>
      <c r="AR179" s="333">
        <f>Investments!F165</f>
        <v>0</v>
      </c>
      <c r="AS179" s="333">
        <f>Investments!F165</f>
        <v>0</v>
      </c>
      <c r="AT179" s="92">
        <f>Investments!H165/1000</f>
        <v>0</v>
      </c>
      <c r="AU179" s="92"/>
      <c r="AV179" s="92"/>
      <c r="AW179" s="92"/>
      <c r="AX179" s="92"/>
      <c r="AY179" s="93">
        <f>Investments!J165/1000</f>
        <v>0</v>
      </c>
      <c r="AZ179" s="636"/>
      <c r="BA179" s="636"/>
      <c r="BB179" s="636"/>
      <c r="BC179" s="636"/>
      <c r="BD179" s="93">
        <f>Investments!L165/1000</f>
        <v>0</v>
      </c>
      <c r="BE179" s="636"/>
      <c r="BF179" s="636"/>
      <c r="BG179" s="636"/>
      <c r="BH179" s="636"/>
      <c r="BI179" s="93">
        <f>Investments!N165/1000</f>
        <v>0</v>
      </c>
      <c r="BJ179" s="636"/>
      <c r="BK179" s="636"/>
      <c r="BL179" s="636"/>
      <c r="BM179" s="636"/>
      <c r="BN179" s="93">
        <f>Investments!P165/1000</f>
        <v>0</v>
      </c>
      <c r="BO179" s="93"/>
      <c r="BP179" s="668"/>
      <c r="BQ179" s="668"/>
      <c r="BR179" s="668">
        <f>Investments!R165/1000</f>
        <v>0</v>
      </c>
      <c r="BS179" s="93">
        <f>Investments!S165/1000</f>
        <v>0</v>
      </c>
      <c r="BT179" s="93">
        <f>Investments!T165/1000</f>
        <v>0</v>
      </c>
      <c r="BU179" s="93">
        <f>Investments!U165/1000</f>
        <v>0</v>
      </c>
      <c r="BV179" s="93">
        <f>Investments!V165/1000</f>
        <v>0</v>
      </c>
      <c r="BW179" s="93">
        <f>Investments!W165/1000</f>
        <v>0</v>
      </c>
      <c r="BX179" s="93">
        <f>Investments!X165/1000</f>
        <v>0</v>
      </c>
      <c r="BY179" s="93">
        <f>Investments!Y165/1000</f>
        <v>0</v>
      </c>
      <c r="BZ179" s="93">
        <f>Investments!Z165/1000</f>
        <v>0</v>
      </c>
      <c r="CA179" s="93">
        <f>Investments!AA165/1000</f>
        <v>0</v>
      </c>
      <c r="CB179" s="93">
        <f>Investments!AB165/1000</f>
        <v>0</v>
      </c>
      <c r="CC179" s="213"/>
      <c r="CD179" s="213"/>
      <c r="CE179" s="213"/>
      <c r="CF179" s="213"/>
      <c r="CG179" s="213"/>
      <c r="CH179" s="213"/>
      <c r="CI179" s="213"/>
      <c r="CJ179" s="213"/>
      <c r="CK179" s="213"/>
      <c r="CL179" s="213"/>
    </row>
    <row r="180" spans="1:90" s="36" customFormat="1">
      <c r="A180" s="36" t="s">
        <v>108</v>
      </c>
      <c r="G180" s="92"/>
      <c r="H180" s="92"/>
      <c r="I180" s="88"/>
      <c r="J180" s="88"/>
      <c r="K180" s="88"/>
      <c r="L180" s="88"/>
      <c r="M180" s="92"/>
      <c r="N180" s="88">
        <f>3953697*0/1000000</f>
        <v>0</v>
      </c>
      <c r="O180" s="88">
        <f>3953697*0/1000000</f>
        <v>0</v>
      </c>
      <c r="P180" s="88">
        <f>3953697*2.5/1000000</f>
        <v>9.8842424999999992</v>
      </c>
      <c r="Q180" s="88">
        <f>3953697*0/1000000</f>
        <v>0</v>
      </c>
      <c r="R180" s="92"/>
      <c r="S180" s="88"/>
      <c r="T180" s="88"/>
      <c r="U180" s="88"/>
      <c r="V180" s="88"/>
      <c r="W180" s="92">
        <v>4.9420000000000002</v>
      </c>
      <c r="X180" s="88"/>
      <c r="Y180" s="88"/>
      <c r="Z180" s="88"/>
      <c r="AA180" s="88"/>
      <c r="AB180" s="92">
        <v>12.852</v>
      </c>
      <c r="AC180" s="88"/>
      <c r="AD180" s="88"/>
      <c r="AE180" s="88"/>
      <c r="AF180" s="88"/>
      <c r="AG180" s="92">
        <v>0</v>
      </c>
      <c r="AH180" s="88"/>
      <c r="AI180" s="88"/>
      <c r="AJ180" s="88"/>
      <c r="AK180" s="88"/>
      <c r="AL180" s="92">
        <f>Investments!C166/1000</f>
        <v>0</v>
      </c>
      <c r="AM180" s="88"/>
      <c r="AN180" s="88"/>
      <c r="AO180" s="88"/>
      <c r="AP180" s="88"/>
      <c r="AQ180" s="92">
        <f>Investments!F166/1000</f>
        <v>0</v>
      </c>
      <c r="AR180" s="333">
        <f>Investments!F166</f>
        <v>0</v>
      </c>
      <c r="AS180" s="333">
        <f>Investments!F166</f>
        <v>0</v>
      </c>
      <c r="AT180" s="92">
        <f>Investments!H166/1000</f>
        <v>0</v>
      </c>
      <c r="AU180" s="92"/>
      <c r="AV180" s="92"/>
      <c r="AW180" s="92"/>
      <c r="AX180" s="92"/>
      <c r="AY180" s="93">
        <f>Investments!J166/1000</f>
        <v>0</v>
      </c>
      <c r="AZ180" s="636"/>
      <c r="BA180" s="636"/>
      <c r="BB180" s="636"/>
      <c r="BC180" s="636"/>
      <c r="BD180" s="93">
        <f>Investments!L166/1000</f>
        <v>0</v>
      </c>
      <c r="BE180" s="636"/>
      <c r="BF180" s="636"/>
      <c r="BG180" s="636"/>
      <c r="BH180" s="636"/>
      <c r="BI180" s="93">
        <f>Investments!N166/1000</f>
        <v>0</v>
      </c>
      <c r="BJ180" s="636"/>
      <c r="BK180" s="636"/>
      <c r="BL180" s="636"/>
      <c r="BM180" s="636"/>
      <c r="BN180" s="93">
        <f>Investments!P166/1000</f>
        <v>0</v>
      </c>
      <c r="BO180" s="93"/>
      <c r="BP180" s="668"/>
      <c r="BQ180" s="668"/>
      <c r="BR180" s="668">
        <f>Investments!R166/1000</f>
        <v>0</v>
      </c>
      <c r="BS180" s="93">
        <f>Investments!S166/1000</f>
        <v>0</v>
      </c>
      <c r="BT180" s="93">
        <f>Investments!T166/1000</f>
        <v>0</v>
      </c>
      <c r="BU180" s="93">
        <f>Investments!U166/1000</f>
        <v>0</v>
      </c>
      <c r="BV180" s="93">
        <f>Investments!V166/1000</f>
        <v>0</v>
      </c>
      <c r="BW180" s="93">
        <f>Investments!W166/1000</f>
        <v>0</v>
      </c>
      <c r="BX180" s="93">
        <f>Investments!X166/1000</f>
        <v>0</v>
      </c>
      <c r="BY180" s="93">
        <f>Investments!Y166/1000</f>
        <v>0</v>
      </c>
      <c r="BZ180" s="93">
        <f>Investments!Z166/1000</f>
        <v>0</v>
      </c>
      <c r="CA180" s="93">
        <f>Investments!AA166/1000</f>
        <v>0</v>
      </c>
      <c r="CB180" s="93">
        <f>Investments!AB166/1000</f>
        <v>0</v>
      </c>
      <c r="CC180" s="213"/>
      <c r="CD180" s="213"/>
      <c r="CE180" s="213"/>
      <c r="CF180" s="213"/>
      <c r="CG180" s="213"/>
      <c r="CH180" s="213"/>
      <c r="CI180" s="213"/>
      <c r="CJ180" s="213"/>
      <c r="CK180" s="213"/>
      <c r="CL180" s="213"/>
    </row>
    <row r="181" spans="1:90" s="36" customFormat="1">
      <c r="A181" s="36" t="s">
        <v>109</v>
      </c>
      <c r="G181" s="92"/>
      <c r="H181" s="92"/>
      <c r="I181" s="88"/>
      <c r="J181" s="88"/>
      <c r="K181" s="88"/>
      <c r="L181" s="88"/>
      <c r="M181" s="92"/>
      <c r="N181" s="88">
        <f>4680000*0/1000000</f>
        <v>0</v>
      </c>
      <c r="O181" s="88">
        <f>4680000*0/1000000</f>
        <v>0</v>
      </c>
      <c r="P181" s="88">
        <f>4680000*2.5/1000000</f>
        <v>11.7</v>
      </c>
      <c r="Q181" s="88">
        <f>4680000*0/1000000</f>
        <v>0</v>
      </c>
      <c r="R181" s="92">
        <v>16.192</v>
      </c>
      <c r="S181" s="88"/>
      <c r="T181" s="88"/>
      <c r="U181" s="88"/>
      <c r="V181" s="88"/>
      <c r="W181" s="92">
        <v>9.7149999999999999</v>
      </c>
      <c r="X181" s="88"/>
      <c r="Y181" s="88"/>
      <c r="Z181" s="88"/>
      <c r="AA181" s="88"/>
      <c r="AB181" s="92">
        <v>0</v>
      </c>
      <c r="AC181" s="88"/>
      <c r="AD181" s="88"/>
      <c r="AE181" s="88"/>
      <c r="AF181" s="88"/>
      <c r="AG181" s="92">
        <v>0</v>
      </c>
      <c r="AH181" s="88"/>
      <c r="AI181" s="88"/>
      <c r="AJ181" s="88"/>
      <c r="AK181" s="88"/>
      <c r="AL181" s="92">
        <f>Investments!C167/1000</f>
        <v>0</v>
      </c>
      <c r="AM181" s="88"/>
      <c r="AN181" s="88"/>
      <c r="AO181" s="88"/>
      <c r="AP181" s="88"/>
      <c r="AQ181" s="92">
        <f>Investments!F167/1000</f>
        <v>0</v>
      </c>
      <c r="AR181" s="333">
        <v>0</v>
      </c>
      <c r="AS181" s="333">
        <v>0</v>
      </c>
      <c r="AT181" s="92">
        <f>Investments!H167/1000</f>
        <v>0</v>
      </c>
      <c r="AU181" s="92"/>
      <c r="AV181" s="92"/>
      <c r="AW181" s="92"/>
      <c r="AX181" s="92"/>
      <c r="AY181" s="93">
        <f>Investments!J167/1000</f>
        <v>0</v>
      </c>
      <c r="AZ181" s="636"/>
      <c r="BA181" s="636"/>
      <c r="BB181" s="636"/>
      <c r="BC181" s="636"/>
      <c r="BD181" s="93">
        <f>Investments!L167/1000</f>
        <v>0</v>
      </c>
      <c r="BE181" s="636"/>
      <c r="BF181" s="636"/>
      <c r="BG181" s="636"/>
      <c r="BH181" s="636"/>
      <c r="BI181" s="93">
        <f>Investments!N167/1000</f>
        <v>0</v>
      </c>
      <c r="BJ181" s="636"/>
      <c r="BK181" s="636"/>
      <c r="BL181" s="636"/>
      <c r="BM181" s="636"/>
      <c r="BN181" s="93">
        <f>Investments!P167/1000</f>
        <v>0</v>
      </c>
      <c r="BO181" s="93"/>
      <c r="BP181" s="668"/>
      <c r="BQ181" s="668"/>
      <c r="BR181" s="668">
        <f>Investments!R167/1000</f>
        <v>0</v>
      </c>
      <c r="BS181" s="93">
        <f>Investments!S167/1000</f>
        <v>0</v>
      </c>
      <c r="BT181" s="93">
        <f>Investments!T167/1000</f>
        <v>0</v>
      </c>
      <c r="BU181" s="93">
        <f>Investments!U167/1000</f>
        <v>0</v>
      </c>
      <c r="BV181" s="93">
        <f>Investments!V167/1000</f>
        <v>0</v>
      </c>
      <c r="BW181" s="93">
        <f>Investments!W167/1000</f>
        <v>0</v>
      </c>
      <c r="BX181" s="93">
        <f>Investments!X167/1000</f>
        <v>0</v>
      </c>
      <c r="BY181" s="93">
        <f>Investments!Y167/1000</f>
        <v>0</v>
      </c>
      <c r="BZ181" s="93">
        <f>Investments!Z167/1000</f>
        <v>0</v>
      </c>
      <c r="CA181" s="93">
        <f>Investments!AA167/1000</f>
        <v>0</v>
      </c>
      <c r="CB181" s="93">
        <f>Investments!AB167/1000</f>
        <v>0</v>
      </c>
      <c r="CC181" s="213"/>
      <c r="CD181" s="213"/>
      <c r="CE181" s="213"/>
      <c r="CF181" s="213"/>
      <c r="CG181" s="213"/>
      <c r="CH181" s="213"/>
      <c r="CI181" s="213"/>
      <c r="CJ181" s="213"/>
      <c r="CK181" s="213"/>
      <c r="CL181" s="213"/>
    </row>
    <row r="182" spans="1:90" s="36" customFormat="1">
      <c r="A182" s="36" t="s">
        <v>371</v>
      </c>
      <c r="G182" s="92"/>
      <c r="H182" s="92"/>
      <c r="I182" s="88"/>
      <c r="J182" s="88"/>
      <c r="K182" s="88"/>
      <c r="L182" s="88"/>
      <c r="M182" s="92"/>
      <c r="N182" s="88">
        <f>6262818*0/1000000</f>
        <v>0</v>
      </c>
      <c r="O182" s="88">
        <f>6262818*1.25/1000000</f>
        <v>7.8285225000000001</v>
      </c>
      <c r="P182" s="88">
        <f>6262818*0/1000000</f>
        <v>0</v>
      </c>
      <c r="Q182" s="88">
        <f>6262818*0.5/1000000</f>
        <v>3.1314090000000001</v>
      </c>
      <c r="R182" s="92"/>
      <c r="S182" s="88"/>
      <c r="T182" s="88"/>
      <c r="U182" s="88"/>
      <c r="V182" s="88"/>
      <c r="W182" s="92">
        <v>113.27</v>
      </c>
      <c r="X182" s="88"/>
      <c r="Y182" s="88"/>
      <c r="Z182" s="88"/>
      <c r="AA182" s="88"/>
      <c r="AB182" s="92">
        <v>204.99299999999999</v>
      </c>
      <c r="AC182" s="88"/>
      <c r="AD182" s="88"/>
      <c r="AE182" s="88"/>
      <c r="AF182" s="88"/>
      <c r="AG182" s="92">
        <f>+Investments!L132/$A$3</f>
        <v>0</v>
      </c>
      <c r="AH182" s="88"/>
      <c r="AI182" s="88"/>
      <c r="AJ182" s="88"/>
      <c r="AK182" s="88"/>
      <c r="AL182" s="92">
        <f>Investments!C168/1000</f>
        <v>0</v>
      </c>
      <c r="AM182" s="88"/>
      <c r="AN182" s="88"/>
      <c r="AO182" s="88">
        <f>(Investments!AG32+Investments!AG36)*2.5/A3</f>
        <v>0</v>
      </c>
      <c r="AP182" s="88">
        <f>(Investments!AG32+Investments!AG36)*2.5/A3</f>
        <v>0</v>
      </c>
      <c r="AQ182" s="92">
        <f>Investments!F168/1000</f>
        <v>0</v>
      </c>
      <c r="AR182" s="333">
        <f>Investments!F167</f>
        <v>0</v>
      </c>
      <c r="AS182" s="333">
        <f>Investments!F167</f>
        <v>0</v>
      </c>
      <c r="AT182" s="92">
        <f>Investments!H168/1000</f>
        <v>0</v>
      </c>
      <c r="AU182" s="92"/>
      <c r="AV182" s="92"/>
      <c r="AW182" s="92"/>
      <c r="AX182" s="92"/>
      <c r="AY182" s="93">
        <f>Investments!J168/1000</f>
        <v>0</v>
      </c>
      <c r="AZ182" s="636"/>
      <c r="BA182" s="636"/>
      <c r="BB182" s="636"/>
      <c r="BC182" s="636"/>
      <c r="BD182" s="93">
        <f>Investments!L168/1000</f>
        <v>0</v>
      </c>
      <c r="BE182" s="636"/>
      <c r="BF182" s="636"/>
      <c r="BG182" s="636"/>
      <c r="BH182" s="636"/>
      <c r="BI182" s="93">
        <f>Investments!N168/1000</f>
        <v>0</v>
      </c>
      <c r="BJ182" s="636"/>
      <c r="BK182" s="636"/>
      <c r="BL182" s="636"/>
      <c r="BM182" s="636"/>
      <c r="BN182" s="93">
        <f>Investments!P168/1000</f>
        <v>0</v>
      </c>
      <c r="BO182" s="93"/>
      <c r="BP182" s="668"/>
      <c r="BQ182" s="668"/>
      <c r="BR182" s="668">
        <f>Investments!R168/1000</f>
        <v>0</v>
      </c>
      <c r="BS182" s="93">
        <f>Investments!S168/1000</f>
        <v>0</v>
      </c>
      <c r="BT182" s="93">
        <f>Investments!T168/1000</f>
        <v>0</v>
      </c>
      <c r="BU182" s="93">
        <f>Investments!U168/1000</f>
        <v>0</v>
      </c>
      <c r="BV182" s="93">
        <f>Investments!V168/1000</f>
        <v>0</v>
      </c>
      <c r="BW182" s="93">
        <f>Investments!W168/1000</f>
        <v>0</v>
      </c>
      <c r="BX182" s="93">
        <f>Investments!X168/1000</f>
        <v>0</v>
      </c>
      <c r="BY182" s="93">
        <f>Investments!Y168/1000</f>
        <v>0</v>
      </c>
      <c r="BZ182" s="93">
        <f>Investments!Z168/1000</f>
        <v>0</v>
      </c>
      <c r="CA182" s="93">
        <f>Investments!AA168/1000</f>
        <v>0</v>
      </c>
      <c r="CB182" s="93">
        <f>Investments!AB168/1000</f>
        <v>0</v>
      </c>
      <c r="CC182" s="213"/>
      <c r="CD182" s="213"/>
      <c r="CE182" s="213"/>
      <c r="CF182" s="213"/>
      <c r="CG182" s="213"/>
      <c r="CH182" s="213"/>
      <c r="CI182" s="213"/>
      <c r="CJ182" s="213"/>
      <c r="CK182" s="213"/>
      <c r="CL182" s="213"/>
    </row>
    <row r="183" spans="1:90" s="36" customFormat="1">
      <c r="A183" s="595" t="s">
        <v>110</v>
      </c>
      <c r="G183" s="92"/>
      <c r="H183" s="92"/>
      <c r="I183" s="88"/>
      <c r="J183" s="88"/>
      <c r="K183" s="88"/>
      <c r="L183" s="88"/>
      <c r="M183" s="92"/>
      <c r="N183" s="88">
        <f>6666*0/1000000</f>
        <v>0</v>
      </c>
      <c r="O183" s="88">
        <f>6666*0/1000000</f>
        <v>0</v>
      </c>
      <c r="P183" s="88">
        <f>6666*0/1000000</f>
        <v>0</v>
      </c>
      <c r="Q183" s="88">
        <f>6666*0/1000000</f>
        <v>0</v>
      </c>
      <c r="R183" s="92"/>
      <c r="S183" s="88"/>
      <c r="T183" s="88"/>
      <c r="U183" s="88"/>
      <c r="V183" s="88"/>
      <c r="W183" s="92"/>
      <c r="X183" s="88"/>
      <c r="Y183" s="88"/>
      <c r="Z183" s="88"/>
      <c r="AA183" s="88"/>
      <c r="AB183" s="92">
        <v>0</v>
      </c>
      <c r="AC183" s="88"/>
      <c r="AD183" s="88"/>
      <c r="AE183" s="88"/>
      <c r="AF183" s="88"/>
      <c r="AG183" s="92"/>
      <c r="AH183" s="88"/>
      <c r="AI183" s="88"/>
      <c r="AJ183" s="88"/>
      <c r="AK183" s="88"/>
      <c r="AL183" s="92"/>
      <c r="AM183" s="88"/>
      <c r="AN183" s="88"/>
      <c r="AO183" s="88"/>
      <c r="AP183" s="88"/>
      <c r="AQ183" s="92"/>
      <c r="AR183" s="333"/>
      <c r="AS183" s="333"/>
      <c r="AT183" s="92"/>
      <c r="AU183" s="92"/>
      <c r="AV183" s="92"/>
      <c r="AW183" s="92"/>
      <c r="AX183" s="92"/>
      <c r="AY183" s="333"/>
      <c r="AZ183" s="636"/>
      <c r="BA183" s="636"/>
      <c r="BB183" s="636"/>
      <c r="BC183" s="636"/>
      <c r="BD183" s="333"/>
      <c r="BE183" s="636"/>
      <c r="BF183" s="636"/>
      <c r="BG183" s="636"/>
      <c r="BH183" s="636"/>
      <c r="BI183" s="333"/>
      <c r="BJ183" s="636"/>
      <c r="BK183" s="636"/>
      <c r="BL183" s="636"/>
      <c r="BM183" s="636"/>
      <c r="BN183" s="333"/>
      <c r="BO183" s="333"/>
      <c r="BP183" s="668"/>
      <c r="BQ183" s="668"/>
      <c r="BR183" s="668"/>
      <c r="BS183" s="333"/>
      <c r="BT183" s="333"/>
      <c r="BU183" s="333"/>
      <c r="BV183" s="333"/>
      <c r="BW183" s="333"/>
      <c r="BX183" s="333"/>
      <c r="BY183" s="333"/>
      <c r="BZ183" s="333"/>
      <c r="CA183" s="333"/>
      <c r="CB183" s="333"/>
      <c r="CC183" s="213"/>
      <c r="CD183" s="213"/>
      <c r="CE183" s="213"/>
      <c r="CF183" s="213"/>
      <c r="CG183" s="213"/>
      <c r="CH183" s="213"/>
      <c r="CI183" s="213"/>
      <c r="CJ183" s="213"/>
      <c r="CK183" s="213"/>
      <c r="CL183" s="213"/>
    </row>
    <row r="184" spans="1:90" s="36" customFormat="1">
      <c r="A184" s="595" t="s">
        <v>130</v>
      </c>
      <c r="G184" s="92"/>
      <c r="H184" s="92"/>
      <c r="I184" s="88"/>
      <c r="J184" s="88"/>
      <c r="K184" s="88"/>
      <c r="L184" s="88"/>
      <c r="M184" s="92"/>
      <c r="N184" s="88"/>
      <c r="O184" s="88"/>
      <c r="P184" s="88"/>
      <c r="Q184" s="88"/>
      <c r="R184" s="92">
        <v>85.73</v>
      </c>
      <c r="S184" s="88"/>
      <c r="T184" s="88"/>
      <c r="U184" s="88"/>
      <c r="V184" s="88"/>
      <c r="W184" s="92">
        <v>2.5999999999999999E-2</v>
      </c>
      <c r="X184" s="88"/>
      <c r="Y184" s="88"/>
      <c r="Z184" s="88"/>
      <c r="AA184" s="88"/>
      <c r="AB184" s="92">
        <v>0.12</v>
      </c>
      <c r="AC184" s="88"/>
      <c r="AD184" s="88"/>
      <c r="AE184" s="88"/>
      <c r="AF184" s="88"/>
      <c r="AG184" s="92">
        <v>0</v>
      </c>
      <c r="AH184" s="88"/>
      <c r="AI184" s="88"/>
      <c r="AJ184" s="88"/>
      <c r="AK184" s="88"/>
      <c r="AL184" s="92">
        <v>0</v>
      </c>
      <c r="AM184" s="88"/>
      <c r="AN184" s="88"/>
      <c r="AO184" s="88"/>
      <c r="AP184" s="88"/>
      <c r="AQ184" s="92">
        <v>0</v>
      </c>
      <c r="AR184" s="333">
        <v>0</v>
      </c>
      <c r="AS184" s="333">
        <v>0</v>
      </c>
      <c r="AT184" s="92">
        <v>0</v>
      </c>
      <c r="AU184" s="92"/>
      <c r="AV184" s="92"/>
      <c r="AW184" s="92"/>
      <c r="AX184" s="92"/>
      <c r="AY184" s="333">
        <v>0</v>
      </c>
      <c r="AZ184" s="636"/>
      <c r="BA184" s="636"/>
      <c r="BB184" s="636"/>
      <c r="BC184" s="636"/>
      <c r="BD184" s="333">
        <v>0</v>
      </c>
      <c r="BE184" s="636"/>
      <c r="BF184" s="636"/>
      <c r="BG184" s="636"/>
      <c r="BH184" s="636"/>
      <c r="BI184" s="333">
        <v>0</v>
      </c>
      <c r="BJ184" s="636"/>
      <c r="BK184" s="636"/>
      <c r="BL184" s="636"/>
      <c r="BM184" s="636"/>
      <c r="BN184" s="333">
        <v>1</v>
      </c>
      <c r="BO184" s="333"/>
      <c r="BP184" s="668"/>
      <c r="BQ184" s="668"/>
      <c r="BR184" s="668">
        <v>1</v>
      </c>
      <c r="BS184" s="333">
        <v>1</v>
      </c>
      <c r="BT184" s="333">
        <v>1</v>
      </c>
      <c r="BU184" s="333">
        <v>1</v>
      </c>
      <c r="BV184" s="333">
        <v>1</v>
      </c>
      <c r="BW184" s="333">
        <v>1</v>
      </c>
      <c r="BX184" s="333">
        <v>1</v>
      </c>
      <c r="BY184" s="333">
        <v>1</v>
      </c>
      <c r="BZ184" s="333">
        <v>1</v>
      </c>
      <c r="CA184" s="333">
        <v>1</v>
      </c>
      <c r="CB184" s="333">
        <v>1</v>
      </c>
      <c r="CC184" s="213"/>
      <c r="CD184" s="213"/>
      <c r="CE184" s="213"/>
      <c r="CF184" s="213"/>
      <c r="CG184" s="213"/>
      <c r="CH184" s="213"/>
      <c r="CI184" s="213"/>
      <c r="CJ184" s="213"/>
      <c r="CK184" s="213"/>
      <c r="CL184" s="213"/>
    </row>
    <row r="185" spans="1:90" s="36" customFormat="1">
      <c r="A185" s="595" t="s">
        <v>371</v>
      </c>
      <c r="G185" s="92"/>
      <c r="H185" s="92"/>
      <c r="I185" s="88"/>
      <c r="J185" s="88"/>
      <c r="K185" s="88"/>
      <c r="L185" s="88"/>
      <c r="M185" s="92"/>
      <c r="N185" s="88">
        <f>98000*2.5/1000000</f>
        <v>0.245</v>
      </c>
      <c r="O185" s="88">
        <f>98000*0/1000000</f>
        <v>0</v>
      </c>
      <c r="P185" s="88">
        <f>98000*0/1000000</f>
        <v>0</v>
      </c>
      <c r="Q185" s="88">
        <f>98000*0/1000000</f>
        <v>0</v>
      </c>
      <c r="R185" s="92"/>
      <c r="S185" s="88"/>
      <c r="T185" s="88"/>
      <c r="U185" s="88"/>
      <c r="V185" s="88"/>
      <c r="W185" s="92"/>
      <c r="X185" s="88"/>
      <c r="Y185" s="88"/>
      <c r="Z185" s="88"/>
      <c r="AA185" s="88"/>
      <c r="AB185" s="92">
        <v>2.1059999999999999</v>
      </c>
      <c r="AC185" s="88"/>
      <c r="AD185" s="88"/>
      <c r="AE185" s="88"/>
      <c r="AF185" s="88"/>
      <c r="AG185" s="92">
        <f>+Investments!L133/$A$3</f>
        <v>0</v>
      </c>
      <c r="AH185" s="88"/>
      <c r="AI185" s="88"/>
      <c r="AJ185" s="88"/>
      <c r="AK185" s="88"/>
      <c r="AL185" s="92">
        <f>+Investments!N133/$A$3</f>
        <v>0</v>
      </c>
      <c r="AM185" s="88"/>
      <c r="AN185" s="88"/>
      <c r="AO185" s="88">
        <f>AQ185/4</f>
        <v>0</v>
      </c>
      <c r="AP185" s="88"/>
      <c r="AQ185" s="92">
        <f>+Investments!AC119/$A$3</f>
        <v>0</v>
      </c>
      <c r="AR185" s="333">
        <f>+Investments!AC119/$A$3</f>
        <v>0</v>
      </c>
      <c r="AS185" s="333">
        <f>+Investments!AC119/$A$3</f>
        <v>0</v>
      </c>
      <c r="AT185" s="92">
        <f>+Investments!AD119/$A$3</f>
        <v>0</v>
      </c>
      <c r="AU185" s="92"/>
      <c r="AV185" s="92"/>
      <c r="AW185" s="92"/>
      <c r="AX185" s="92"/>
      <c r="AY185" s="333">
        <f>+Investments!AE119/$A$3</f>
        <v>0</v>
      </c>
      <c r="AZ185" s="636"/>
      <c r="BA185" s="636"/>
      <c r="BB185" s="636"/>
      <c r="BC185" s="636"/>
      <c r="BD185" s="333">
        <f>+Investments!AF119/$A$3</f>
        <v>0</v>
      </c>
      <c r="BE185" s="636"/>
      <c r="BF185" s="636"/>
      <c r="BG185" s="636"/>
      <c r="BH185" s="636"/>
      <c r="BI185" s="333">
        <f>+Investments!AG119/$A$3</f>
        <v>0</v>
      </c>
      <c r="BJ185" s="636"/>
      <c r="BK185" s="636"/>
      <c r="BL185" s="636"/>
      <c r="BM185" s="636"/>
      <c r="BN185" s="333">
        <f>+Investments!AH119/$A$3</f>
        <v>0</v>
      </c>
      <c r="BO185" s="333"/>
      <c r="BP185" s="668"/>
      <c r="BQ185" s="668"/>
      <c r="BR185" s="668">
        <f>+Investments!AI119/$A$3</f>
        <v>0</v>
      </c>
      <c r="BS185" s="333">
        <f>+Investments!AJ119/$A$3</f>
        <v>0</v>
      </c>
      <c r="BT185" s="333">
        <f>+Investments!AK119/$A$3</f>
        <v>0</v>
      </c>
      <c r="BU185" s="333">
        <f>+Investments!AL119/$A$3</f>
        <v>0</v>
      </c>
      <c r="BV185" s="333">
        <f>+Investments!AM119/$A$3</f>
        <v>0</v>
      </c>
      <c r="BW185" s="333">
        <f>+Investments!AN119/$A$3</f>
        <v>0</v>
      </c>
      <c r="BX185" s="333">
        <f>+Investments!AO119/$A$3</f>
        <v>0</v>
      </c>
      <c r="BY185" s="333">
        <f>+Investments!AP119/$A$3</f>
        <v>0</v>
      </c>
      <c r="BZ185" s="333">
        <f>+Investments!AQ119/$A$3</f>
        <v>0</v>
      </c>
      <c r="CA185" s="333">
        <f>+Investments!AR119/$A$3</f>
        <v>0</v>
      </c>
      <c r="CB185" s="333">
        <f>+Investments!AS119/$A$3</f>
        <v>0</v>
      </c>
      <c r="CC185" s="213"/>
      <c r="CD185" s="213"/>
      <c r="CE185" s="213"/>
      <c r="CF185" s="213"/>
      <c r="CG185" s="213"/>
      <c r="CH185" s="213"/>
      <c r="CI185" s="213"/>
      <c r="CJ185" s="213"/>
      <c r="CK185" s="213"/>
      <c r="CL185" s="213"/>
    </row>
    <row r="186" spans="1:90" s="36" customFormat="1">
      <c r="G186" s="92"/>
      <c r="H186" s="92"/>
      <c r="I186" s="88"/>
      <c r="J186" s="88"/>
      <c r="K186" s="88"/>
      <c r="L186" s="88"/>
      <c r="M186" s="92"/>
      <c r="N186" s="39">
        <f>+SUM(N179:N185)</f>
        <v>0.245</v>
      </c>
      <c r="O186" s="39">
        <f>+SUM(O179:O185)</f>
        <v>26.096178000000002</v>
      </c>
      <c r="P186" s="39">
        <f>+SUM(P179:P185)</f>
        <v>21.584242499999998</v>
      </c>
      <c r="Q186" s="39">
        <f>+SUM(Q179:Q185)+28</f>
        <v>31.131409000000001</v>
      </c>
      <c r="R186" s="92">
        <f>+SUM(R179:R185)</f>
        <v>120.19</v>
      </c>
      <c r="S186" s="39">
        <f t="shared" ref="S186:AC186" si="262">+SUM(S179:S185)</f>
        <v>0</v>
      </c>
      <c r="T186" s="39">
        <f t="shared" si="262"/>
        <v>0</v>
      </c>
      <c r="U186" s="39">
        <f t="shared" si="262"/>
        <v>0</v>
      </c>
      <c r="V186" s="39">
        <f t="shared" si="262"/>
        <v>0</v>
      </c>
      <c r="W186" s="92">
        <f t="shared" si="262"/>
        <v>152.31</v>
      </c>
      <c r="X186" s="39">
        <f t="shared" si="262"/>
        <v>0</v>
      </c>
      <c r="Y186" s="39">
        <f t="shared" si="262"/>
        <v>0</v>
      </c>
      <c r="Z186" s="39">
        <f t="shared" si="262"/>
        <v>0</v>
      </c>
      <c r="AA186" s="39">
        <f t="shared" si="262"/>
        <v>0</v>
      </c>
      <c r="AB186" s="92">
        <f t="shared" si="262"/>
        <v>265.88299999999998</v>
      </c>
      <c r="AC186" s="39">
        <f t="shared" si="262"/>
        <v>0</v>
      </c>
      <c r="AD186" s="39"/>
      <c r="AE186" s="39"/>
      <c r="AF186" s="39"/>
      <c r="AG186" s="92">
        <f>+SUM(AG179:AG185)</f>
        <v>0</v>
      </c>
      <c r="AH186" s="39"/>
      <c r="AI186" s="39"/>
      <c r="AJ186" s="39"/>
      <c r="AK186" s="39"/>
      <c r="AL186" s="92">
        <f>+SUM(AL179:AL185)</f>
        <v>0</v>
      </c>
      <c r="AM186" s="39"/>
      <c r="AN186" s="39"/>
      <c r="AO186" s="39">
        <f t="shared" ref="AO186:AT186" si="263">+SUM(AO179:AO185)</f>
        <v>0</v>
      </c>
      <c r="AP186" s="39">
        <f t="shared" si="263"/>
        <v>0</v>
      </c>
      <c r="AQ186" s="92">
        <f t="shared" si="263"/>
        <v>0</v>
      </c>
      <c r="AR186" s="333">
        <f t="shared" si="263"/>
        <v>0</v>
      </c>
      <c r="AS186" s="333">
        <f t="shared" si="263"/>
        <v>0</v>
      </c>
      <c r="AT186" s="92">
        <f t="shared" si="263"/>
        <v>0</v>
      </c>
      <c r="AU186" s="92"/>
      <c r="AV186" s="92"/>
      <c r="AW186" s="92"/>
      <c r="AX186" s="92"/>
      <c r="AY186" s="333">
        <f>+SUM(AY179:AY185)</f>
        <v>0</v>
      </c>
      <c r="AZ186" s="636"/>
      <c r="BA186" s="636"/>
      <c r="BB186" s="636"/>
      <c r="BC186" s="636"/>
      <c r="BD186" s="333">
        <f>+SUM(BD179:BD185)</f>
        <v>0</v>
      </c>
      <c r="BE186" s="636"/>
      <c r="BF186" s="636"/>
      <c r="BG186" s="636"/>
      <c r="BH186" s="636"/>
      <c r="BI186" s="333">
        <f>+SUM(BI179:BI185)</f>
        <v>0</v>
      </c>
      <c r="BJ186" s="636"/>
      <c r="BK186" s="636"/>
      <c r="BL186" s="636"/>
      <c r="BM186" s="636"/>
      <c r="BN186" s="333">
        <f>+SUM(BN179:BN185)</f>
        <v>1</v>
      </c>
      <c r="BO186" s="333"/>
      <c r="BP186" s="668"/>
      <c r="BQ186" s="668"/>
      <c r="BR186" s="668">
        <f t="shared" ref="BR186:CB186" si="264">+SUM(BR179:BR185)</f>
        <v>1</v>
      </c>
      <c r="BS186" s="333">
        <f t="shared" si="264"/>
        <v>1</v>
      </c>
      <c r="BT186" s="333">
        <f t="shared" si="264"/>
        <v>1</v>
      </c>
      <c r="BU186" s="333">
        <f t="shared" si="264"/>
        <v>1</v>
      </c>
      <c r="BV186" s="333">
        <f t="shared" si="264"/>
        <v>1</v>
      </c>
      <c r="BW186" s="333">
        <f t="shared" si="264"/>
        <v>1</v>
      </c>
      <c r="BX186" s="333">
        <f t="shared" si="264"/>
        <v>1</v>
      </c>
      <c r="BY186" s="333">
        <f t="shared" si="264"/>
        <v>1</v>
      </c>
      <c r="BZ186" s="333">
        <f t="shared" si="264"/>
        <v>1</v>
      </c>
      <c r="CA186" s="333">
        <f t="shared" si="264"/>
        <v>1</v>
      </c>
      <c r="CB186" s="333">
        <f t="shared" si="264"/>
        <v>1</v>
      </c>
      <c r="CC186" s="213"/>
      <c r="CD186" s="213"/>
      <c r="CE186" s="213"/>
      <c r="CF186" s="213"/>
      <c r="CG186" s="213"/>
      <c r="CH186" s="213"/>
      <c r="CI186" s="213"/>
      <c r="CJ186" s="213"/>
      <c r="CK186" s="213"/>
      <c r="CL186" s="213"/>
    </row>
    <row r="187" spans="1:90" s="36" customFormat="1">
      <c r="G187" s="92"/>
      <c r="H187" s="92"/>
      <c r="I187" s="88"/>
      <c r="J187" s="88"/>
      <c r="K187" s="88"/>
      <c r="L187" s="88"/>
      <c r="M187" s="92"/>
      <c r="N187" s="39"/>
      <c r="O187" s="39"/>
      <c r="P187" s="39"/>
      <c r="Q187" s="39"/>
      <c r="R187" s="92"/>
      <c r="S187" s="39"/>
      <c r="T187" s="39"/>
      <c r="U187" s="39"/>
      <c r="V187" s="39"/>
      <c r="W187" s="92"/>
      <c r="X187" s="39"/>
      <c r="Y187" s="39"/>
      <c r="Z187" s="39"/>
      <c r="AA187" s="39"/>
      <c r="AB187" s="92"/>
      <c r="AC187" s="39"/>
      <c r="AD187" s="39"/>
      <c r="AE187" s="39"/>
      <c r="AF187" s="39"/>
      <c r="AG187" s="92"/>
      <c r="AH187" s="39"/>
      <c r="AI187" s="39"/>
      <c r="AJ187" s="39"/>
      <c r="AK187" s="39"/>
      <c r="AL187" s="92"/>
      <c r="AM187" s="39"/>
      <c r="AN187" s="39"/>
      <c r="AO187" s="39"/>
      <c r="AP187" s="39"/>
      <c r="AQ187" s="92"/>
      <c r="AR187" s="333"/>
      <c r="AS187" s="333"/>
      <c r="AT187" s="92"/>
      <c r="AU187" s="92"/>
      <c r="AV187" s="92"/>
      <c r="AW187" s="92"/>
      <c r="AX187" s="92"/>
      <c r="AY187" s="333"/>
      <c r="AZ187" s="636"/>
      <c r="BA187" s="636"/>
      <c r="BB187" s="636"/>
      <c r="BC187" s="636"/>
      <c r="BD187" s="333"/>
      <c r="BE187" s="636"/>
      <c r="BF187" s="636"/>
      <c r="BG187" s="636"/>
      <c r="BH187" s="636"/>
      <c r="BI187" s="333"/>
      <c r="BJ187" s="636"/>
      <c r="BK187" s="636"/>
      <c r="BL187" s="636"/>
      <c r="BM187" s="636"/>
      <c r="BN187" s="333"/>
      <c r="BO187" s="333"/>
      <c r="BP187" s="668"/>
      <c r="BQ187" s="668"/>
      <c r="BR187" s="668"/>
      <c r="BS187" s="333"/>
      <c r="BT187" s="333"/>
      <c r="BU187" s="333"/>
      <c r="BV187" s="333"/>
      <c r="BW187" s="333"/>
      <c r="BX187" s="333"/>
      <c r="BY187" s="333"/>
      <c r="BZ187" s="333"/>
      <c r="CA187" s="333"/>
      <c r="CB187" s="333"/>
      <c r="CC187" s="213"/>
      <c r="CD187" s="213"/>
      <c r="CE187" s="213"/>
      <c r="CF187" s="213"/>
      <c r="CG187" s="213"/>
      <c r="CH187" s="213"/>
      <c r="CI187" s="213"/>
      <c r="CJ187" s="213"/>
      <c r="CK187" s="213"/>
      <c r="CL187" s="213"/>
    </row>
    <row r="188" spans="1:90" s="36" customFormat="1">
      <c r="A188" s="36" t="s">
        <v>370</v>
      </c>
      <c r="G188" s="92"/>
      <c r="H188" s="92"/>
      <c r="I188" s="88"/>
      <c r="J188" s="88"/>
      <c r="K188" s="88"/>
      <c r="L188" s="88"/>
      <c r="M188" s="92"/>
      <c r="N188" s="39"/>
      <c r="O188" s="39"/>
      <c r="P188" s="39"/>
      <c r="Q188" s="39"/>
      <c r="R188" s="92">
        <f t="shared" ref="R188:AC188" si="265">+R186+R171+R173+R176</f>
        <v>128.46199999999999</v>
      </c>
      <c r="S188" s="39">
        <f t="shared" si="265"/>
        <v>0</v>
      </c>
      <c r="T188" s="39">
        <f t="shared" si="265"/>
        <v>0</v>
      </c>
      <c r="U188" s="39">
        <f t="shared" si="265"/>
        <v>0</v>
      </c>
      <c r="V188" s="39">
        <f t="shared" si="265"/>
        <v>0</v>
      </c>
      <c r="W188" s="92">
        <f t="shared" si="265"/>
        <v>707.69200000000001</v>
      </c>
      <c r="X188" s="39">
        <f t="shared" si="265"/>
        <v>0</v>
      </c>
      <c r="Y188" s="39">
        <f t="shared" si="265"/>
        <v>0</v>
      </c>
      <c r="Z188" s="39">
        <f t="shared" si="265"/>
        <v>0</v>
      </c>
      <c r="AA188" s="39">
        <f t="shared" si="265"/>
        <v>0</v>
      </c>
      <c r="AB188" s="92">
        <f t="shared" si="265"/>
        <v>294.11399999999998</v>
      </c>
      <c r="AC188" s="39">
        <f t="shared" si="265"/>
        <v>0</v>
      </c>
      <c r="AD188" s="39">
        <f>+Investments!H146/$A$3</f>
        <v>0</v>
      </c>
      <c r="AE188" s="39">
        <f>+Investments!N146/$A$3</f>
        <v>0</v>
      </c>
      <c r="AF188" s="39">
        <f>+Investments!AD132/$A$3</f>
        <v>0</v>
      </c>
      <c r="AG188" s="92">
        <f>+AG186+AG171+AG173+AG176</f>
        <v>32.598125000000003</v>
      </c>
      <c r="AH188" s="39">
        <v>198.363</v>
      </c>
      <c r="AI188" s="39"/>
      <c r="AJ188" s="39">
        <f>+Investments!AG132/$A$3</f>
        <v>0</v>
      </c>
      <c r="AK188" s="39">
        <f>+Investments!AI132/$A$3</f>
        <v>0</v>
      </c>
      <c r="AL188" s="92">
        <f>+AL186+AL171+AL173+AL176</f>
        <v>62.729979999999998</v>
      </c>
      <c r="AM188" s="39">
        <f>AQ188/4</f>
        <v>22.67276698825</v>
      </c>
      <c r="AN188" s="39">
        <f>AT188/4</f>
        <v>21.206731473750001</v>
      </c>
      <c r="AO188" s="39">
        <f t="shared" ref="AO188:AT188" si="266">+AO186+AO171+AO173+AO176</f>
        <v>22.67276698825</v>
      </c>
      <c r="AP188" s="39">
        <f t="shared" si="266"/>
        <v>21.206731473750001</v>
      </c>
      <c r="AQ188" s="92">
        <f t="shared" si="266"/>
        <v>90.691067953000001</v>
      </c>
      <c r="AR188" s="333" t="e">
        <f t="shared" si="266"/>
        <v>#REF!</v>
      </c>
      <c r="AS188" s="333" t="e">
        <f t="shared" si="266"/>
        <v>#REF!</v>
      </c>
      <c r="AT188" s="92">
        <f t="shared" si="266"/>
        <v>84.826925895000002</v>
      </c>
      <c r="AU188" s="92"/>
      <c r="AV188" s="92"/>
      <c r="AW188" s="92"/>
      <c r="AX188" s="92"/>
      <c r="AY188" s="333">
        <f>+AY186+AY171+AY173+AY176</f>
        <v>164.07878123484224</v>
      </c>
      <c r="AZ188" s="636"/>
      <c r="BA188" s="636"/>
      <c r="BB188" s="636"/>
      <c r="BC188" s="636"/>
      <c r="BD188" s="333">
        <f>+BD186+BD171+BD173+BD176</f>
        <v>171.24037250273818</v>
      </c>
      <c r="BE188" s="636"/>
      <c r="BF188" s="636"/>
      <c r="BG188" s="636"/>
      <c r="BH188" s="636"/>
      <c r="BI188" s="333">
        <f>+BI186+BI171+BI173+BI176</f>
        <v>178.70637673631944</v>
      </c>
      <c r="BJ188" s="636"/>
      <c r="BK188" s="636"/>
      <c r="BL188" s="636"/>
      <c r="BM188" s="636"/>
      <c r="BN188" s="333">
        <f>+BN186+BN171+BN173+BN176</f>
        <v>187.48983888941501</v>
      </c>
      <c r="BO188" s="333"/>
      <c r="BP188" s="668"/>
      <c r="BQ188" s="668"/>
      <c r="BR188" s="668">
        <f t="shared" ref="BR188:CB188" si="267">+BR186+BR171+BR173+BR176</f>
        <v>195.60436739393427</v>
      </c>
      <c r="BS188" s="333">
        <f t="shared" si="267"/>
        <v>204.06415867847667</v>
      </c>
      <c r="BT188" s="333">
        <f t="shared" si="267"/>
        <v>212.88402276038948</v>
      </c>
      <c r="BU188" s="333">
        <f t="shared" si="267"/>
        <v>222.07940995847036</v>
      </c>
      <c r="BV188" s="333">
        <f t="shared" si="267"/>
        <v>231.66643877559022</v>
      </c>
      <c r="BW188" s="333">
        <f t="shared" si="267"/>
        <v>1.5</v>
      </c>
      <c r="BX188" s="333">
        <f t="shared" si="267"/>
        <v>1.5</v>
      </c>
      <c r="BY188" s="333">
        <f t="shared" si="267"/>
        <v>1.5</v>
      </c>
      <c r="BZ188" s="333">
        <f t="shared" si="267"/>
        <v>1.5</v>
      </c>
      <c r="CA188" s="333">
        <f t="shared" si="267"/>
        <v>1.5</v>
      </c>
      <c r="CB188" s="333">
        <f t="shared" si="267"/>
        <v>1.5</v>
      </c>
      <c r="CC188" s="213"/>
      <c r="CD188" s="213"/>
      <c r="CE188" s="213"/>
      <c r="CF188" s="213"/>
      <c r="CG188" s="213"/>
      <c r="CH188" s="213"/>
      <c r="CI188" s="213"/>
      <c r="CJ188" s="213"/>
      <c r="CK188" s="213"/>
      <c r="CL188" s="213"/>
    </row>
    <row r="189" spans="1:90" s="36" customFormat="1">
      <c r="G189" s="92"/>
      <c r="H189" s="92"/>
      <c r="I189" s="88"/>
      <c r="J189" s="88"/>
      <c r="K189" s="88"/>
      <c r="L189" s="88"/>
      <c r="M189" s="92"/>
      <c r="N189" s="39"/>
      <c r="O189" s="39"/>
      <c r="P189" s="39"/>
      <c r="Q189" s="39"/>
      <c r="R189" s="92"/>
      <c r="S189" s="39"/>
      <c r="T189" s="39"/>
      <c r="U189" s="39"/>
      <c r="V189" s="39"/>
      <c r="W189" s="92"/>
      <c r="X189" s="39"/>
      <c r="Y189" s="39"/>
      <c r="Z189" s="39"/>
      <c r="AA189" s="39"/>
      <c r="AB189" s="92"/>
      <c r="AC189" s="39"/>
      <c r="AD189" s="39"/>
      <c r="AE189" s="39"/>
      <c r="AF189" s="39"/>
      <c r="AG189" s="92"/>
      <c r="AH189" s="39"/>
      <c r="AI189" s="39"/>
      <c r="AJ189" s="39"/>
      <c r="AK189" s="39"/>
      <c r="AL189" s="92"/>
      <c r="AM189" s="39"/>
      <c r="AN189" s="39"/>
      <c r="AO189" s="39"/>
      <c r="AP189" s="39"/>
      <c r="AQ189" s="92"/>
      <c r="AR189" s="333"/>
      <c r="AS189" s="333"/>
      <c r="AT189" s="92"/>
      <c r="AU189" s="92"/>
      <c r="AV189" s="92"/>
      <c r="AW189" s="92"/>
      <c r="AX189" s="92"/>
      <c r="AY189" s="333"/>
      <c r="AZ189" s="636"/>
      <c r="BA189" s="636"/>
      <c r="BB189" s="636"/>
      <c r="BC189" s="636"/>
      <c r="BD189" s="333"/>
      <c r="BE189" s="636"/>
      <c r="BF189" s="636"/>
      <c r="BG189" s="636"/>
      <c r="BH189" s="636"/>
      <c r="BI189" s="333"/>
      <c r="BJ189" s="636"/>
      <c r="BK189" s="636"/>
      <c r="BL189" s="636"/>
      <c r="BM189" s="636"/>
      <c r="BN189" s="333"/>
      <c r="BO189" s="333"/>
      <c r="BP189" s="668"/>
      <c r="BQ189" s="668"/>
      <c r="BR189" s="668"/>
      <c r="BS189" s="333"/>
      <c r="BT189" s="333"/>
      <c r="BU189" s="333"/>
      <c r="BV189" s="333"/>
      <c r="BW189" s="333"/>
      <c r="BX189" s="333"/>
      <c r="BY189" s="333"/>
      <c r="BZ189" s="333"/>
      <c r="CA189" s="333"/>
      <c r="CB189" s="333"/>
      <c r="CC189" s="213"/>
      <c r="CD189" s="213"/>
      <c r="CE189" s="213"/>
      <c r="CF189" s="213"/>
      <c r="CG189" s="213"/>
      <c r="CH189" s="213"/>
      <c r="CI189" s="213"/>
      <c r="CJ189" s="213"/>
      <c r="CK189" s="213"/>
      <c r="CL189" s="213"/>
    </row>
    <row r="190" spans="1:90" s="36" customFormat="1">
      <c r="A190" s="266" t="s">
        <v>397</v>
      </c>
      <c r="G190" s="92"/>
      <c r="H190" s="92"/>
      <c r="I190" s="88"/>
      <c r="J190" s="88"/>
      <c r="K190" s="88"/>
      <c r="L190" s="88"/>
      <c r="M190" s="92"/>
      <c r="N190" s="39"/>
      <c r="O190" s="39"/>
      <c r="P190" s="39"/>
      <c r="Q190" s="39"/>
      <c r="R190" s="92"/>
      <c r="S190" s="39"/>
      <c r="T190" s="39"/>
      <c r="U190" s="39"/>
      <c r="V190" s="39"/>
      <c r="W190" s="92"/>
      <c r="X190" s="39"/>
      <c r="Y190" s="39"/>
      <c r="Z190" s="39"/>
      <c r="AA190" s="39"/>
      <c r="AB190" s="92"/>
      <c r="AC190" s="39"/>
      <c r="AD190" s="39"/>
      <c r="AE190" s="39"/>
      <c r="AF190" s="39"/>
      <c r="AG190" s="92"/>
      <c r="AH190" s="39"/>
      <c r="AI190" s="39"/>
      <c r="AJ190" s="39"/>
      <c r="AK190" s="39"/>
      <c r="AL190" s="92"/>
      <c r="AM190" s="39"/>
      <c r="AN190" s="39"/>
      <c r="AO190" s="39"/>
      <c r="AP190" s="39"/>
      <c r="AQ190" s="92"/>
      <c r="AR190" s="333"/>
      <c r="AS190" s="333"/>
      <c r="AT190" s="92"/>
      <c r="AU190" s="92"/>
      <c r="AV190" s="92"/>
      <c r="AW190" s="92"/>
      <c r="AX190" s="92"/>
      <c r="AY190" s="333"/>
      <c r="AZ190" s="636"/>
      <c r="BA190" s="636"/>
      <c r="BB190" s="636"/>
      <c r="BC190" s="636"/>
      <c r="BD190" s="333"/>
      <c r="BE190" s="636"/>
      <c r="BF190" s="636"/>
      <c r="BG190" s="636"/>
      <c r="BH190" s="636"/>
      <c r="BI190" s="333"/>
      <c r="BJ190" s="636"/>
      <c r="BK190" s="636"/>
      <c r="BL190" s="636"/>
      <c r="BM190" s="636"/>
      <c r="BN190" s="333"/>
      <c r="BO190" s="333"/>
      <c r="BP190" s="668"/>
      <c r="BQ190" s="668"/>
      <c r="BR190" s="668"/>
      <c r="BS190" s="333"/>
      <c r="BT190" s="333"/>
      <c r="BU190" s="333"/>
      <c r="BV190" s="333"/>
      <c r="BW190" s="333"/>
      <c r="BX190" s="333"/>
      <c r="BY190" s="333"/>
      <c r="BZ190" s="333"/>
      <c r="CA190" s="333"/>
      <c r="CB190" s="333"/>
      <c r="CC190" s="213"/>
      <c r="CD190" s="213"/>
      <c r="CE190" s="213"/>
      <c r="CF190" s="213"/>
      <c r="CG190" s="213"/>
      <c r="CH190" s="213"/>
      <c r="CI190" s="213"/>
      <c r="CJ190" s="213"/>
      <c r="CK190" s="213"/>
      <c r="CL190" s="213"/>
    </row>
    <row r="191" spans="1:90" s="36" customFormat="1">
      <c r="G191" s="92"/>
      <c r="H191" s="92"/>
      <c r="I191" s="88"/>
      <c r="J191" s="88"/>
      <c r="K191" s="88"/>
      <c r="L191" s="88"/>
      <c r="M191" s="92"/>
      <c r="N191" s="39"/>
      <c r="O191" s="39"/>
      <c r="P191" s="39"/>
      <c r="Q191" s="39"/>
      <c r="R191" s="92"/>
      <c r="S191" s="39"/>
      <c r="T191" s="39"/>
      <c r="U191" s="39"/>
      <c r="V191" s="39"/>
      <c r="W191" s="92"/>
      <c r="X191" s="39"/>
      <c r="Y191" s="39"/>
      <c r="Z191" s="39"/>
      <c r="AA191" s="39"/>
      <c r="AB191" s="92"/>
      <c r="AC191" s="39"/>
      <c r="AD191" s="39"/>
      <c r="AE191" s="39"/>
      <c r="AF191" s="39"/>
      <c r="AG191" s="92"/>
      <c r="AH191" s="39"/>
      <c r="AI191" s="39"/>
      <c r="AJ191" s="39"/>
      <c r="AK191" s="39"/>
      <c r="AL191" s="92"/>
      <c r="AM191" s="39"/>
      <c r="AN191" s="39"/>
      <c r="AO191" s="39"/>
      <c r="AP191" s="39"/>
      <c r="AQ191" s="92"/>
      <c r="AR191" s="333"/>
      <c r="AS191" s="333"/>
      <c r="AT191" s="92"/>
      <c r="AU191" s="92"/>
      <c r="AV191" s="92"/>
      <c r="AW191" s="92"/>
      <c r="AX191" s="92"/>
      <c r="AY191" s="333"/>
      <c r="AZ191" s="636"/>
      <c r="BA191" s="636"/>
      <c r="BB191" s="636"/>
      <c r="BC191" s="636"/>
      <c r="BD191" s="333"/>
      <c r="BE191" s="636"/>
      <c r="BF191" s="636"/>
      <c r="BG191" s="636"/>
      <c r="BH191" s="636"/>
      <c r="BI191" s="333"/>
      <c r="BJ191" s="636"/>
      <c r="BK191" s="636"/>
      <c r="BL191" s="636"/>
      <c r="BM191" s="636"/>
      <c r="BN191" s="333"/>
      <c r="BO191" s="333"/>
      <c r="BP191" s="668"/>
      <c r="BQ191" s="668"/>
      <c r="BR191" s="668"/>
      <c r="BS191" s="333"/>
      <c r="BT191" s="333"/>
      <c r="BU191" s="333"/>
      <c r="BV191" s="333"/>
      <c r="BW191" s="333"/>
      <c r="BX191" s="333"/>
      <c r="BY191" s="333"/>
      <c r="BZ191" s="333"/>
      <c r="CA191" s="333"/>
      <c r="CB191" s="333"/>
      <c r="CC191" s="213"/>
      <c r="CD191" s="213"/>
      <c r="CE191" s="213"/>
      <c r="CF191" s="213"/>
      <c r="CG191" s="213"/>
      <c r="CH191" s="213"/>
      <c r="CI191" s="213"/>
      <c r="CJ191" s="213"/>
      <c r="CK191" s="213"/>
      <c r="CL191" s="213"/>
    </row>
    <row r="192" spans="1:90" s="428" customFormat="1">
      <c r="A192" s="428" t="s">
        <v>398</v>
      </c>
      <c r="G192" s="299"/>
      <c r="H192" s="299"/>
      <c r="I192" s="429"/>
      <c r="J192" s="429"/>
      <c r="K192" s="429"/>
      <c r="L192" s="429"/>
      <c r="M192" s="299" t="e">
        <f>+IS!M29/IS!M25</f>
        <v>#REF!</v>
      </c>
      <c r="N192" s="430"/>
      <c r="O192" s="430"/>
      <c r="P192" s="430"/>
      <c r="Q192" s="430"/>
      <c r="R192" s="299">
        <f>+IS!R29/IS!R25</f>
        <v>0.29089399909854835</v>
      </c>
      <c r="S192" s="430"/>
      <c r="T192" s="430"/>
      <c r="U192" s="430"/>
      <c r="V192" s="430"/>
      <c r="W192" s="299">
        <f>+IS!W29/IS!W25</f>
        <v>0.2070423816664631</v>
      </c>
      <c r="X192" s="430">
        <f>+IS!X29/IS!X25</f>
        <v>0.28800143860230792</v>
      </c>
      <c r="Y192" s="430">
        <f>+IS!Y29/IS!Y25</f>
        <v>0.29276122439752228</v>
      </c>
      <c r="Z192" s="430">
        <f>+IS!Z29/IS!Z25</f>
        <v>0.27671412228458253</v>
      </c>
      <c r="AA192" s="430">
        <f>+IS!AA29/IS!AA25</f>
        <v>0.32383595350751843</v>
      </c>
      <c r="AB192" s="299">
        <f>+IS!AB29/IS!AB25</f>
        <v>0.29787346021203509</v>
      </c>
      <c r="AC192" s="430">
        <f>+IS!AC29/IS!AC25</f>
        <v>0.2100000161885906</v>
      </c>
      <c r="AD192" s="430"/>
      <c r="AE192" s="430"/>
      <c r="AF192" s="430"/>
      <c r="AG192" s="299">
        <f>+IS!AG29/IS!AG25</f>
        <v>5.6496067758385927E-2</v>
      </c>
      <c r="AH192" s="430"/>
      <c r="AI192" s="430"/>
      <c r="AJ192" s="430"/>
      <c r="AK192" s="430"/>
      <c r="AL192" s="299">
        <f>+IS!AL29/IS!AL25</f>
        <v>0.78786912684812249</v>
      </c>
      <c r="AM192" s="430"/>
      <c r="AN192" s="430"/>
      <c r="AO192" s="430"/>
      <c r="AP192" s="430"/>
      <c r="AQ192" s="299">
        <f>+IS!AM29/IS!AM25</f>
        <v>0.51348474402208488</v>
      </c>
      <c r="AR192" s="300" t="e">
        <f>+IS!#REF!/IS!#REF!</f>
        <v>#REF!</v>
      </c>
      <c r="AS192" s="300" t="e">
        <f>+IS!#REF!/IS!#REF!</f>
        <v>#REF!</v>
      </c>
      <c r="AT192" s="299">
        <f>+IS!AU29/IS!AU25</f>
        <v>0.13219789288087197</v>
      </c>
      <c r="AU192" s="299"/>
      <c r="AV192" s="299"/>
      <c r="AW192" s="299"/>
      <c r="AX192" s="299"/>
      <c r="AY192" s="431">
        <f>+IS!AZ29/IS!AZ25</f>
        <v>0.71562994850230732</v>
      </c>
      <c r="AZ192" s="669"/>
      <c r="BA192" s="669"/>
      <c r="BB192" s="669"/>
      <c r="BC192" s="669"/>
      <c r="BD192" s="431">
        <f>+IS!BE29/IS!BE25</f>
        <v>1.3732872774256468E-2</v>
      </c>
      <c r="BE192" s="669"/>
      <c r="BF192" s="669"/>
      <c r="BG192" s="669"/>
      <c r="BH192" s="669"/>
      <c r="BI192" s="431">
        <f>+IS!BJ29/IS!BJ25</f>
        <v>0.22459426330121046</v>
      </c>
      <c r="BJ192" s="669"/>
      <c r="BK192" s="669"/>
      <c r="BL192" s="669"/>
      <c r="BM192" s="669"/>
      <c r="BN192" s="431">
        <f>+IS!BP29/IS!BP25</f>
        <v>0.24019916455632043</v>
      </c>
      <c r="BO192" s="431"/>
      <c r="BP192" s="668"/>
      <c r="BQ192" s="668"/>
      <c r="BR192" s="668">
        <f>+IS!BU29/IS!BU25</f>
        <v>0.31</v>
      </c>
      <c r="BS192" s="431">
        <f>+IS!BV29/IS!BV25</f>
        <v>0.31</v>
      </c>
      <c r="BT192" s="431">
        <f>+IS!BW29/IS!BW25</f>
        <v>0.31</v>
      </c>
      <c r="BU192" s="431">
        <f>+IS!BX29/IS!BX25</f>
        <v>0.31</v>
      </c>
      <c r="BV192" s="431">
        <f>+IS!BY29/IS!BY25</f>
        <v>0.31</v>
      </c>
      <c r="BW192" s="431">
        <f>+IS!BZ29/IS!BZ25</f>
        <v>0.31</v>
      </c>
      <c r="BX192" s="431">
        <f>+IS!CA29/IS!CA25</f>
        <v>0.31</v>
      </c>
      <c r="BY192" s="431">
        <f>+IS!CB29/IS!CB25</f>
        <v>0.31</v>
      </c>
      <c r="BZ192" s="431">
        <f>+IS!CC29/IS!CC25</f>
        <v>0.31</v>
      </c>
      <c r="CA192" s="431">
        <f>+IS!CD29/IS!CD25</f>
        <v>0.31</v>
      </c>
      <c r="CB192" s="431">
        <f>+IS!CE29/IS!CE25</f>
        <v>0.31</v>
      </c>
      <c r="CC192" s="779"/>
      <c r="CD192" s="779"/>
      <c r="CE192" s="779"/>
      <c r="CF192" s="779"/>
      <c r="CG192" s="779"/>
      <c r="CH192" s="779"/>
      <c r="CI192" s="779"/>
      <c r="CJ192" s="779"/>
      <c r="CK192" s="779"/>
      <c r="CL192" s="779"/>
    </row>
    <row r="193" spans="1:90" s="36" customFormat="1">
      <c r="A193" s="36" t="s">
        <v>218</v>
      </c>
      <c r="G193" s="92"/>
      <c r="H193" s="92"/>
      <c r="I193" s="88"/>
      <c r="J193" s="88"/>
      <c r="K193" s="88"/>
      <c r="L193" s="88"/>
      <c r="M193" s="92">
        <f>16</f>
        <v>16</v>
      </c>
      <c r="N193" s="39"/>
      <c r="O193" s="39"/>
      <c r="P193" s="39"/>
      <c r="Q193" s="39"/>
      <c r="R193" s="92">
        <f>28.7</f>
        <v>28.7</v>
      </c>
      <c r="S193" s="39"/>
      <c r="T193" s="39"/>
      <c r="U193" s="39"/>
      <c r="V193" s="39"/>
      <c r="W193" s="92">
        <f>40</f>
        <v>40</v>
      </c>
      <c r="X193" s="39"/>
      <c r="Y193" s="39"/>
      <c r="Z193" s="39"/>
      <c r="AA193" s="39"/>
      <c r="AB193" s="92">
        <f>40.5</f>
        <v>40.5</v>
      </c>
      <c r="AC193" s="39">
        <f>+AC196*IS!AC12</f>
        <v>9.2498850000000008</v>
      </c>
      <c r="AD193" s="39">
        <f>+AD196*IS!AD12</f>
        <v>6.9876500000000004</v>
      </c>
      <c r="AE193" s="39">
        <f>+AE196*IS!AE12</f>
        <v>7.7681800000000001</v>
      </c>
      <c r="AF193" s="39">
        <f>+AF196*IS!AF12</f>
        <v>8.0924099999999992</v>
      </c>
      <c r="AG193" s="92"/>
      <c r="AH193" s="39">
        <f>+AH196*IS!AH12</f>
        <v>11.165915</v>
      </c>
      <c r="AI193" s="39"/>
      <c r="AJ193" s="39">
        <f>+AJ196*IS!AL12</f>
        <v>62.229979999999998</v>
      </c>
      <c r="AK193" s="39">
        <f>+AK196*IS!AM12</f>
        <v>21.687159999999999</v>
      </c>
      <c r="AL193" s="92"/>
      <c r="AM193" s="39">
        <f>+AM196*IS!AZ12</f>
        <v>92.885990000000007</v>
      </c>
      <c r="AN193" s="39">
        <f>+AN196*IS!BE12</f>
        <v>114.74926499999999</v>
      </c>
      <c r="AO193" s="39">
        <f>+AO196*IS!BJ12</f>
        <v>124.57961999999999</v>
      </c>
      <c r="AP193" s="39">
        <f>+AP196*IS!BV12</f>
        <v>156.31584252741513</v>
      </c>
      <c r="AQ193" s="92"/>
      <c r="AR193" s="333"/>
      <c r="AS193" s="333"/>
      <c r="AT193" s="92"/>
      <c r="AU193" s="92"/>
      <c r="AV193" s="92"/>
      <c r="AW193" s="92"/>
      <c r="AX193" s="92"/>
      <c r="AY193" s="333"/>
      <c r="AZ193" s="636"/>
      <c r="BA193" s="636"/>
      <c r="BB193" s="636"/>
      <c r="BC193" s="636"/>
      <c r="BD193" s="333"/>
      <c r="BE193" s="636"/>
      <c r="BF193" s="636"/>
      <c r="BG193" s="636"/>
      <c r="BH193" s="636"/>
      <c r="BI193" s="333"/>
      <c r="BJ193" s="636"/>
      <c r="BK193" s="636"/>
      <c r="BL193" s="636"/>
      <c r="BM193" s="636"/>
      <c r="BN193" s="333"/>
      <c r="BO193" s="333"/>
      <c r="BP193" s="668"/>
      <c r="BQ193" s="668"/>
      <c r="BR193" s="668"/>
      <c r="BS193" s="333"/>
      <c r="BT193" s="333"/>
      <c r="BU193" s="333"/>
      <c r="BV193" s="333"/>
      <c r="BW193" s="333"/>
      <c r="BX193" s="333"/>
      <c r="BY193" s="333"/>
      <c r="BZ193" s="333"/>
      <c r="CA193" s="333"/>
      <c r="CB193" s="333"/>
      <c r="CC193" s="213"/>
      <c r="CD193" s="213"/>
      <c r="CE193" s="213"/>
      <c r="CF193" s="213"/>
      <c r="CG193" s="213"/>
      <c r="CH193" s="213"/>
      <c r="CI193" s="213"/>
      <c r="CJ193" s="213"/>
      <c r="CK193" s="213"/>
      <c r="CL193" s="213"/>
    </row>
    <row r="194" spans="1:90" s="36" customFormat="1">
      <c r="A194" s="36" t="s">
        <v>399</v>
      </c>
      <c r="G194" s="92"/>
      <c r="H194" s="92"/>
      <c r="I194" s="88"/>
      <c r="J194" s="88"/>
      <c r="K194" s="88"/>
      <c r="L194" s="88"/>
      <c r="M194" s="92">
        <f>81+(-230)</f>
        <v>-149</v>
      </c>
      <c r="N194" s="39"/>
      <c r="O194" s="39"/>
      <c r="P194" s="39"/>
      <c r="Q194" s="39"/>
      <c r="R194" s="92">
        <f>297+(-10)</f>
        <v>287</v>
      </c>
      <c r="S194" s="39"/>
      <c r="T194" s="39"/>
      <c r="U194" s="39"/>
      <c r="V194" s="39"/>
      <c r="W194" s="92">
        <f>464+(-65)</f>
        <v>399</v>
      </c>
      <c r="X194" s="39"/>
      <c r="Y194" s="39"/>
      <c r="Z194" s="39"/>
      <c r="AA194" s="39"/>
      <c r="AB194" s="92">
        <f>1027+(-5)</f>
        <v>1022</v>
      </c>
      <c r="AC194" s="39">
        <f>+AC195-AC193</f>
        <v>120.471115</v>
      </c>
      <c r="AD194" s="39">
        <f>+AD195-AD193</f>
        <v>26.291350000000001</v>
      </c>
      <c r="AE194" s="39">
        <f>+AE195-AE193</f>
        <v>57.331819999999993</v>
      </c>
      <c r="AF194" s="39">
        <f>+AF195-AF193</f>
        <v>-138.19241</v>
      </c>
      <c r="AG194" s="92"/>
      <c r="AH194" s="39">
        <f>+AH195-AH193</f>
        <v>10.886285000000006</v>
      </c>
      <c r="AI194" s="39"/>
      <c r="AJ194" s="39">
        <f>+AJ195-AJ193</f>
        <v>-259.92998</v>
      </c>
      <c r="AK194" s="39">
        <f>+AK195-AK193</f>
        <v>-199.68716000000001</v>
      </c>
      <c r="AL194" s="92"/>
      <c r="AM194" s="39">
        <f>+AM195-AM193</f>
        <v>337.34501</v>
      </c>
      <c r="AN194" s="39">
        <f>+AN195-AN193</f>
        <v>-59.097264999999993</v>
      </c>
      <c r="AO194" s="39">
        <f>+AO195-AO193</f>
        <v>1469.1093800000001</v>
      </c>
      <c r="AP194" s="39">
        <f>+AP195-AP193</f>
        <v>3232.3499512875992</v>
      </c>
      <c r="AQ194" s="92"/>
      <c r="AR194" s="333"/>
      <c r="AS194" s="333"/>
      <c r="AT194" s="92"/>
      <c r="AU194" s="92"/>
      <c r="AV194" s="92"/>
      <c r="AW194" s="92"/>
      <c r="AX194" s="92"/>
      <c r="AY194" s="333"/>
      <c r="AZ194" s="636"/>
      <c r="BA194" s="636"/>
      <c r="BB194" s="636"/>
      <c r="BC194" s="636"/>
      <c r="BD194" s="333"/>
      <c r="BE194" s="636"/>
      <c r="BF194" s="636"/>
      <c r="BG194" s="636"/>
      <c r="BH194" s="636"/>
      <c r="BI194" s="333"/>
      <c r="BJ194" s="636"/>
      <c r="BK194" s="636"/>
      <c r="BL194" s="636"/>
      <c r="BM194" s="636"/>
      <c r="BN194" s="333"/>
      <c r="BO194" s="333"/>
      <c r="BP194" s="668"/>
      <c r="BQ194" s="668"/>
      <c r="BR194" s="668"/>
      <c r="BS194" s="333"/>
      <c r="BT194" s="333"/>
      <c r="BU194" s="333"/>
      <c r="BV194" s="333"/>
      <c r="BW194" s="333"/>
      <c r="BX194" s="333"/>
      <c r="BY194" s="333"/>
      <c r="BZ194" s="333"/>
      <c r="CA194" s="333"/>
      <c r="CB194" s="333"/>
      <c r="CC194" s="213"/>
      <c r="CD194" s="213"/>
      <c r="CE194" s="213"/>
      <c r="CF194" s="213"/>
      <c r="CG194" s="213"/>
      <c r="CH194" s="213"/>
      <c r="CI194" s="213"/>
      <c r="CJ194" s="213"/>
      <c r="CK194" s="213"/>
      <c r="CL194" s="213"/>
    </row>
    <row r="195" spans="1:90" s="100" customFormat="1">
      <c r="G195" s="101"/>
      <c r="H195" s="101"/>
      <c r="I195" s="39"/>
      <c r="J195" s="39"/>
      <c r="K195" s="39"/>
      <c r="L195" s="39"/>
      <c r="M195" s="101">
        <f>SUM(M193:M194)</f>
        <v>-133</v>
      </c>
      <c r="N195" s="39"/>
      <c r="O195" s="39"/>
      <c r="P195" s="39"/>
      <c r="Q195" s="39"/>
      <c r="R195" s="101">
        <f>SUM(R193:R194)</f>
        <v>315.7</v>
      </c>
      <c r="S195" s="39"/>
      <c r="T195" s="39"/>
      <c r="U195" s="39"/>
      <c r="V195" s="39"/>
      <c r="W195" s="101">
        <f>SUM(W193:W194)</f>
        <v>439</v>
      </c>
      <c r="X195" s="39"/>
      <c r="Y195" s="39"/>
      <c r="Z195" s="39"/>
      <c r="AA195" s="39"/>
      <c r="AB195" s="101">
        <f>SUM(AB193:AB194)</f>
        <v>1062.5</v>
      </c>
      <c r="AC195" s="39">
        <f>+IS!AC29</f>
        <v>129.721</v>
      </c>
      <c r="AD195" s="39">
        <f>+IS!AD29</f>
        <v>33.279000000000003</v>
      </c>
      <c r="AE195" s="39">
        <f>+IS!AE29</f>
        <v>65.099999999999994</v>
      </c>
      <c r="AF195" s="39">
        <f>+IS!AF29</f>
        <v>-130.1</v>
      </c>
      <c r="AG195" s="101"/>
      <c r="AH195" s="39">
        <f>+AH198*IS!AH25</f>
        <v>22.052200000000006</v>
      </c>
      <c r="AI195" s="39"/>
      <c r="AJ195" s="39">
        <f>+IS!AL29</f>
        <v>-197.7</v>
      </c>
      <c r="AK195" s="39">
        <f>+IS!AM29</f>
        <v>-178</v>
      </c>
      <c r="AL195" s="101"/>
      <c r="AM195" s="39">
        <f>+IS!AZ29</f>
        <v>430.23099999999999</v>
      </c>
      <c r="AN195" s="39">
        <f>+IS!BE29</f>
        <v>55.652000000000001</v>
      </c>
      <c r="AO195" s="39">
        <f>+IS!BJ29</f>
        <v>1593.6890000000001</v>
      </c>
      <c r="AP195" s="39">
        <f>+IS!BV29</f>
        <v>3388.6657938150142</v>
      </c>
      <c r="AQ195" s="101"/>
      <c r="AR195" s="432"/>
      <c r="AS195" s="432"/>
      <c r="AT195" s="101"/>
      <c r="AU195" s="101"/>
      <c r="AV195" s="101"/>
      <c r="AW195" s="101"/>
      <c r="AX195" s="101"/>
      <c r="AY195" s="432"/>
      <c r="AZ195" s="690"/>
      <c r="BA195" s="690"/>
      <c r="BB195" s="690"/>
      <c r="BC195" s="690"/>
      <c r="BD195" s="432"/>
      <c r="BE195" s="690"/>
      <c r="BF195" s="690"/>
      <c r="BG195" s="690"/>
      <c r="BH195" s="690"/>
      <c r="BI195" s="432"/>
      <c r="BJ195" s="690"/>
      <c r="BK195" s="690"/>
      <c r="BL195" s="690"/>
      <c r="BM195" s="690"/>
      <c r="BN195" s="432"/>
      <c r="BO195" s="432"/>
      <c r="BP195" s="668"/>
      <c r="BQ195" s="668"/>
      <c r="BR195" s="668"/>
      <c r="BS195" s="432"/>
      <c r="BT195" s="432"/>
      <c r="BU195" s="432"/>
      <c r="BV195" s="432"/>
      <c r="BW195" s="432"/>
      <c r="BX195" s="432"/>
      <c r="BY195" s="432"/>
      <c r="BZ195" s="432"/>
      <c r="CA195" s="432"/>
      <c r="CB195" s="432"/>
      <c r="CC195" s="749"/>
      <c r="CD195" s="749"/>
      <c r="CE195" s="749"/>
      <c r="CF195" s="749"/>
      <c r="CG195" s="749"/>
      <c r="CH195" s="749"/>
      <c r="CI195" s="749"/>
      <c r="CJ195" s="749"/>
      <c r="CK195" s="749"/>
      <c r="CL195" s="749"/>
    </row>
    <row r="196" spans="1:90" s="34" customFormat="1">
      <c r="A196" s="34" t="s">
        <v>218</v>
      </c>
      <c r="G196" s="260"/>
      <c r="H196" s="260"/>
      <c r="I196" s="188"/>
      <c r="J196" s="188"/>
      <c r="K196" s="188"/>
      <c r="L196" s="188"/>
      <c r="M196" s="260">
        <f>+M193/IS!M12</f>
        <v>5.3475828591252814E-3</v>
      </c>
      <c r="N196" s="433"/>
      <c r="O196" s="433"/>
      <c r="P196" s="433"/>
      <c r="Q196" s="433"/>
      <c r="R196" s="260">
        <f>+R193/IS!R12</f>
        <v>7.3916568540490311E-3</v>
      </c>
      <c r="S196" s="433"/>
      <c r="T196" s="433"/>
      <c r="U196" s="433"/>
      <c r="V196" s="433"/>
      <c r="W196" s="260">
        <f>+W193/IS!W12</f>
        <v>7.5763889415027003E-3</v>
      </c>
      <c r="X196" s="433"/>
      <c r="Y196" s="433"/>
      <c r="Z196" s="433"/>
      <c r="AA196" s="433"/>
      <c r="AB196" s="260">
        <f>+AB193/IS!AB12</f>
        <v>5.0907120900641244E-3</v>
      </c>
      <c r="AC196" s="188">
        <v>5.0000000000000001E-3</v>
      </c>
      <c r="AD196" s="188">
        <v>5.0000000000000001E-3</v>
      </c>
      <c r="AE196" s="188">
        <v>5.0000000000000001E-3</v>
      </c>
      <c r="AF196" s="188">
        <v>5.0000000000000001E-3</v>
      </c>
      <c r="AG196" s="260">
        <v>5.0000000000000001E-3</v>
      </c>
      <c r="AH196" s="188">
        <v>5.0000000000000001E-3</v>
      </c>
      <c r="AI196" s="188"/>
      <c r="AJ196" s="188">
        <v>5.0000000000000001E-3</v>
      </c>
      <c r="AK196" s="188">
        <v>5.0000000000000001E-3</v>
      </c>
      <c r="AL196" s="260">
        <v>5.0000000000000001E-3</v>
      </c>
      <c r="AM196" s="188">
        <v>5.0000000000000001E-3</v>
      </c>
      <c r="AN196" s="188">
        <v>5.0000000000000001E-3</v>
      </c>
      <c r="AO196" s="188">
        <v>5.0000000000000001E-3</v>
      </c>
      <c r="AP196" s="188">
        <v>5.0000000000000001E-3</v>
      </c>
      <c r="AQ196" s="260">
        <v>5.0000000000000001E-3</v>
      </c>
      <c r="AR196" s="261">
        <v>5.0000000000000001E-3</v>
      </c>
      <c r="AS196" s="261">
        <v>5.0000000000000001E-3</v>
      </c>
      <c r="AT196" s="260">
        <v>5.0000000000000001E-3</v>
      </c>
      <c r="AU196" s="260"/>
      <c r="AV196" s="260"/>
      <c r="AW196" s="260"/>
      <c r="AX196" s="260"/>
      <c r="AY196" s="261">
        <v>5.0000000000000001E-3</v>
      </c>
      <c r="AZ196" s="672"/>
      <c r="BA196" s="672"/>
      <c r="BB196" s="672"/>
      <c r="BC196" s="672"/>
      <c r="BD196" s="261">
        <v>5.0000000000000001E-3</v>
      </c>
      <c r="BE196" s="672"/>
      <c r="BF196" s="672"/>
      <c r="BG196" s="672"/>
      <c r="BH196" s="672"/>
      <c r="BI196" s="261">
        <v>5.0000000000000001E-3</v>
      </c>
      <c r="BJ196" s="672"/>
      <c r="BK196" s="672"/>
      <c r="BL196" s="672"/>
      <c r="BM196" s="672"/>
      <c r="BN196" s="261">
        <v>5.0000000000000001E-3</v>
      </c>
      <c r="BO196" s="261"/>
      <c r="BP196" s="668"/>
      <c r="BQ196" s="668"/>
      <c r="BR196" s="668">
        <v>5.0000000000000001E-3</v>
      </c>
      <c r="BS196" s="261">
        <v>5.0000000000000001E-3</v>
      </c>
      <c r="BT196" s="261">
        <v>5.0000000000000001E-3</v>
      </c>
      <c r="BU196" s="261">
        <v>5.0000000000000001E-3</v>
      </c>
      <c r="BV196" s="261">
        <v>5.0000000000000001E-3</v>
      </c>
      <c r="BW196" s="261">
        <v>5.0000000000000001E-3</v>
      </c>
      <c r="BX196" s="261">
        <v>5.0000000000000001E-3</v>
      </c>
      <c r="BY196" s="261">
        <v>5.0000000000000001E-3</v>
      </c>
      <c r="BZ196" s="261">
        <v>5.0000000000000001E-3</v>
      </c>
      <c r="CA196" s="261">
        <v>5.0000000000000001E-3</v>
      </c>
      <c r="CB196" s="261">
        <v>5.0000000000000001E-3</v>
      </c>
      <c r="CC196" s="753"/>
      <c r="CD196" s="753"/>
      <c r="CE196" s="753"/>
      <c r="CF196" s="753"/>
      <c r="CG196" s="753"/>
      <c r="CH196" s="753"/>
      <c r="CI196" s="753"/>
      <c r="CJ196" s="753"/>
      <c r="CK196" s="753"/>
      <c r="CL196" s="753"/>
    </row>
    <row r="197" spans="1:90" s="34" customFormat="1">
      <c r="A197" s="34" t="s">
        <v>399</v>
      </c>
      <c r="G197" s="260"/>
      <c r="H197" s="260"/>
      <c r="I197" s="188"/>
      <c r="J197" s="188"/>
      <c r="K197" s="188"/>
      <c r="L197" s="188"/>
      <c r="M197" s="260" t="e">
        <f>+M194/IS!M25</f>
        <v>#REF!</v>
      </c>
      <c r="N197" s="433"/>
      <c r="O197" s="433"/>
      <c r="P197" s="433"/>
      <c r="Q197" s="433"/>
      <c r="R197" s="260">
        <f>+R194/IS!R25</f>
        <v>0.25615508539246618</v>
      </c>
      <c r="S197" s="433"/>
      <c r="T197" s="433"/>
      <c r="U197" s="433"/>
      <c r="V197" s="433"/>
      <c r="W197" s="260">
        <f>+W194/IS!W25</f>
        <v>0.18809477902634783</v>
      </c>
      <c r="X197" s="433"/>
      <c r="Y197" s="433"/>
      <c r="Z197" s="433"/>
      <c r="AA197" s="433"/>
      <c r="AB197" s="260">
        <f>+AB194/IS!AB25</f>
        <v>0.29553749942887808</v>
      </c>
      <c r="AC197" s="433">
        <f>+AC194/IS!AC25</f>
        <v>0.19502575604765271</v>
      </c>
      <c r="AD197" s="433">
        <f>+AD194/IS!AD25</f>
        <v>6.3958017087030972E-2</v>
      </c>
      <c r="AE197" s="433">
        <f>+AE194/IS!AE25</f>
        <v>0.15712427579327015</v>
      </c>
      <c r="AF197" s="433">
        <v>0.2</v>
      </c>
      <c r="AG197" s="260"/>
      <c r="AH197" s="433">
        <v>0.2</v>
      </c>
      <c r="AI197" s="433"/>
      <c r="AJ197" s="433">
        <f>+AJ194/IS!AL25</f>
        <v>1.0358664966325237</v>
      </c>
      <c r="AK197" s="433">
        <v>0.2</v>
      </c>
      <c r="AL197" s="260"/>
      <c r="AM197" s="433">
        <v>0.2</v>
      </c>
      <c r="AN197" s="433">
        <v>0.2</v>
      </c>
      <c r="AO197" s="433">
        <v>0.2</v>
      </c>
      <c r="AP197" s="433">
        <v>0.2</v>
      </c>
      <c r="AQ197" s="260"/>
      <c r="AR197" s="261"/>
      <c r="AS197" s="261"/>
      <c r="AT197" s="260"/>
      <c r="AU197" s="260"/>
      <c r="AV197" s="260"/>
      <c r="AW197" s="260"/>
      <c r="AX197" s="260"/>
      <c r="AY197" s="261"/>
      <c r="AZ197" s="672"/>
      <c r="BA197" s="672"/>
      <c r="BB197" s="672"/>
      <c r="BC197" s="672"/>
      <c r="BD197" s="261"/>
      <c r="BE197" s="672"/>
      <c r="BF197" s="672"/>
      <c r="BG197" s="672"/>
      <c r="BH197" s="672"/>
      <c r="BI197" s="261"/>
      <c r="BJ197" s="672"/>
      <c r="BK197" s="672"/>
      <c r="BL197" s="672"/>
      <c r="BM197" s="672"/>
      <c r="BN197" s="261"/>
      <c r="BO197" s="261"/>
      <c r="BP197" s="668"/>
      <c r="BQ197" s="668"/>
      <c r="BR197" s="668"/>
      <c r="BS197" s="261"/>
      <c r="BT197" s="261"/>
      <c r="BU197" s="261"/>
      <c r="BV197" s="261"/>
      <c r="BW197" s="261"/>
      <c r="BX197" s="261"/>
      <c r="BY197" s="261"/>
      <c r="BZ197" s="261"/>
      <c r="CA197" s="261"/>
      <c r="CB197" s="261"/>
      <c r="CC197" s="753"/>
      <c r="CD197" s="753"/>
      <c r="CE197" s="753"/>
      <c r="CF197" s="753"/>
      <c r="CG197" s="753"/>
      <c r="CH197" s="753"/>
      <c r="CI197" s="753"/>
      <c r="CJ197" s="753"/>
      <c r="CK197" s="753"/>
      <c r="CL197" s="753"/>
    </row>
    <row r="198" spans="1:90" s="36" customFormat="1">
      <c r="G198" s="92"/>
      <c r="H198" s="92"/>
      <c r="I198" s="88"/>
      <c r="J198" s="88"/>
      <c r="K198" s="88"/>
      <c r="L198" s="88"/>
      <c r="M198" s="92"/>
      <c r="N198" s="39"/>
      <c r="O198" s="39"/>
      <c r="P198" s="39"/>
      <c r="Q198" s="39"/>
      <c r="R198" s="92"/>
      <c r="S198" s="39"/>
      <c r="T198" s="39"/>
      <c r="U198" s="39"/>
      <c r="V198" s="39"/>
      <c r="W198" s="92"/>
      <c r="X198" s="39"/>
      <c r="Y198" s="39"/>
      <c r="Z198" s="39"/>
      <c r="AA198" s="39"/>
      <c r="AB198" s="260">
        <f>+AB195/IS!AB25</f>
        <v>0.30724911266456262</v>
      </c>
      <c r="AC198" s="433">
        <f>+AC195/IS!AC25</f>
        <v>0.2100000161885906</v>
      </c>
      <c r="AD198" s="433">
        <f>+AD195/IS!AD25</f>
        <v>8.0956620737972898E-2</v>
      </c>
      <c r="AE198" s="433">
        <f>+AE195/IS!AE25</f>
        <v>0.17841384337950353</v>
      </c>
      <c r="AF198" s="433">
        <f>+AF195/IS!AF25</f>
        <v>-0.38156856649294263</v>
      </c>
      <c r="AG198" s="260">
        <v>0.35</v>
      </c>
      <c r="AH198" s="433">
        <v>0.2</v>
      </c>
      <c r="AI198" s="433"/>
      <c r="AJ198" s="433">
        <f>+AJ195/IS!AL25</f>
        <v>0.78786912684812249</v>
      </c>
      <c r="AK198" s="433">
        <f>+AK195/IS!AM25</f>
        <v>0.51348474402208488</v>
      </c>
      <c r="AL198" s="260">
        <v>0.35</v>
      </c>
      <c r="AM198" s="433">
        <f>+AM195/IS!AZ25</f>
        <v>0.71562994850230732</v>
      </c>
      <c r="AN198" s="433">
        <f>+AN195/IS!BE25</f>
        <v>1.3732872774256468E-2</v>
      </c>
      <c r="AO198" s="433">
        <f>+AO195/IS!BJ25</f>
        <v>0.22459426330121046</v>
      </c>
      <c r="AP198" s="433">
        <f>+AP195/IS!BV25</f>
        <v>0.31</v>
      </c>
      <c r="AQ198" s="260">
        <v>0.35</v>
      </c>
      <c r="AR198" s="261">
        <v>0.35</v>
      </c>
      <c r="AS198" s="261">
        <v>0.35</v>
      </c>
      <c r="AT198" s="260">
        <v>0.35</v>
      </c>
      <c r="AU198" s="260"/>
      <c r="AV198" s="260"/>
      <c r="AW198" s="260"/>
      <c r="AX198" s="260"/>
      <c r="AY198" s="261">
        <v>0.35</v>
      </c>
      <c r="AZ198" s="672"/>
      <c r="BA198" s="672"/>
      <c r="BB198" s="672"/>
      <c r="BC198" s="672"/>
      <c r="BD198" s="261">
        <v>0.35</v>
      </c>
      <c r="BE198" s="672"/>
      <c r="BF198" s="672"/>
      <c r="BG198" s="672"/>
      <c r="BH198" s="672"/>
      <c r="BI198" s="261">
        <v>0.35</v>
      </c>
      <c r="BJ198" s="672"/>
      <c r="BK198" s="672"/>
      <c r="BL198" s="672"/>
      <c r="BM198" s="672"/>
      <c r="BN198" s="261">
        <v>0.35</v>
      </c>
      <c r="BO198" s="261"/>
      <c r="BP198" s="668"/>
      <c r="BQ198" s="668"/>
      <c r="BR198" s="668">
        <v>0.35</v>
      </c>
      <c r="BS198" s="261">
        <v>0.35</v>
      </c>
      <c r="BT198" s="261">
        <v>0.35</v>
      </c>
      <c r="BU198" s="261">
        <v>0.35</v>
      </c>
      <c r="BV198" s="261">
        <v>0.35</v>
      </c>
      <c r="BW198" s="261">
        <v>0.35</v>
      </c>
      <c r="BX198" s="261">
        <v>0.35</v>
      </c>
      <c r="BY198" s="261">
        <v>0.35</v>
      </c>
      <c r="BZ198" s="261">
        <v>0.35</v>
      </c>
      <c r="CA198" s="261">
        <v>0.35</v>
      </c>
      <c r="CB198" s="261">
        <v>0.35</v>
      </c>
      <c r="CC198" s="213"/>
      <c r="CD198" s="213"/>
      <c r="CE198" s="213"/>
      <c r="CF198" s="213"/>
      <c r="CG198" s="213"/>
      <c r="CH198" s="213"/>
      <c r="CI198" s="213"/>
      <c r="CJ198" s="213"/>
      <c r="CK198" s="213"/>
      <c r="CL198" s="213"/>
    </row>
    <row r="199" spans="1:90">
      <c r="I199" s="40"/>
      <c r="J199" s="40"/>
      <c r="K199" s="40"/>
      <c r="L199" s="40"/>
      <c r="N199" s="40"/>
      <c r="O199" s="40"/>
      <c r="P199" s="40"/>
      <c r="Q199" s="40"/>
      <c r="S199" s="40"/>
      <c r="T199" s="40"/>
      <c r="U199" s="40"/>
      <c r="V199" s="40"/>
      <c r="X199" s="40"/>
      <c r="Y199" s="40"/>
      <c r="Z199" s="40"/>
      <c r="AA199" s="40"/>
      <c r="AC199" s="40"/>
      <c r="AD199" s="40"/>
      <c r="AE199" s="40"/>
      <c r="AF199" s="40"/>
      <c r="AG199" s="10">
        <v>0.1</v>
      </c>
      <c r="AH199" s="40"/>
      <c r="AI199" s="40"/>
      <c r="AJ199" s="40"/>
      <c r="AK199" s="40"/>
      <c r="AL199" s="260">
        <v>0.1</v>
      </c>
      <c r="AM199" s="40"/>
      <c r="AN199" s="40"/>
      <c r="AO199" s="40"/>
      <c r="AP199" s="40"/>
      <c r="AQ199" s="260">
        <v>0.1</v>
      </c>
      <c r="AR199" s="261">
        <v>0.1</v>
      </c>
      <c r="AS199" s="261">
        <v>0.1</v>
      </c>
      <c r="AT199" s="260">
        <v>0.1</v>
      </c>
      <c r="AU199" s="260"/>
      <c r="AV199" s="260"/>
      <c r="AW199" s="260"/>
      <c r="AX199" s="260"/>
      <c r="AY199" s="261">
        <v>0.1</v>
      </c>
      <c r="AZ199" s="672"/>
      <c r="BA199" s="672"/>
      <c r="BB199" s="672"/>
      <c r="BC199" s="672"/>
      <c r="BD199" s="261">
        <v>0.1</v>
      </c>
      <c r="BE199" s="672"/>
      <c r="BF199" s="672"/>
      <c r="BG199" s="672"/>
      <c r="BH199" s="672"/>
      <c r="BI199" s="261">
        <v>0.1</v>
      </c>
      <c r="BJ199" s="672"/>
      <c r="BK199" s="672"/>
      <c r="BL199" s="672"/>
      <c r="BM199" s="672"/>
      <c r="BN199" s="261">
        <v>0.1</v>
      </c>
      <c r="BO199" s="261"/>
      <c r="BP199" s="668"/>
      <c r="BQ199" s="668"/>
      <c r="BR199" s="668">
        <v>0.1</v>
      </c>
      <c r="BS199" s="261">
        <v>0.1</v>
      </c>
      <c r="BT199" s="261">
        <v>0.1</v>
      </c>
      <c r="BU199" s="261">
        <v>0.1</v>
      </c>
      <c r="BV199" s="261">
        <v>0.1</v>
      </c>
      <c r="BW199" s="261">
        <v>0.1</v>
      </c>
      <c r="BX199" s="261">
        <v>0.1</v>
      </c>
      <c r="BY199" s="261">
        <v>0.1</v>
      </c>
      <c r="BZ199" s="261">
        <v>0.1</v>
      </c>
      <c r="CA199" s="261">
        <v>0.1</v>
      </c>
      <c r="CB199" s="261">
        <v>0.1</v>
      </c>
      <c r="CC199" s="269"/>
      <c r="CD199" s="269"/>
      <c r="CE199" s="269"/>
      <c r="CF199" s="269"/>
      <c r="CG199" s="269"/>
      <c r="CH199" s="269"/>
      <c r="CI199" s="269"/>
      <c r="CJ199" s="269"/>
      <c r="CK199" s="269"/>
      <c r="CL199" s="269"/>
    </row>
    <row r="200" spans="1:90">
      <c r="I200" s="40"/>
      <c r="J200" s="40"/>
      <c r="K200" s="40"/>
      <c r="L200" s="40"/>
      <c r="N200" s="40"/>
      <c r="O200" s="40"/>
      <c r="P200" s="40"/>
      <c r="Q200" s="40"/>
      <c r="S200" s="40"/>
      <c r="T200" s="40"/>
      <c r="U200" s="40"/>
      <c r="V200" s="40"/>
      <c r="X200" s="40"/>
      <c r="Y200" s="40"/>
      <c r="Z200" s="40"/>
      <c r="AA200" s="40"/>
      <c r="AC200" s="40"/>
      <c r="AD200" s="40"/>
      <c r="AE200" s="40"/>
      <c r="AF200" s="40"/>
      <c r="AH200" s="40"/>
      <c r="AI200" s="40"/>
      <c r="AJ200" s="40"/>
      <c r="AK200" s="40"/>
      <c r="AL200" s="260"/>
      <c r="AM200" s="40"/>
      <c r="AN200" s="40"/>
      <c r="AO200" s="40"/>
      <c r="AP200" s="40"/>
      <c r="AQ200" s="260"/>
      <c r="AR200" s="261"/>
      <c r="AS200" s="261"/>
      <c r="AT200" s="260"/>
      <c r="AU200" s="260"/>
      <c r="AV200" s="260"/>
      <c r="AW200" s="260"/>
      <c r="AX200" s="260"/>
      <c r="AY200" s="261"/>
      <c r="AZ200" s="672"/>
      <c r="BA200" s="672"/>
      <c r="BB200" s="672"/>
      <c r="BC200" s="672"/>
      <c r="BD200" s="261"/>
      <c r="BE200" s="672"/>
      <c r="BF200" s="672"/>
      <c r="BG200" s="672"/>
      <c r="BH200" s="672"/>
      <c r="BI200" s="261"/>
      <c r="BJ200" s="672"/>
      <c r="BK200" s="672"/>
      <c r="BL200" s="672"/>
      <c r="BM200" s="672"/>
      <c r="BN200" s="261"/>
      <c r="BO200" s="261"/>
      <c r="BP200" s="668"/>
      <c r="BQ200" s="668"/>
      <c r="BR200" s="668"/>
      <c r="BS200" s="261"/>
      <c r="BT200" s="261"/>
      <c r="BU200" s="261"/>
      <c r="BV200" s="261"/>
      <c r="BW200" s="261"/>
      <c r="BX200" s="261"/>
      <c r="BY200" s="261"/>
      <c r="BZ200" s="261"/>
      <c r="CA200" s="261"/>
      <c r="CB200" s="261"/>
      <c r="CC200" s="269"/>
      <c r="CD200" s="269"/>
      <c r="CE200" s="269"/>
      <c r="CF200" s="269"/>
      <c r="CG200" s="269"/>
      <c r="CH200" s="269"/>
      <c r="CI200" s="269"/>
      <c r="CJ200" s="269"/>
      <c r="CK200" s="269"/>
      <c r="CL200" s="269"/>
    </row>
    <row r="201" spans="1:90" s="36" customFormat="1">
      <c r="A201" s="434" t="s">
        <v>472</v>
      </c>
      <c r="B201" s="435"/>
      <c r="G201" s="92"/>
      <c r="H201" s="92"/>
      <c r="I201" s="88"/>
      <c r="J201" s="88"/>
      <c r="K201" s="88"/>
      <c r="L201" s="88"/>
      <c r="M201" s="92"/>
      <c r="N201" s="88"/>
      <c r="O201" s="88"/>
      <c r="P201" s="88"/>
      <c r="Q201" s="88"/>
      <c r="R201" s="92"/>
      <c r="S201" s="88"/>
      <c r="T201" s="88"/>
      <c r="U201" s="88"/>
      <c r="V201" s="88"/>
      <c r="W201" s="92"/>
      <c r="X201" s="88"/>
      <c r="Y201" s="88"/>
      <c r="Z201" s="88"/>
      <c r="AA201" s="88"/>
      <c r="AB201" s="92">
        <f>+IS!AB13+IS!AB15+IS!AB16+IS!AB23</f>
        <v>4599.8230000000003</v>
      </c>
      <c r="AC201" s="88"/>
      <c r="AD201" s="88"/>
      <c r="AE201" s="88"/>
      <c r="AF201" s="88"/>
      <c r="AG201" s="92">
        <f>+IS!AG13+IS!AG15+IS!AG16+IS!AG23</f>
        <v>5025.1040000000003</v>
      </c>
      <c r="AH201" s="88"/>
      <c r="AI201" s="88"/>
      <c r="AJ201" s="88"/>
      <c r="AK201" s="88"/>
      <c r="AL201" s="92">
        <f>+IS!AL13+IS!AL15+IS!AL16+IS!AL23</f>
        <v>12953.682999999999</v>
      </c>
      <c r="AM201" s="88"/>
      <c r="AN201" s="88"/>
      <c r="AO201" s="88"/>
      <c r="AP201" s="88"/>
      <c r="AQ201" s="92">
        <f>+IS!AQ13+IS!AQ15+IS!AQ16+IS!AQ23</f>
        <v>16978.206000000002</v>
      </c>
      <c r="AR201" s="333" t="e">
        <f>+IS!#REF!+IS!#REF!+IS!#REF!+IS!#REF!</f>
        <v>#REF!</v>
      </c>
      <c r="AS201" s="333" t="e">
        <f>+IS!#REF!+IS!#REF!+IS!#REF!+IS!#REF!</f>
        <v>#REF!</v>
      </c>
      <c r="AT201" s="92">
        <f>+IS!AU13+IS!AU15+IS!AU16+IS!AU23</f>
        <v>16639.607999999997</v>
      </c>
      <c r="AU201" s="92"/>
      <c r="AV201" s="92"/>
      <c r="AW201" s="92"/>
      <c r="AX201" s="92"/>
      <c r="AY201" s="333">
        <f>+IS!AZ13+IS!AZ15+IS!AZ16+IS!AZ23</f>
        <v>18925.867999999999</v>
      </c>
      <c r="AZ201" s="636"/>
      <c r="BA201" s="636"/>
      <c r="BB201" s="636"/>
      <c r="BC201" s="636"/>
      <c r="BD201" s="333">
        <f>+IS!BE13+IS!BE15+IS!BE16+IS!BE23</f>
        <v>19584.487999999998</v>
      </c>
      <c r="BE201" s="636"/>
      <c r="BF201" s="636"/>
      <c r="BG201" s="636"/>
      <c r="BH201" s="636"/>
      <c r="BI201" s="333">
        <f>+IS!BJ13+IS!BJ15+IS!BJ16+IS!BJ23</f>
        <v>18741.549000000003</v>
      </c>
      <c r="BJ201" s="636"/>
      <c r="BK201" s="636"/>
      <c r="BL201" s="636"/>
      <c r="BM201" s="636"/>
      <c r="BN201" s="333">
        <f>+IS!BP13+IS!BP15+IS!BP16+IS!BP23</f>
        <v>19819.492999999999</v>
      </c>
      <c r="BO201" s="333"/>
      <c r="BP201" s="668"/>
      <c r="BQ201" s="668"/>
      <c r="BR201" s="668">
        <f>+IS!BU13+IS!BU15+IS!BU16+IS!BU23</f>
        <v>20317.333217639247</v>
      </c>
      <c r="BS201" s="333">
        <f>+IS!BV13+IS!BV15+IS!BV16+IS!BV23</f>
        <v>21460.723180966324</v>
      </c>
      <c r="BT201" s="333">
        <f>+IS!BW13+IS!BW15+IS!BW16+IS!BW23</f>
        <v>22639.959432530006</v>
      </c>
      <c r="BU201" s="333">
        <f>+IS!BX13+IS!BX15+IS!BX16+IS!BX23</f>
        <v>23534.240512940982</v>
      </c>
      <c r="BV201" s="333">
        <f>+IS!BY13+IS!BY15+IS!BY16+IS!BY23</f>
        <v>24932.376882300141</v>
      </c>
      <c r="BW201" s="333">
        <f>+IS!BZ13+IS!BZ15+IS!BZ16+IS!BZ23</f>
        <v>26315.471706664724</v>
      </c>
      <c r="BX201" s="333">
        <f>+IS!CA13+IS!CA15+IS!CA16+IS!CA23</f>
        <v>27725.042382962059</v>
      </c>
      <c r="BY201" s="333">
        <f>+IS!CB13+IS!CB15+IS!CB16+IS!CB23</f>
        <v>29148.598460719837</v>
      </c>
      <c r="BZ201" s="333">
        <f>+IS!CC13+IS!CC15+IS!CC16+IS!CC23</f>
        <v>30572.553454419569</v>
      </c>
      <c r="CA201" s="333">
        <f>+IS!CD13+IS!CD15+IS!CD16+IS!CD23</f>
        <v>31983.149301166191</v>
      </c>
      <c r="CB201" s="333">
        <f>+IS!CE13+IS!CE15+IS!CE16+IS!CE23</f>
        <v>31231.915794166394</v>
      </c>
      <c r="CC201" s="213"/>
      <c r="CD201" s="213"/>
      <c r="CE201" s="213"/>
      <c r="CF201" s="213"/>
      <c r="CG201" s="213"/>
      <c r="CH201" s="213"/>
      <c r="CI201" s="213"/>
      <c r="CJ201" s="213"/>
      <c r="CK201" s="213"/>
      <c r="CL201" s="213"/>
    </row>
    <row r="202" spans="1:90" s="36" customFormat="1">
      <c r="A202" s="434"/>
      <c r="B202" s="435"/>
      <c r="G202" s="92"/>
      <c r="H202" s="92"/>
      <c r="I202" s="88"/>
      <c r="J202" s="88"/>
      <c r="K202" s="88"/>
      <c r="L202" s="88"/>
      <c r="M202" s="92"/>
      <c r="N202" s="88"/>
      <c r="O202" s="88"/>
      <c r="P202" s="88"/>
      <c r="Q202" s="88"/>
      <c r="R202" s="92"/>
      <c r="S202" s="88"/>
      <c r="T202" s="88"/>
      <c r="U202" s="88"/>
      <c r="V202" s="88"/>
      <c r="W202" s="92"/>
      <c r="X202" s="88"/>
      <c r="Y202" s="88"/>
      <c r="Z202" s="88"/>
      <c r="AA202" s="88"/>
      <c r="AB202" s="92"/>
      <c r="AC202" s="88"/>
      <c r="AD202" s="88"/>
      <c r="AE202" s="88"/>
      <c r="AF202" s="88"/>
      <c r="AG202" s="92"/>
      <c r="AH202" s="88"/>
      <c r="AI202" s="88"/>
      <c r="AJ202" s="88"/>
      <c r="AK202" s="88"/>
      <c r="AL202" s="92"/>
      <c r="AM202" s="88"/>
      <c r="AN202" s="88"/>
      <c r="AO202" s="88"/>
      <c r="AP202" s="88"/>
      <c r="AQ202" s="92"/>
      <c r="AR202" s="333"/>
      <c r="AS202" s="333"/>
      <c r="AT202" s="92"/>
      <c r="AU202" s="92"/>
      <c r="AV202" s="92"/>
      <c r="AW202" s="92"/>
      <c r="AX202" s="92"/>
      <c r="AY202" s="333"/>
      <c r="AZ202" s="636"/>
      <c r="BA202" s="636"/>
      <c r="BB202" s="636"/>
      <c r="BC202" s="636"/>
      <c r="BD202" s="333"/>
      <c r="BE202" s="636"/>
      <c r="BF202" s="636"/>
      <c r="BG202" s="636"/>
      <c r="BH202" s="636"/>
      <c r="BI202" s="333"/>
      <c r="BJ202" s="636"/>
      <c r="BK202" s="636"/>
      <c r="BL202" s="636"/>
      <c r="BM202" s="636"/>
      <c r="BN202" s="333"/>
      <c r="BO202" s="333"/>
      <c r="BP202" s="668"/>
      <c r="BQ202" s="668"/>
      <c r="BR202" s="668"/>
      <c r="BS202" s="333"/>
      <c r="BT202" s="333"/>
      <c r="BU202" s="333"/>
      <c r="BV202" s="333"/>
      <c r="BW202" s="333"/>
      <c r="BX202" s="333"/>
      <c r="BY202" s="333"/>
      <c r="BZ202" s="333"/>
      <c r="CA202" s="333"/>
      <c r="CB202" s="333"/>
      <c r="CC202" s="213"/>
      <c r="CD202" s="213"/>
      <c r="CE202" s="213"/>
      <c r="CF202" s="213"/>
      <c r="CG202" s="213"/>
      <c r="CH202" s="213"/>
      <c r="CI202" s="213"/>
      <c r="CJ202" s="213"/>
      <c r="CK202" s="213"/>
      <c r="CL202" s="213"/>
    </row>
    <row r="203" spans="1:90" s="36" customFormat="1">
      <c r="A203" s="434" t="s">
        <v>473</v>
      </c>
      <c r="B203" s="435"/>
      <c r="G203" s="92"/>
      <c r="H203" s="92"/>
      <c r="I203" s="88"/>
      <c r="J203" s="88"/>
      <c r="K203" s="88"/>
      <c r="L203" s="88"/>
      <c r="M203" s="92"/>
      <c r="N203" s="88"/>
      <c r="O203" s="88"/>
      <c r="P203" s="88"/>
      <c r="Q203" s="88"/>
      <c r="R203" s="92"/>
      <c r="S203" s="88"/>
      <c r="T203" s="88"/>
      <c r="U203" s="88"/>
      <c r="V203" s="88"/>
      <c r="W203" s="92"/>
      <c r="X203" s="88"/>
      <c r="Y203" s="88"/>
      <c r="Z203" s="88"/>
      <c r="AA203" s="88"/>
      <c r="AB203" s="92">
        <f>+AB201-AB206</f>
        <v>3698.6620000000003</v>
      </c>
      <c r="AC203" s="88"/>
      <c r="AD203" s="88"/>
      <c r="AE203" s="88"/>
      <c r="AF203" s="88"/>
      <c r="AG203" s="92">
        <f>+AG201-AG206</f>
        <v>3971.8758000000003</v>
      </c>
      <c r="AH203" s="88"/>
      <c r="AI203" s="88"/>
      <c r="AJ203" s="88"/>
      <c r="AK203" s="88"/>
      <c r="AL203" s="92">
        <f>+AL201-AL206</f>
        <v>9736.114959999999</v>
      </c>
      <c r="AM203" s="88"/>
      <c r="AN203" s="88"/>
      <c r="AO203" s="88"/>
      <c r="AP203" s="88"/>
      <c r="AQ203" s="92">
        <f>+AQ201-AQ206</f>
        <v>12884.561095356003</v>
      </c>
      <c r="AR203" s="333" t="e">
        <f>+AR201-AR206</f>
        <v>#REF!</v>
      </c>
      <c r="AS203" s="333" t="e">
        <f>+AS201-AS206</f>
        <v>#REF!</v>
      </c>
      <c r="AT203" s="92">
        <f>+AT201-AT206</f>
        <v>13212.934475845157</v>
      </c>
      <c r="AU203" s="92"/>
      <c r="AV203" s="92"/>
      <c r="AW203" s="92"/>
      <c r="AX203" s="92"/>
      <c r="AY203" s="333">
        <f>+AY201-AY206</f>
        <v>15321.64431277636</v>
      </c>
      <c r="AZ203" s="636"/>
      <c r="BA203" s="636"/>
      <c r="BB203" s="636"/>
      <c r="BC203" s="636"/>
      <c r="BD203" s="333">
        <f>+BD201-BD206</f>
        <v>16338.305443512956</v>
      </c>
      <c r="BE203" s="636"/>
      <c r="BF203" s="636"/>
      <c r="BG203" s="636"/>
      <c r="BH203" s="636"/>
      <c r="BI203" s="333">
        <f>+BI201-BI206</f>
        <v>16059.680443512963</v>
      </c>
      <c r="BJ203" s="636"/>
      <c r="BK203" s="636"/>
      <c r="BL203" s="636"/>
      <c r="BM203" s="636"/>
      <c r="BN203" s="333">
        <f t="shared" ref="BN203:CB203" si="268">+BN201-BN206</f>
        <v>17292.945443512959</v>
      </c>
      <c r="BO203" s="333"/>
      <c r="BP203" s="668"/>
      <c r="BQ203" s="668"/>
      <c r="BR203" s="668">
        <f t="shared" si="268"/>
        <v>17962.101582460971</v>
      </c>
      <c r="BS203" s="333">
        <f t="shared" si="268"/>
        <v>19155.01280492745</v>
      </c>
      <c r="BT203" s="333">
        <f t="shared" si="268"/>
        <v>20314.928216794062</v>
      </c>
      <c r="BU203" s="333">
        <f t="shared" si="268"/>
        <v>21567.927121841079</v>
      </c>
      <c r="BV203" s="333">
        <f t="shared" si="268"/>
        <v>22928.912328721919</v>
      </c>
      <c r="BW203" s="333">
        <f t="shared" si="268"/>
        <v>24274.112775593414</v>
      </c>
      <c r="BX203" s="333">
        <f t="shared" si="268"/>
        <v>25645.030991246302</v>
      </c>
      <c r="BY203" s="333">
        <f t="shared" si="268"/>
        <v>27029.161359632209</v>
      </c>
      <c r="BZ203" s="333">
        <f t="shared" si="268"/>
        <v>28412.901926266783</v>
      </c>
      <c r="CA203" s="333">
        <f t="shared" si="268"/>
        <v>29782.478849829917</v>
      </c>
      <c r="CB203" s="333">
        <f t="shared" si="268"/>
        <v>28989.405829453332</v>
      </c>
      <c r="CC203" s="213"/>
      <c r="CD203" s="213"/>
      <c r="CE203" s="213"/>
      <c r="CF203" s="213"/>
      <c r="CG203" s="213"/>
      <c r="CH203" s="213"/>
      <c r="CI203" s="213"/>
      <c r="CJ203" s="213"/>
      <c r="CK203" s="213"/>
      <c r="CL203" s="213"/>
    </row>
    <row r="204" spans="1:90" s="36" customFormat="1">
      <c r="A204" s="434" t="s">
        <v>474</v>
      </c>
      <c r="B204" s="435"/>
      <c r="G204" s="92"/>
      <c r="H204" s="92"/>
      <c r="I204" s="88"/>
      <c r="J204" s="88"/>
      <c r="K204" s="88"/>
      <c r="L204" s="88"/>
      <c r="M204" s="92"/>
      <c r="N204" s="88"/>
      <c r="O204" s="88"/>
      <c r="P204" s="88"/>
      <c r="Q204" s="88"/>
      <c r="R204" s="92"/>
      <c r="S204" s="88"/>
      <c r="T204" s="88"/>
      <c r="U204" s="88"/>
      <c r="V204" s="88"/>
      <c r="W204" s="92"/>
      <c r="X204" s="88"/>
      <c r="Y204" s="88"/>
      <c r="Z204" s="88"/>
      <c r="AA204" s="88"/>
      <c r="AB204" s="92">
        <f>+AB203*$A$3/AB32</f>
        <v>1762.2410474357266</v>
      </c>
      <c r="AC204" s="88"/>
      <c r="AD204" s="88"/>
      <c r="AE204" s="88"/>
      <c r="AF204" s="88"/>
      <c r="AG204" s="92">
        <f>+AG203*$A$3/AG32</f>
        <v>1587.2862072024766</v>
      </c>
      <c r="AH204" s="88"/>
      <c r="AI204" s="88"/>
      <c r="AJ204" s="88"/>
      <c r="AK204" s="88"/>
      <c r="AL204" s="92">
        <f>+AL203*$A$3/AL32</f>
        <v>2299.5330746467894</v>
      </c>
      <c r="AM204" s="88"/>
      <c r="AN204" s="88"/>
      <c r="AO204" s="88"/>
      <c r="AP204" s="88"/>
      <c r="AQ204" s="92">
        <f>+AQ203*$A$3/AQ32</f>
        <v>3342.3428157819994</v>
      </c>
      <c r="AR204" s="333" t="e">
        <f>+AR203*$A$3/AR32</f>
        <v>#REF!</v>
      </c>
      <c r="AS204" s="333" t="e">
        <f>+AS203*$A$3/AS32</f>
        <v>#REF!</v>
      </c>
      <c r="AT204" s="92">
        <f>+AT203*$A$3/AT32</f>
        <v>2691.5943687983645</v>
      </c>
      <c r="AU204" s="92"/>
      <c r="AV204" s="92"/>
      <c r="AW204" s="92"/>
      <c r="AX204" s="92"/>
      <c r="AY204" s="333">
        <f>+AY203*$A$3/AY32</f>
        <v>2972.5310977441159</v>
      </c>
      <c r="AZ204" s="636"/>
      <c r="BA204" s="636"/>
      <c r="BB204" s="636"/>
      <c r="BC204" s="636"/>
      <c r="BD204" s="333">
        <f>+BD203*$A$3/BD32</f>
        <v>4065.3108527470708</v>
      </c>
      <c r="BE204" s="636"/>
      <c r="BF204" s="636"/>
      <c r="BG204" s="636"/>
      <c r="BH204" s="636"/>
      <c r="BI204" s="333">
        <f t="shared" ref="BI204:CB204" si="269">+BI203*$A$3/BI32</f>
        <v>4022.046171182033</v>
      </c>
      <c r="BJ204" s="636"/>
      <c r="BK204" s="636"/>
      <c r="BL204" s="636"/>
      <c r="BM204" s="636"/>
      <c r="BN204" s="333">
        <f t="shared" si="269"/>
        <v>4370.7914459686681</v>
      </c>
      <c r="BO204" s="333"/>
      <c r="BP204" s="668"/>
      <c r="BQ204" s="668"/>
      <c r="BR204" s="668">
        <f t="shared" si="269"/>
        <v>4440.8229326498349</v>
      </c>
      <c r="BS204" s="333">
        <f t="shared" si="269"/>
        <v>4631.6176110087599</v>
      </c>
      <c r="BT204" s="333">
        <f t="shared" si="269"/>
        <v>4912.0812527506196</v>
      </c>
      <c r="BU204" s="333">
        <f t="shared" si="269"/>
        <v>5215.0521697785407</v>
      </c>
      <c r="BV204" s="333">
        <f t="shared" si="269"/>
        <v>5544.1338110547176</v>
      </c>
      <c r="BW204" s="333">
        <f t="shared" si="269"/>
        <v>5869.3987504999232</v>
      </c>
      <c r="BX204" s="333">
        <f t="shared" si="269"/>
        <v>6200.8821598577733</v>
      </c>
      <c r="BY204" s="333">
        <f t="shared" si="269"/>
        <v>6535.560223267843</v>
      </c>
      <c r="BZ204" s="333">
        <f t="shared" si="269"/>
        <v>6870.1440339267056</v>
      </c>
      <c r="CA204" s="333">
        <f t="shared" si="269"/>
        <v>7201.3031233727042</v>
      </c>
      <c r="CB204" s="333">
        <f t="shared" si="269"/>
        <v>7009.5407369206723</v>
      </c>
      <c r="CC204" s="213"/>
      <c r="CD204" s="213"/>
      <c r="CE204" s="213"/>
      <c r="CF204" s="213"/>
      <c r="CG204" s="213"/>
      <c r="CH204" s="213"/>
      <c r="CI204" s="213"/>
      <c r="CJ204" s="213"/>
      <c r="CK204" s="213"/>
      <c r="CL204" s="213"/>
    </row>
    <row r="205" spans="1:90" s="36" customFormat="1">
      <c r="A205" s="434"/>
      <c r="B205" s="435"/>
      <c r="G205" s="92"/>
      <c r="H205" s="92"/>
      <c r="I205" s="88"/>
      <c r="J205" s="88"/>
      <c r="K205" s="88"/>
      <c r="L205" s="88"/>
      <c r="M205" s="92"/>
      <c r="N205" s="88"/>
      <c r="O205" s="88"/>
      <c r="P205" s="88"/>
      <c r="Q205" s="88"/>
      <c r="R205" s="92"/>
      <c r="S205" s="88"/>
      <c r="T205" s="88"/>
      <c r="U205" s="88"/>
      <c r="V205" s="88"/>
      <c r="W205" s="92"/>
      <c r="X205" s="88"/>
      <c r="Y205" s="88"/>
      <c r="Z205" s="88"/>
      <c r="AA205" s="88"/>
      <c r="AB205" s="92"/>
      <c r="AC205" s="88"/>
      <c r="AD205" s="88"/>
      <c r="AE205" s="88"/>
      <c r="AF205" s="88"/>
      <c r="AG205" s="92"/>
      <c r="AH205" s="88"/>
      <c r="AI205" s="88"/>
      <c r="AJ205" s="88"/>
      <c r="AK205" s="88"/>
      <c r="AL205" s="92"/>
      <c r="AM205" s="88"/>
      <c r="AN205" s="88"/>
      <c r="AO205" s="88"/>
      <c r="AP205" s="88"/>
      <c r="AQ205" s="92"/>
      <c r="AR205" s="333"/>
      <c r="AS205" s="333"/>
      <c r="AT205" s="92"/>
      <c r="AU205" s="92"/>
      <c r="AV205" s="92"/>
      <c r="AW205" s="92"/>
      <c r="AX205" s="92"/>
      <c r="AY205" s="333"/>
      <c r="AZ205" s="636"/>
      <c r="BA205" s="636"/>
      <c r="BB205" s="636"/>
      <c r="BC205" s="636"/>
      <c r="BD205" s="333"/>
      <c r="BE205" s="636"/>
      <c r="BF205" s="636"/>
      <c r="BG205" s="636"/>
      <c r="BH205" s="636"/>
      <c r="BI205" s="333"/>
      <c r="BJ205" s="636"/>
      <c r="BK205" s="636"/>
      <c r="BL205" s="636"/>
      <c r="BM205" s="636"/>
      <c r="BN205" s="333"/>
      <c r="BO205" s="333"/>
      <c r="BP205" s="668"/>
      <c r="BQ205" s="668"/>
      <c r="BR205" s="668"/>
      <c r="BS205" s="333"/>
      <c r="BT205" s="333"/>
      <c r="BU205" s="333"/>
      <c r="BV205" s="333"/>
      <c r="BW205" s="333"/>
      <c r="BX205" s="333"/>
      <c r="BY205" s="333"/>
      <c r="BZ205" s="333"/>
      <c r="CA205" s="333"/>
      <c r="CB205" s="333"/>
      <c r="CC205" s="213"/>
      <c r="CD205" s="213"/>
      <c r="CE205" s="213"/>
      <c r="CF205" s="213"/>
      <c r="CG205" s="213"/>
      <c r="CH205" s="213"/>
      <c r="CI205" s="213"/>
      <c r="CJ205" s="213"/>
      <c r="CK205" s="213"/>
      <c r="CL205" s="213"/>
    </row>
    <row r="206" spans="1:90" s="36" customFormat="1">
      <c r="A206" s="434" t="s">
        <v>475</v>
      </c>
      <c r="B206" s="435"/>
      <c r="G206" s="92"/>
      <c r="H206" s="92"/>
      <c r="I206" s="88"/>
      <c r="J206" s="88"/>
      <c r="K206" s="88"/>
      <c r="L206" s="88"/>
      <c r="M206" s="92"/>
      <c r="N206" s="88"/>
      <c r="O206" s="88"/>
      <c r="P206" s="88"/>
      <c r="Q206" s="88"/>
      <c r="R206" s="92"/>
      <c r="S206" s="88"/>
      <c r="T206" s="88"/>
      <c r="U206" s="88"/>
      <c r="V206" s="88"/>
      <c r="W206" s="92"/>
      <c r="X206" s="88"/>
      <c r="Y206" s="88"/>
      <c r="Z206" s="88"/>
      <c r="AA206" s="88"/>
      <c r="AB206" s="92">
        <f>+(IS!AB23+CFS!K8+CFS!K10)+(20.542+0.884+3.879+40.95+2.684+3.147+2.561+6.975+3.458+0.172+1.272)</f>
        <v>901.16100000000006</v>
      </c>
      <c r="AC206" s="88"/>
      <c r="AD206" s="88"/>
      <c r="AE206" s="88"/>
      <c r="AF206" s="88"/>
      <c r="AG206" s="92">
        <f>+(IS!AG23+CFS!L8+CFS!L10)+(20.542+0.884+3.879+40.95+2.684+3.147+2.561+6.975+3.458+0.172+1.272)*(1+AG5)</f>
        <v>1053.2282</v>
      </c>
      <c r="AH206" s="88"/>
      <c r="AI206" s="88"/>
      <c r="AJ206" s="88"/>
      <c r="AK206" s="88"/>
      <c r="AL206" s="92">
        <f>+(IS!AL23+CFS!M8+CFS!M10)+(20.542+0.884+3.879+40.95+2.684+3.147+2.561+6.975+3.458+0.172+1.272)*(1+AL5)^2</f>
        <v>3217.5680399999997</v>
      </c>
      <c r="AM206" s="88"/>
      <c r="AN206" s="88"/>
      <c r="AO206" s="88"/>
      <c r="AP206" s="88"/>
      <c r="AQ206" s="92">
        <f>+(IS!AQ23+CFS!N8+CFS!N10)+(20.542+0.884+3.879+40.95+2.684+3.147+2.561+6.975+3.458+0.172+1.272)*(1+AQ5)^3</f>
        <v>4093.6449046439998</v>
      </c>
      <c r="AR206" s="333" t="e">
        <f>+(IS!#REF!+CFS!N8+CFS!N10)+(20.542+0.884+3.879+40.95+2.684+3.147+2.561+6.975+3.458+0.172+1.272)*(1+AR5)^4</f>
        <v>#REF!</v>
      </c>
      <c r="AS206" s="333" t="e">
        <f>+(IS!#REF!+CFS!N8+CFS!N10)+(20.542+0.884+3.879+40.95+2.684+3.147+2.561+6.975+3.458+0.172+1.272)*(1+AS5)^4</f>
        <v>#REF!</v>
      </c>
      <c r="AT206" s="92">
        <f>+(IS!AU23+CFS!O8+CFS!O10)+(20.542+0.884+3.879+40.95+2.684+3.147+2.561+6.975+3.458+0.172+1.272)*(1+AT5)^4</f>
        <v>3426.6735241548399</v>
      </c>
      <c r="AU206" s="92"/>
      <c r="AV206" s="92"/>
      <c r="AW206" s="92"/>
      <c r="AX206" s="92"/>
      <c r="AY206" s="333">
        <f>+(IS!AZ23+CFS!P8+CFS!P10)+(20.542+0.884+3.879+40.95+2.684+3.147+2.561+6.975+3.458+0.172+1.272)*(1+AY5)^4</f>
        <v>3604.2236872236399</v>
      </c>
      <c r="AZ206" s="636"/>
      <c r="BA206" s="636"/>
      <c r="BB206" s="636"/>
      <c r="BC206" s="636"/>
      <c r="BD206" s="333">
        <f>+(IS!BE23+CFS!Q8+CFS!Q10)+(20.542+0.884+3.879+40.95+2.684+3.147+2.561+6.975+3.458+0.172+1.272)*(1+BD5)^4</f>
        <v>3246.1825564870405</v>
      </c>
      <c r="BE206" s="636"/>
      <c r="BF206" s="636"/>
      <c r="BG206" s="636"/>
      <c r="BH206" s="636"/>
      <c r="BI206" s="333">
        <f>+(IS!BJ23+CFS!R8+CFS!R10)+(20.542+0.884+3.879+40.95+2.684+3.147+2.561+6.975+3.458+0.172+1.272)*(1+BI5)^4</f>
        <v>2681.8685564870402</v>
      </c>
      <c r="BJ206" s="636"/>
      <c r="BK206" s="636"/>
      <c r="BL206" s="636"/>
      <c r="BM206" s="636"/>
      <c r="BN206" s="333">
        <f>+(IS!BP23+CFS!S8+CFS!S10)+(20.542+0.884+3.879+40.95+2.684+3.147+2.561+6.975+3.458+0.172+1.272)*(1+BN5)^4</f>
        <v>2526.5475564870403</v>
      </c>
      <c r="BO206" s="333"/>
      <c r="BP206" s="668"/>
      <c r="BQ206" s="668"/>
      <c r="BR206" s="668">
        <f>+(IS!BU23+CFS!T8+CFS!T10)+(20.542+0.884+3.879+40.95+2.684+3.147+2.561+6.975+3.458+0.172+1.272)*(1+BR5)^4</f>
        <v>2355.231635178277</v>
      </c>
      <c r="BS206" s="333">
        <f>+(IS!BV23+CFS!U8+CFS!U10)+(20.542+0.884+3.879+40.95+2.684+3.147+2.561+6.975+3.458+0.172+1.272)*(1+BS5)^4</f>
        <v>2305.7103760388763</v>
      </c>
      <c r="BT206" s="333">
        <f>+(IS!BW23+CFS!V8+CFS!V10)+(20.542+0.884+3.879+40.95+2.684+3.147+2.561+6.975+3.458+0.172+1.272)*(1+BT5)^4</f>
        <v>2325.0312157359449</v>
      </c>
      <c r="BU206" s="333">
        <f>+(IS!BX23+CFS!W8+CFS!W10)+(20.542+0.884+3.879+40.95+2.684+3.147+2.561+6.975+3.458+0.172+1.272)*(1+BU5)^4</f>
        <v>1966.3133910999013</v>
      </c>
      <c r="BV206" s="333">
        <f>+(IS!BY23+CFS!X8+CFS!X10)+(20.542+0.884+3.879+40.95+2.684+3.147+2.561+6.975+3.458+0.172+1.272)*(1+BV5)^4</f>
        <v>2003.4645535782233</v>
      </c>
      <c r="BW206" s="333">
        <f>+(IS!BZ23+CFS!Y8+CFS!Y10)+(20.542+0.884+3.879+40.95+2.684+3.147+2.561+6.975+3.458+0.172+1.272)*(1+BW5)^4</f>
        <v>2041.3589310713123</v>
      </c>
      <c r="BX206" s="333">
        <f>+(IS!CA23+CFS!Z8+CFS!Z10)+(20.542+0.884+3.879+40.95+2.684+3.147+2.561+6.975+3.458+0.172+1.272)*(1+BX5)^4</f>
        <v>2080.0113917157582</v>
      </c>
      <c r="BY206" s="333">
        <f>+(IS!CB23+CFS!AA8+CFS!AA10)+(20.542+0.884+3.879+40.95+2.684+3.147+2.561+6.975+3.458+0.172+1.272)*(1+BY5)^4</f>
        <v>2119.4371010876271</v>
      </c>
      <c r="BZ206" s="333">
        <f>+(IS!CC23+CFS!AB8+CFS!AB10)+(20.542+0.884+3.879+40.95+2.684+3.147+2.561+6.975+3.458+0.172+1.272)*(1+BZ5)^4</f>
        <v>2159.6515281527877</v>
      </c>
      <c r="CA206" s="333">
        <f>+(IS!CD23+CFS!AC8+CFS!AC10)+(20.542+0.884+3.879+40.95+2.684+3.147+2.561+6.975+3.458+0.172+1.272)*(1+CA5)^4</f>
        <v>2200.6704513362743</v>
      </c>
      <c r="CB206" s="333">
        <f>+(IS!CE23+CFS!AD8+CFS!AD10)+(20.542+0.884+3.879+40.95+2.684+3.147+2.561+6.975+3.458+0.172+1.272)*(1+CB5)^4</f>
        <v>2242.5099647130642</v>
      </c>
      <c r="CC206" s="213"/>
      <c r="CD206" s="213"/>
      <c r="CE206" s="213"/>
      <c r="CF206" s="213"/>
      <c r="CG206" s="213"/>
      <c r="CH206" s="213"/>
      <c r="CI206" s="213"/>
      <c r="CJ206" s="213"/>
      <c r="CK206" s="213"/>
      <c r="CL206" s="213"/>
    </row>
    <row r="207" spans="1:90" s="36" customFormat="1">
      <c r="A207" s="434"/>
      <c r="B207" s="435"/>
      <c r="G207" s="92"/>
      <c r="H207" s="92"/>
      <c r="I207" s="88"/>
      <c r="J207" s="88"/>
      <c r="K207" s="88"/>
      <c r="L207" s="88"/>
      <c r="M207" s="92"/>
      <c r="N207" s="88"/>
      <c r="O207" s="88"/>
      <c r="P207" s="88"/>
      <c r="Q207" s="88"/>
      <c r="R207" s="92"/>
      <c r="S207" s="88"/>
      <c r="T207" s="88"/>
      <c r="U207" s="88"/>
      <c r="V207" s="88"/>
      <c r="W207" s="92"/>
      <c r="X207" s="88"/>
      <c r="Y207" s="88"/>
      <c r="Z207" s="88"/>
      <c r="AA207" s="88"/>
      <c r="AB207" s="92"/>
      <c r="AC207" s="88"/>
      <c r="AD207" s="88"/>
      <c r="AE207" s="88"/>
      <c r="AF207" s="88"/>
      <c r="AG207" s="92"/>
      <c r="AH207" s="88"/>
      <c r="AI207" s="88"/>
      <c r="AJ207" s="88"/>
      <c r="AK207" s="88"/>
      <c r="AL207" s="92"/>
      <c r="AM207" s="88"/>
      <c r="AN207" s="88"/>
      <c r="AO207" s="88"/>
      <c r="AP207" s="88"/>
      <c r="AQ207" s="92"/>
      <c r="AR207" s="333"/>
      <c r="AS207" s="333"/>
      <c r="AT207" s="92"/>
      <c r="AU207" s="92"/>
      <c r="AV207" s="92"/>
      <c r="AW207" s="92"/>
      <c r="AX207" s="92"/>
      <c r="AY207" s="333"/>
      <c r="AZ207" s="636"/>
      <c r="BA207" s="636"/>
      <c r="BB207" s="636"/>
      <c r="BC207" s="636"/>
      <c r="BD207" s="333"/>
      <c r="BE207" s="636"/>
      <c r="BF207" s="636"/>
      <c r="BG207" s="636"/>
      <c r="BH207" s="636"/>
      <c r="BI207" s="333"/>
      <c r="BJ207" s="636"/>
      <c r="BK207" s="636"/>
      <c r="BL207" s="636"/>
      <c r="BM207" s="636"/>
      <c r="BN207" s="333"/>
      <c r="BO207" s="333"/>
      <c r="BP207" s="668"/>
      <c r="BQ207" s="668"/>
      <c r="BR207" s="668"/>
      <c r="BS207" s="333"/>
      <c r="BT207" s="333"/>
      <c r="BU207" s="333"/>
      <c r="BV207" s="333"/>
      <c r="BW207" s="333"/>
      <c r="BX207" s="333"/>
      <c r="BY207" s="333"/>
      <c r="BZ207" s="333"/>
      <c r="CA207" s="333"/>
      <c r="CB207" s="333"/>
      <c r="CC207" s="213"/>
      <c r="CD207" s="213"/>
      <c r="CE207" s="213"/>
      <c r="CF207" s="213"/>
      <c r="CG207" s="213"/>
      <c r="CH207" s="213"/>
      <c r="CI207" s="213"/>
      <c r="CJ207" s="213"/>
      <c r="CK207" s="213"/>
      <c r="CL207" s="213"/>
    </row>
    <row r="208" spans="1:90" s="36" customFormat="1">
      <c r="A208" s="434" t="s">
        <v>476</v>
      </c>
      <c r="B208" s="435"/>
      <c r="G208" s="92"/>
      <c r="H208" s="92"/>
      <c r="I208" s="88"/>
      <c r="J208" s="88"/>
      <c r="K208" s="88"/>
      <c r="L208" s="88"/>
      <c r="M208" s="92"/>
      <c r="N208" s="88"/>
      <c r="O208" s="88"/>
      <c r="P208" s="88"/>
      <c r="Q208" s="88"/>
      <c r="R208" s="92"/>
      <c r="S208" s="88"/>
      <c r="T208" s="88"/>
      <c r="U208" s="88"/>
      <c r="V208" s="88"/>
      <c r="W208" s="92"/>
      <c r="X208" s="88"/>
      <c r="Y208" s="88"/>
      <c r="Z208" s="88"/>
      <c r="AA208" s="88"/>
      <c r="AB208" s="92">
        <f>+AB50</f>
        <v>0</v>
      </c>
      <c r="AC208" s="88"/>
      <c r="AD208" s="88"/>
      <c r="AE208" s="88"/>
      <c r="AF208" s="88"/>
      <c r="AG208" s="92">
        <f>+AG50</f>
        <v>0</v>
      </c>
      <c r="AH208" s="88"/>
      <c r="AI208" s="88"/>
      <c r="AJ208" s="88"/>
      <c r="AK208" s="88"/>
      <c r="AL208" s="416">
        <f>+AL50</f>
        <v>0</v>
      </c>
      <c r="AM208" s="88"/>
      <c r="AN208" s="88"/>
      <c r="AO208" s="88"/>
      <c r="AP208" s="88"/>
      <c r="AQ208" s="416">
        <f>+AQ50</f>
        <v>0</v>
      </c>
      <c r="AR208" s="417">
        <f>+AR50</f>
        <v>0</v>
      </c>
      <c r="AS208" s="417">
        <f>+AS50</f>
        <v>0</v>
      </c>
      <c r="AT208" s="416">
        <f>+AT50</f>
        <v>0</v>
      </c>
      <c r="AU208" s="416"/>
      <c r="AV208" s="416"/>
      <c r="AW208" s="416"/>
      <c r="AX208" s="416"/>
      <c r="AY208" s="417">
        <f>+AY50</f>
        <v>0</v>
      </c>
      <c r="AZ208" s="688"/>
      <c r="BA208" s="688"/>
      <c r="BB208" s="688"/>
      <c r="BC208" s="688"/>
      <c r="BD208" s="417">
        <f>+BD50</f>
        <v>0</v>
      </c>
      <c r="BE208" s="688"/>
      <c r="BF208" s="688"/>
      <c r="BG208" s="688"/>
      <c r="BH208" s="688"/>
      <c r="BI208" s="417">
        <f>+BI50</f>
        <v>0</v>
      </c>
      <c r="BJ208" s="688"/>
      <c r="BK208" s="688"/>
      <c r="BL208" s="688"/>
      <c r="BM208" s="688"/>
      <c r="BN208" s="417">
        <f t="shared" ref="BN208:CB208" si="270">+BN50</f>
        <v>0</v>
      </c>
      <c r="BO208" s="417"/>
      <c r="BP208" s="668"/>
      <c r="BQ208" s="668"/>
      <c r="BR208" s="668">
        <f t="shared" si="270"/>
        <v>0</v>
      </c>
      <c r="BS208" s="417">
        <f t="shared" si="270"/>
        <v>0</v>
      </c>
      <c r="BT208" s="417">
        <f t="shared" si="270"/>
        <v>0</v>
      </c>
      <c r="BU208" s="417">
        <f t="shared" si="270"/>
        <v>0</v>
      </c>
      <c r="BV208" s="417">
        <f t="shared" si="270"/>
        <v>0</v>
      </c>
      <c r="BW208" s="417">
        <f t="shared" si="270"/>
        <v>0</v>
      </c>
      <c r="BX208" s="417">
        <f t="shared" si="270"/>
        <v>0</v>
      </c>
      <c r="BY208" s="417">
        <f t="shared" si="270"/>
        <v>0</v>
      </c>
      <c r="BZ208" s="417">
        <f t="shared" si="270"/>
        <v>0</v>
      </c>
      <c r="CA208" s="417">
        <f t="shared" si="270"/>
        <v>0</v>
      </c>
      <c r="CB208" s="417">
        <f t="shared" si="270"/>
        <v>0</v>
      </c>
      <c r="CC208" s="213"/>
      <c r="CD208" s="213"/>
      <c r="CE208" s="213"/>
      <c r="CF208" s="213"/>
      <c r="CG208" s="213"/>
      <c r="CH208" s="213"/>
      <c r="CI208" s="213"/>
      <c r="CJ208" s="213"/>
      <c r="CK208" s="213"/>
      <c r="CL208" s="213"/>
    </row>
    <row r="209" spans="1:90" s="36" customFormat="1">
      <c r="A209" s="434"/>
      <c r="B209" s="435"/>
      <c r="G209" s="92"/>
      <c r="H209" s="92"/>
      <c r="I209" s="88"/>
      <c r="J209" s="88"/>
      <c r="K209" s="88"/>
      <c r="L209" s="88"/>
      <c r="M209" s="92"/>
      <c r="N209" s="88"/>
      <c r="O209" s="88"/>
      <c r="P209" s="88"/>
      <c r="Q209" s="88"/>
      <c r="R209" s="92"/>
      <c r="S209" s="88"/>
      <c r="T209" s="88"/>
      <c r="U209" s="88"/>
      <c r="V209" s="88"/>
      <c r="W209" s="92"/>
      <c r="X209" s="88"/>
      <c r="Y209" s="88"/>
      <c r="Z209" s="88"/>
      <c r="AA209" s="88"/>
      <c r="AB209" s="92">
        <f>+AB208/1000</f>
        <v>0</v>
      </c>
      <c r="AC209" s="88"/>
      <c r="AD209" s="88"/>
      <c r="AE209" s="88"/>
      <c r="AF209" s="88"/>
      <c r="AG209" s="92">
        <f>+AG208/1000</f>
        <v>0</v>
      </c>
      <c r="AH209" s="88"/>
      <c r="AI209" s="88"/>
      <c r="AJ209" s="88"/>
      <c r="AK209" s="88"/>
      <c r="AL209" s="436">
        <f>+AL208/1000</f>
        <v>0</v>
      </c>
      <c r="AM209" s="88"/>
      <c r="AN209" s="88"/>
      <c r="AO209" s="88"/>
      <c r="AP209" s="88"/>
      <c r="AQ209" s="436">
        <f>+AQ208/1000</f>
        <v>0</v>
      </c>
      <c r="AR209" s="437">
        <f>+AR208/1000</f>
        <v>0</v>
      </c>
      <c r="AS209" s="437">
        <f>+AS208/1000</f>
        <v>0</v>
      </c>
      <c r="AT209" s="436">
        <f>+AT208/1000</f>
        <v>0</v>
      </c>
      <c r="AU209" s="436"/>
      <c r="AV209" s="436"/>
      <c r="AW209" s="436"/>
      <c r="AX209" s="436"/>
      <c r="AY209" s="437">
        <f>+AY208/1000</f>
        <v>0</v>
      </c>
      <c r="AZ209" s="691"/>
      <c r="BA209" s="691"/>
      <c r="BB209" s="691"/>
      <c r="BC209" s="691"/>
      <c r="BD209" s="437">
        <f>+BD208/1000</f>
        <v>0</v>
      </c>
      <c r="BE209" s="691"/>
      <c r="BF209" s="691"/>
      <c r="BG209" s="691"/>
      <c r="BH209" s="691"/>
      <c r="BI209" s="437">
        <f>+BI208/1000</f>
        <v>0</v>
      </c>
      <c r="BJ209" s="691"/>
      <c r="BK209" s="691"/>
      <c r="BL209" s="691"/>
      <c r="BM209" s="691"/>
      <c r="BN209" s="437">
        <f>+BN208/1000</f>
        <v>0</v>
      </c>
      <c r="BO209" s="437"/>
      <c r="BP209" s="668"/>
      <c r="BQ209" s="668"/>
      <c r="BR209" s="668">
        <f t="shared" ref="BR209:CB209" si="271">+BR208/1000</f>
        <v>0</v>
      </c>
      <c r="BS209" s="437">
        <f t="shared" si="271"/>
        <v>0</v>
      </c>
      <c r="BT209" s="437">
        <f t="shared" si="271"/>
        <v>0</v>
      </c>
      <c r="BU209" s="437">
        <f t="shared" si="271"/>
        <v>0</v>
      </c>
      <c r="BV209" s="437">
        <f t="shared" si="271"/>
        <v>0</v>
      </c>
      <c r="BW209" s="437">
        <f t="shared" si="271"/>
        <v>0</v>
      </c>
      <c r="BX209" s="437">
        <f t="shared" si="271"/>
        <v>0</v>
      </c>
      <c r="BY209" s="437">
        <f t="shared" si="271"/>
        <v>0</v>
      </c>
      <c r="BZ209" s="437">
        <f t="shared" si="271"/>
        <v>0</v>
      </c>
      <c r="CA209" s="437">
        <f t="shared" si="271"/>
        <v>0</v>
      </c>
      <c r="CB209" s="437">
        <f t="shared" si="271"/>
        <v>0</v>
      </c>
      <c r="CC209" s="213"/>
      <c r="CD209" s="213"/>
      <c r="CE209" s="213"/>
      <c r="CF209" s="213"/>
      <c r="CG209" s="213"/>
      <c r="CH209" s="213"/>
      <c r="CI209" s="213"/>
      <c r="CJ209" s="213"/>
      <c r="CK209" s="213"/>
      <c r="CL209" s="213"/>
    </row>
    <row r="210" spans="1:90" s="65" customFormat="1">
      <c r="A210" s="438" t="s">
        <v>477</v>
      </c>
      <c r="B210" s="439"/>
      <c r="G210" s="66"/>
      <c r="H210" s="66"/>
      <c r="I210" s="67"/>
      <c r="J210" s="67"/>
      <c r="K210" s="67"/>
      <c r="L210" s="67"/>
      <c r="M210" s="66"/>
      <c r="N210" s="67"/>
      <c r="O210" s="67"/>
      <c r="P210" s="67"/>
      <c r="Q210" s="67"/>
      <c r="R210" s="66"/>
      <c r="S210" s="67"/>
      <c r="T210" s="67"/>
      <c r="U210" s="67"/>
      <c r="V210" s="67"/>
      <c r="W210" s="66"/>
      <c r="X210" s="67"/>
      <c r="Y210" s="67"/>
      <c r="Z210" s="67"/>
      <c r="AA210" s="67"/>
      <c r="AB210" s="66">
        <f>+AB206*$A$3/(AB208-AB204)</f>
        <v>-511372.15383292653</v>
      </c>
      <c r="AC210" s="67"/>
      <c r="AD210" s="67"/>
      <c r="AE210" s="67"/>
      <c r="AF210" s="67"/>
      <c r="AG210" s="66">
        <f>+AG206*$A$3/(AG208-AG204)</f>
        <v>-663540.19534780004</v>
      </c>
      <c r="AH210" s="67"/>
      <c r="AI210" s="67"/>
      <c r="AJ210" s="67"/>
      <c r="AK210" s="67"/>
      <c r="AL210" s="440">
        <f>+AL206*$A$3/(AL208-AL204)</f>
        <v>-1399226.6845277802</v>
      </c>
      <c r="AM210" s="67"/>
      <c r="AN210" s="67"/>
      <c r="AO210" s="67"/>
      <c r="AP210" s="67"/>
      <c r="AQ210" s="440">
        <f>+AQ206*$A$3/(AQ208-AQ204)</f>
        <v>-1224783.0729135484</v>
      </c>
      <c r="AR210" s="441" t="e">
        <f>+AR206*$A$3/(AR208-AR204)</f>
        <v>#REF!</v>
      </c>
      <c r="AS210" s="441" t="e">
        <f>+AS206*$A$3/(AS208-AS204)</f>
        <v>#REF!</v>
      </c>
      <c r="AT210" s="440">
        <f>+AT206*$A$3/(AT208-AT204)</f>
        <v>-1273101.7585256149</v>
      </c>
      <c r="AU210" s="440"/>
      <c r="AV210" s="440"/>
      <c r="AW210" s="440"/>
      <c r="AX210" s="440"/>
      <c r="AY210" s="441">
        <f>+AY206*$A$3/(AY208-AY204)</f>
        <v>-1212510.0019841413</v>
      </c>
      <c r="AZ210" s="692"/>
      <c r="BA210" s="692"/>
      <c r="BB210" s="692"/>
      <c r="BC210" s="692"/>
      <c r="BD210" s="441">
        <f>+BD206*$A$3/(BD208-BD204)</f>
        <v>-798507.83225924359</v>
      </c>
      <c r="BE210" s="692"/>
      <c r="BF210" s="692"/>
      <c r="BG210" s="692"/>
      <c r="BH210" s="692"/>
      <c r="BI210" s="441">
        <f>+BI206*$A$3/(BI208-BI204)</f>
        <v>-666792.08600404253</v>
      </c>
      <c r="BJ210" s="692"/>
      <c r="BK210" s="692"/>
      <c r="BL210" s="692"/>
      <c r="BM210" s="692"/>
      <c r="BN210" s="441">
        <f t="shared" ref="BN210:CB210" si="272">+BN206*$A$3/(BN208-BN204)</f>
        <v>-578052.64509185462</v>
      </c>
      <c r="BO210" s="441"/>
      <c r="BP210" s="668"/>
      <c r="BQ210" s="668"/>
      <c r="BR210" s="668">
        <f t="shared" si="272"/>
        <v>-530359.27594908909</v>
      </c>
      <c r="BS210" s="441">
        <f t="shared" si="272"/>
        <v>-497819.6754754752</v>
      </c>
      <c r="BT210" s="441">
        <f t="shared" si="272"/>
        <v>-473329.14422659361</v>
      </c>
      <c r="BU210" s="441">
        <f t="shared" si="272"/>
        <v>-377045.77578241209</v>
      </c>
      <c r="BV210" s="441">
        <f t="shared" si="272"/>
        <v>-361366.55821391213</v>
      </c>
      <c r="BW210" s="441">
        <f t="shared" si="272"/>
        <v>-347796.94102354872</v>
      </c>
      <c r="BX210" s="441">
        <f t="shared" si="272"/>
        <v>-335437.98093454924</v>
      </c>
      <c r="BY210" s="441">
        <f t="shared" si="272"/>
        <v>-324293.10245539871</v>
      </c>
      <c r="BZ210" s="441">
        <f t="shared" si="272"/>
        <v>-314353.16603084601</v>
      </c>
      <c r="CA210" s="441">
        <f t="shared" si="272"/>
        <v>-305593.36465003545</v>
      </c>
      <c r="CB210" s="441">
        <f t="shared" si="272"/>
        <v>-319922.5240109255</v>
      </c>
      <c r="CC210" s="755"/>
      <c r="CD210" s="755"/>
      <c r="CE210" s="755"/>
      <c r="CF210" s="755"/>
      <c r="CG210" s="755"/>
      <c r="CH210" s="755"/>
      <c r="CI210" s="755"/>
      <c r="CJ210" s="755"/>
      <c r="CK210" s="755"/>
      <c r="CL210" s="755"/>
    </row>
    <row r="211" spans="1:90" s="36" customFormat="1">
      <c r="A211" s="434"/>
      <c r="B211" s="435"/>
      <c r="G211" s="92"/>
      <c r="H211" s="92"/>
      <c r="I211" s="88"/>
      <c r="J211" s="88"/>
      <c r="K211" s="88"/>
      <c r="L211" s="88"/>
      <c r="M211" s="92"/>
      <c r="N211" s="88"/>
      <c r="O211" s="88"/>
      <c r="P211" s="88"/>
      <c r="Q211" s="88"/>
      <c r="R211" s="92"/>
      <c r="S211" s="88"/>
      <c r="T211" s="88"/>
      <c r="U211" s="88"/>
      <c r="V211" s="88"/>
      <c r="W211" s="92"/>
      <c r="X211" s="88"/>
      <c r="Y211" s="88"/>
      <c r="Z211" s="88"/>
      <c r="AA211" s="88"/>
      <c r="AB211" s="92"/>
      <c r="AC211" s="88"/>
      <c r="AD211" s="88"/>
      <c r="AE211" s="88"/>
      <c r="AF211" s="88"/>
      <c r="AG211" s="92"/>
      <c r="AH211" s="88"/>
      <c r="AI211" s="88"/>
      <c r="AJ211" s="88"/>
      <c r="AK211" s="88"/>
      <c r="AL211" s="92"/>
      <c r="AM211" s="88"/>
      <c r="AN211" s="88"/>
      <c r="AO211" s="88"/>
      <c r="AP211" s="88"/>
      <c r="AQ211" s="92"/>
      <c r="AR211" s="333"/>
      <c r="AS211" s="333"/>
      <c r="AT211" s="92"/>
      <c r="AU211" s="92"/>
      <c r="AV211" s="92"/>
      <c r="AW211" s="92"/>
      <c r="AX211" s="92"/>
      <c r="AY211" s="333"/>
      <c r="AZ211" s="636"/>
      <c r="BA211" s="636"/>
      <c r="BB211" s="636"/>
      <c r="BC211" s="636"/>
      <c r="BD211" s="333"/>
      <c r="BE211" s="636"/>
      <c r="BF211" s="636"/>
      <c r="BG211" s="636"/>
      <c r="BH211" s="636"/>
      <c r="BI211" s="333"/>
      <c r="BJ211" s="636"/>
      <c r="BK211" s="636"/>
      <c r="BL211" s="636"/>
      <c r="BM211" s="636"/>
      <c r="BN211" s="333"/>
      <c r="BO211" s="333"/>
      <c r="BP211" s="668"/>
      <c r="BQ211" s="668"/>
      <c r="BR211" s="668"/>
      <c r="BS211" s="333"/>
      <c r="BT211" s="333"/>
      <c r="BU211" s="333"/>
      <c r="BV211" s="333"/>
      <c r="BW211" s="333"/>
      <c r="BX211" s="333"/>
      <c r="BY211" s="333"/>
      <c r="BZ211" s="333"/>
      <c r="CA211" s="333"/>
      <c r="CB211" s="333"/>
      <c r="CC211" s="213"/>
      <c r="CD211" s="213"/>
      <c r="CE211" s="213"/>
      <c r="CF211" s="213"/>
      <c r="CG211" s="213"/>
      <c r="CH211" s="213"/>
      <c r="CI211" s="213"/>
      <c r="CJ211" s="213"/>
      <c r="CK211" s="213"/>
      <c r="CL211" s="213"/>
    </row>
    <row r="212" spans="1:90" s="36" customFormat="1">
      <c r="A212" s="434"/>
      <c r="B212" s="435"/>
      <c r="G212" s="92"/>
      <c r="H212" s="92"/>
      <c r="I212" s="88"/>
      <c r="J212" s="88"/>
      <c r="K212" s="88"/>
      <c r="L212" s="88"/>
      <c r="M212" s="92"/>
      <c r="N212" s="88"/>
      <c r="O212" s="88"/>
      <c r="P212" s="88"/>
      <c r="Q212" s="88"/>
      <c r="R212" s="92"/>
      <c r="S212" s="88"/>
      <c r="T212" s="88"/>
      <c r="U212" s="88"/>
      <c r="V212" s="88"/>
      <c r="W212" s="92"/>
      <c r="X212" s="88"/>
      <c r="Y212" s="88"/>
      <c r="Z212" s="88"/>
      <c r="AA212" s="88"/>
      <c r="AB212" s="92"/>
      <c r="AC212" s="88"/>
      <c r="AD212" s="88"/>
      <c r="AE212" s="88"/>
      <c r="AF212" s="88"/>
      <c r="AG212" s="92"/>
      <c r="AH212" s="88"/>
      <c r="AI212" s="88"/>
      <c r="AJ212" s="88"/>
      <c r="AK212" s="88"/>
      <c r="AL212" s="92"/>
      <c r="AM212" s="88"/>
      <c r="AN212" s="88"/>
      <c r="AO212" s="88"/>
      <c r="AP212" s="88"/>
      <c r="AQ212" s="92"/>
      <c r="AR212" s="333"/>
      <c r="AS212" s="333"/>
      <c r="AT212" s="92"/>
      <c r="AU212" s="92"/>
      <c r="AV212" s="92"/>
      <c r="AW212" s="92"/>
      <c r="AX212" s="92"/>
      <c r="AY212" s="333"/>
      <c r="AZ212" s="636"/>
      <c r="BA212" s="636"/>
      <c r="BB212" s="636"/>
      <c r="BC212" s="636"/>
      <c r="BD212" s="333"/>
      <c r="BE212" s="636"/>
      <c r="BF212" s="636"/>
      <c r="BG212" s="636"/>
      <c r="BH212" s="636"/>
      <c r="BI212" s="333"/>
      <c r="BJ212" s="636"/>
      <c r="BK212" s="636"/>
      <c r="BL212" s="636"/>
      <c r="BM212" s="636"/>
      <c r="BN212" s="333"/>
      <c r="BO212" s="333"/>
      <c r="BP212" s="668"/>
      <c r="BQ212" s="668"/>
      <c r="BR212" s="668"/>
      <c r="BS212" s="333"/>
      <c r="BT212" s="333"/>
      <c r="BU212" s="333"/>
      <c r="BV212" s="333"/>
      <c r="BW212" s="333"/>
      <c r="BX212" s="333"/>
      <c r="BY212" s="333"/>
      <c r="BZ212" s="333"/>
      <c r="CA212" s="333"/>
      <c r="CB212" s="333"/>
      <c r="CC212" s="213"/>
      <c r="CD212" s="213"/>
      <c r="CE212" s="213"/>
      <c r="CF212" s="213"/>
      <c r="CG212" s="213"/>
      <c r="CH212" s="213"/>
      <c r="CI212" s="213"/>
      <c r="CJ212" s="213"/>
      <c r="CK212" s="213"/>
      <c r="CL212" s="213"/>
    </row>
    <row r="213" spans="1:90" s="36" customFormat="1">
      <c r="A213" s="434" t="s">
        <v>478</v>
      </c>
      <c r="B213" s="435"/>
      <c r="G213" s="92"/>
      <c r="H213" s="92"/>
      <c r="I213" s="88"/>
      <c r="J213" s="88"/>
      <c r="K213" s="88"/>
      <c r="L213" s="88"/>
      <c r="M213" s="92"/>
      <c r="N213" s="88"/>
      <c r="O213" s="88"/>
      <c r="P213" s="88"/>
      <c r="Q213" s="88"/>
      <c r="R213" s="92"/>
      <c r="S213" s="88"/>
      <c r="T213" s="88"/>
      <c r="U213" s="88"/>
      <c r="V213" s="88"/>
      <c r="W213" s="92"/>
      <c r="X213" s="88"/>
      <c r="Y213" s="88"/>
      <c r="Z213" s="88"/>
      <c r="AA213" s="88"/>
      <c r="AB213" s="92">
        <f>+AB32</f>
        <v>2098840</v>
      </c>
      <c r="AC213" s="88"/>
      <c r="AD213" s="88"/>
      <c r="AE213" s="88"/>
      <c r="AF213" s="88"/>
      <c r="AG213" s="92">
        <f>+AG32</f>
        <v>2502306</v>
      </c>
      <c r="AH213" s="88"/>
      <c r="AI213" s="88"/>
      <c r="AJ213" s="88"/>
      <c r="AK213" s="88"/>
      <c r="AL213" s="436">
        <f>+AL32</f>
        <v>4233953</v>
      </c>
      <c r="AM213" s="88"/>
      <c r="AN213" s="88"/>
      <c r="AO213" s="88"/>
      <c r="AP213" s="88"/>
      <c r="AQ213" s="436">
        <f>+AQ32</f>
        <v>3854949</v>
      </c>
      <c r="AR213" s="437">
        <f>+AR32</f>
        <v>1050428.2252</v>
      </c>
      <c r="AS213" s="437">
        <f>+AS32</f>
        <v>1157543.6913799997</v>
      </c>
      <c r="AT213" s="436">
        <f>+AT32</f>
        <v>4908962</v>
      </c>
      <c r="AU213" s="436"/>
      <c r="AV213" s="436"/>
      <c r="AW213" s="436"/>
      <c r="AX213" s="436"/>
      <c r="AY213" s="437">
        <f>+AY32</f>
        <v>5154410.1000000006</v>
      </c>
      <c r="AZ213" s="691"/>
      <c r="BA213" s="691"/>
      <c r="BB213" s="691"/>
      <c r="BC213" s="691"/>
      <c r="BD213" s="437">
        <f>+BD32</f>
        <v>4018956</v>
      </c>
      <c r="BE213" s="691"/>
      <c r="BF213" s="691"/>
      <c r="BG213" s="691"/>
      <c r="BH213" s="691"/>
      <c r="BI213" s="437">
        <f>+BI32</f>
        <v>3992913</v>
      </c>
      <c r="BJ213" s="691"/>
      <c r="BK213" s="691"/>
      <c r="BL213" s="691"/>
      <c r="BM213" s="691"/>
      <c r="BN213" s="437">
        <f t="shared" ref="BN213:CB213" si="273">+BN32</f>
        <v>3956479.2</v>
      </c>
      <c r="BO213" s="437"/>
      <c r="BP213" s="668"/>
      <c r="BQ213" s="668"/>
      <c r="BR213" s="668">
        <f t="shared" si="273"/>
        <v>4044768.6960000005</v>
      </c>
      <c r="BS213" s="437">
        <f t="shared" si="273"/>
        <v>4135706.8768800003</v>
      </c>
      <c r="BT213" s="437">
        <f t="shared" si="273"/>
        <v>4135706.8768800003</v>
      </c>
      <c r="BU213" s="437">
        <f t="shared" si="273"/>
        <v>4135706.8768800003</v>
      </c>
      <c r="BV213" s="437">
        <f t="shared" si="273"/>
        <v>4135706.8768800003</v>
      </c>
      <c r="BW213" s="437">
        <f t="shared" si="273"/>
        <v>4135706.8768800003</v>
      </c>
      <c r="BX213" s="437">
        <f t="shared" si="273"/>
        <v>4135706.8768800003</v>
      </c>
      <c r="BY213" s="437">
        <f t="shared" si="273"/>
        <v>4135706.8768800003</v>
      </c>
      <c r="BZ213" s="437">
        <f t="shared" si="273"/>
        <v>4135706.8768800003</v>
      </c>
      <c r="CA213" s="437">
        <f t="shared" si="273"/>
        <v>4135706.8768800003</v>
      </c>
      <c r="CB213" s="437">
        <f t="shared" si="273"/>
        <v>4135706.8768800003</v>
      </c>
      <c r="CC213" s="213"/>
      <c r="CD213" s="213"/>
      <c r="CE213" s="213"/>
      <c r="CF213" s="213"/>
      <c r="CG213" s="213"/>
      <c r="CH213" s="213"/>
      <c r="CI213" s="213"/>
      <c r="CJ213" s="213"/>
      <c r="CK213" s="213"/>
      <c r="CL213" s="213"/>
    </row>
    <row r="214" spans="1:90" s="36" customFormat="1">
      <c r="A214" s="434" t="s">
        <v>473</v>
      </c>
      <c r="B214" s="435"/>
      <c r="G214" s="92"/>
      <c r="H214" s="92"/>
      <c r="I214" s="88"/>
      <c r="J214" s="88"/>
      <c r="K214" s="88"/>
      <c r="L214" s="88"/>
      <c r="M214" s="92"/>
      <c r="N214" s="88"/>
      <c r="O214" s="88"/>
      <c r="P214" s="88"/>
      <c r="Q214" s="88"/>
      <c r="R214" s="92"/>
      <c r="S214" s="88"/>
      <c r="T214" s="88"/>
      <c r="U214" s="88"/>
      <c r="V214" s="88"/>
      <c r="W214" s="92"/>
      <c r="X214" s="88"/>
      <c r="Y214" s="88"/>
      <c r="Z214" s="88"/>
      <c r="AA214" s="88"/>
      <c r="AB214" s="92">
        <f>+AB213*AB204/$A$3</f>
        <v>3698.6620000000003</v>
      </c>
      <c r="AC214" s="88"/>
      <c r="AD214" s="88"/>
      <c r="AE214" s="88"/>
      <c r="AF214" s="88"/>
      <c r="AG214" s="92">
        <f>+AG213*AG204/$A$3</f>
        <v>3971.8758000000003</v>
      </c>
      <c r="AH214" s="88"/>
      <c r="AI214" s="88"/>
      <c r="AJ214" s="88"/>
      <c r="AK214" s="88"/>
      <c r="AL214" s="436">
        <f>+AL213*AL204/$A$3</f>
        <v>9736.114959999999</v>
      </c>
      <c r="AM214" s="88"/>
      <c r="AN214" s="88"/>
      <c r="AO214" s="88"/>
      <c r="AP214" s="88"/>
      <c r="AQ214" s="436">
        <f>+AQ213*AQ204/$A$3</f>
        <v>12884.561095356003</v>
      </c>
      <c r="AR214" s="437" t="e">
        <f>+AR213*AR204/$A$3</f>
        <v>#REF!</v>
      </c>
      <c r="AS214" s="437" t="e">
        <f>+AS213*AS204/$A$3</f>
        <v>#REF!</v>
      </c>
      <c r="AT214" s="436">
        <f>+AT213*AT204/$A$3</f>
        <v>13212.934475845157</v>
      </c>
      <c r="AU214" s="436"/>
      <c r="AV214" s="436"/>
      <c r="AW214" s="436"/>
      <c r="AX214" s="436"/>
      <c r="AY214" s="437">
        <f>+AY213*AY204/$A$3</f>
        <v>15321.64431277636</v>
      </c>
      <c r="AZ214" s="691"/>
      <c r="BA214" s="691"/>
      <c r="BB214" s="691"/>
      <c r="BC214" s="691"/>
      <c r="BD214" s="437">
        <f>+BD213*BD204/$A$3</f>
        <v>16338.305443512956</v>
      </c>
      <c r="BE214" s="691"/>
      <c r="BF214" s="691"/>
      <c r="BG214" s="691"/>
      <c r="BH214" s="691"/>
      <c r="BI214" s="437">
        <f>+BI213*BI204/$A$3</f>
        <v>16059.680443512963</v>
      </c>
      <c r="BJ214" s="691"/>
      <c r="BK214" s="691"/>
      <c r="BL214" s="691"/>
      <c r="BM214" s="691"/>
      <c r="BN214" s="437">
        <f>+BN213*BN204/$A$3</f>
        <v>17292.945443512959</v>
      </c>
      <c r="BO214" s="437"/>
      <c r="BP214" s="668"/>
      <c r="BQ214" s="668"/>
      <c r="BR214" s="668">
        <f t="shared" ref="BR214:CB214" si="274">+BR213*BR204/$A$3</f>
        <v>17962.101582460971</v>
      </c>
      <c r="BS214" s="437">
        <f t="shared" si="274"/>
        <v>19155.01280492745</v>
      </c>
      <c r="BT214" s="437">
        <f t="shared" si="274"/>
        <v>20314.928216794062</v>
      </c>
      <c r="BU214" s="437">
        <f t="shared" si="274"/>
        <v>21567.927121841079</v>
      </c>
      <c r="BV214" s="437">
        <f t="shared" si="274"/>
        <v>22928.912328721919</v>
      </c>
      <c r="BW214" s="437">
        <f t="shared" si="274"/>
        <v>24274.112775593414</v>
      </c>
      <c r="BX214" s="437">
        <f t="shared" si="274"/>
        <v>25645.030991246305</v>
      </c>
      <c r="BY214" s="437">
        <f t="shared" si="274"/>
        <v>27029.161359632209</v>
      </c>
      <c r="BZ214" s="437">
        <f t="shared" si="274"/>
        <v>28412.901926266783</v>
      </c>
      <c r="CA214" s="437">
        <f t="shared" si="274"/>
        <v>29782.478849829917</v>
      </c>
      <c r="CB214" s="437">
        <f t="shared" si="274"/>
        <v>28989.405829453332</v>
      </c>
      <c r="CC214" s="213"/>
      <c r="CD214" s="213"/>
      <c r="CE214" s="213"/>
      <c r="CF214" s="213"/>
      <c r="CG214" s="213"/>
      <c r="CH214" s="213"/>
      <c r="CI214" s="213"/>
      <c r="CJ214" s="213"/>
      <c r="CK214" s="213"/>
      <c r="CL214" s="213"/>
    </row>
    <row r="215" spans="1:90" s="36" customFormat="1">
      <c r="A215" s="434"/>
      <c r="B215" s="435"/>
      <c r="G215" s="92"/>
      <c r="H215" s="92"/>
      <c r="I215" s="88"/>
      <c r="J215" s="88"/>
      <c r="K215" s="88"/>
      <c r="L215" s="88"/>
      <c r="M215" s="92"/>
      <c r="N215" s="88"/>
      <c r="O215" s="88"/>
      <c r="P215" s="88"/>
      <c r="Q215" s="88"/>
      <c r="R215" s="92"/>
      <c r="S215" s="88"/>
      <c r="T215" s="88"/>
      <c r="U215" s="88"/>
      <c r="V215" s="88"/>
      <c r="W215" s="92"/>
      <c r="X215" s="88"/>
      <c r="Y215" s="88"/>
      <c r="Z215" s="88"/>
      <c r="AA215" s="88"/>
      <c r="AB215" s="92"/>
      <c r="AC215" s="88"/>
      <c r="AD215" s="88"/>
      <c r="AE215" s="88"/>
      <c r="AF215" s="88"/>
      <c r="AG215" s="92"/>
      <c r="AH215" s="88"/>
      <c r="AI215" s="88"/>
      <c r="AJ215" s="88"/>
      <c r="AK215" s="88"/>
      <c r="AL215" s="436"/>
      <c r="AM215" s="88"/>
      <c r="AN215" s="88"/>
      <c r="AO215" s="88"/>
      <c r="AP215" s="88"/>
      <c r="AQ215" s="436"/>
      <c r="AR215" s="437"/>
      <c r="AS215" s="437"/>
      <c r="AT215" s="436"/>
      <c r="AU215" s="436"/>
      <c r="AV215" s="436"/>
      <c r="AW215" s="436"/>
      <c r="AX215" s="436"/>
      <c r="AY215" s="437"/>
      <c r="AZ215" s="691"/>
      <c r="BA215" s="691"/>
      <c r="BB215" s="691"/>
      <c r="BC215" s="691"/>
      <c r="BD215" s="437"/>
      <c r="BE215" s="691"/>
      <c r="BF215" s="691"/>
      <c r="BG215" s="691"/>
      <c r="BH215" s="691"/>
      <c r="BI215" s="437"/>
      <c r="BJ215" s="691"/>
      <c r="BK215" s="691"/>
      <c r="BL215" s="691"/>
      <c r="BM215" s="691"/>
      <c r="BN215" s="437"/>
      <c r="BO215" s="437"/>
      <c r="BP215" s="668"/>
      <c r="BQ215" s="668"/>
      <c r="BR215" s="668"/>
      <c r="BS215" s="437"/>
      <c r="BT215" s="437"/>
      <c r="BU215" s="437"/>
      <c r="BV215" s="437"/>
      <c r="BW215" s="437"/>
      <c r="BX215" s="437"/>
      <c r="BY215" s="437"/>
      <c r="BZ215" s="437"/>
      <c r="CA215" s="437"/>
      <c r="CB215" s="437"/>
      <c r="CC215" s="213"/>
      <c r="CD215" s="213"/>
      <c r="CE215" s="213"/>
      <c r="CF215" s="213"/>
      <c r="CG215" s="213"/>
      <c r="CH215" s="213"/>
      <c r="CI215" s="213"/>
      <c r="CJ215" s="213"/>
      <c r="CK215" s="213"/>
      <c r="CL215" s="213"/>
    </row>
    <row r="216" spans="1:90" s="36" customFormat="1">
      <c r="A216" s="434" t="s">
        <v>479</v>
      </c>
      <c r="B216" s="435" t="s">
        <v>480</v>
      </c>
      <c r="G216" s="92"/>
      <c r="H216" s="92"/>
      <c r="I216" s="88"/>
      <c r="J216" s="88"/>
      <c r="K216" s="88"/>
      <c r="L216" s="88"/>
      <c r="M216" s="92"/>
      <c r="N216" s="88"/>
      <c r="O216" s="88"/>
      <c r="P216" s="88"/>
      <c r="Q216" s="88"/>
      <c r="R216" s="92"/>
      <c r="S216" s="88"/>
      <c r="T216" s="88"/>
      <c r="U216" s="88"/>
      <c r="V216" s="88"/>
      <c r="W216" s="92"/>
      <c r="X216" s="88"/>
      <c r="Y216" s="88"/>
      <c r="Z216" s="88"/>
      <c r="AA216" s="88"/>
      <c r="AB216" s="442">
        <f>+AB214+AB206</f>
        <v>4599.8230000000003</v>
      </c>
      <c r="AC216" s="88"/>
      <c r="AD216" s="88"/>
      <c r="AE216" s="88"/>
      <c r="AF216" s="88"/>
      <c r="AG216" s="442">
        <f>+AG214+AG206</f>
        <v>5025.1040000000003</v>
      </c>
      <c r="AH216" s="88"/>
      <c r="AI216" s="88"/>
      <c r="AJ216" s="88"/>
      <c r="AK216" s="88"/>
      <c r="AL216" s="436">
        <f>+AL214+AL206</f>
        <v>12953.682999999999</v>
      </c>
      <c r="AM216" s="88"/>
      <c r="AN216" s="88"/>
      <c r="AO216" s="88"/>
      <c r="AP216" s="88"/>
      <c r="AQ216" s="436">
        <f>+AQ214+AQ206</f>
        <v>16978.206000000002</v>
      </c>
      <c r="AR216" s="437" t="e">
        <f>+AR214+AR206</f>
        <v>#REF!</v>
      </c>
      <c r="AS216" s="437" t="e">
        <f>+AS214+AS206</f>
        <v>#REF!</v>
      </c>
      <c r="AT216" s="436">
        <f>+AT214+AT206</f>
        <v>16639.607999999997</v>
      </c>
      <c r="AU216" s="436"/>
      <c r="AV216" s="436"/>
      <c r="AW216" s="436"/>
      <c r="AX216" s="436"/>
      <c r="AY216" s="437">
        <f>+AY214+AY206</f>
        <v>18925.867999999999</v>
      </c>
      <c r="AZ216" s="691"/>
      <c r="BA216" s="691"/>
      <c r="BB216" s="691"/>
      <c r="BC216" s="691"/>
      <c r="BD216" s="437">
        <f>+BD214+BD206</f>
        <v>19584.487999999998</v>
      </c>
      <c r="BE216" s="691"/>
      <c r="BF216" s="691"/>
      <c r="BG216" s="691"/>
      <c r="BH216" s="691"/>
      <c r="BI216" s="437">
        <f>+BI214+BI206</f>
        <v>18741.549000000003</v>
      </c>
      <c r="BJ216" s="691"/>
      <c r="BK216" s="691"/>
      <c r="BL216" s="691"/>
      <c r="BM216" s="691"/>
      <c r="BN216" s="437">
        <f t="shared" ref="BN216:CB216" si="275">+BN214+BN206</f>
        <v>19819.492999999999</v>
      </c>
      <c r="BO216" s="437"/>
      <c r="BP216" s="668"/>
      <c r="BQ216" s="668"/>
      <c r="BR216" s="668">
        <f t="shared" si="275"/>
        <v>20317.333217639247</v>
      </c>
      <c r="BS216" s="437">
        <f t="shared" si="275"/>
        <v>21460.723180966328</v>
      </c>
      <c r="BT216" s="437">
        <f t="shared" si="275"/>
        <v>22639.959432530006</v>
      </c>
      <c r="BU216" s="437">
        <f t="shared" si="275"/>
        <v>23534.240512940982</v>
      </c>
      <c r="BV216" s="437">
        <f t="shared" si="275"/>
        <v>24932.376882300141</v>
      </c>
      <c r="BW216" s="437">
        <f t="shared" si="275"/>
        <v>26315.471706664728</v>
      </c>
      <c r="BX216" s="437">
        <f t="shared" si="275"/>
        <v>27725.042382962063</v>
      </c>
      <c r="BY216" s="437">
        <f t="shared" si="275"/>
        <v>29148.598460719837</v>
      </c>
      <c r="BZ216" s="437">
        <f t="shared" si="275"/>
        <v>30572.553454419569</v>
      </c>
      <c r="CA216" s="437">
        <f t="shared" si="275"/>
        <v>31983.149301166191</v>
      </c>
      <c r="CB216" s="437">
        <f t="shared" si="275"/>
        <v>31231.915794166394</v>
      </c>
      <c r="CC216" s="213"/>
      <c r="CD216" s="213"/>
      <c r="CE216" s="213"/>
      <c r="CF216" s="213"/>
      <c r="CG216" s="213"/>
      <c r="CH216" s="213"/>
      <c r="CI216" s="213"/>
      <c r="CJ216" s="213"/>
      <c r="CK216" s="213"/>
      <c r="CL216" s="213"/>
    </row>
    <row r="217" spans="1:90" s="65" customFormat="1">
      <c r="A217" s="438" t="s">
        <v>481</v>
      </c>
      <c r="B217" s="439" t="s">
        <v>482</v>
      </c>
      <c r="G217" s="66"/>
      <c r="H217" s="66"/>
      <c r="I217" s="67"/>
      <c r="J217" s="67"/>
      <c r="K217" s="67"/>
      <c r="L217" s="67"/>
      <c r="M217" s="66"/>
      <c r="N217" s="67"/>
      <c r="O217" s="67"/>
      <c r="P217" s="67"/>
      <c r="Q217" s="67"/>
      <c r="R217" s="66"/>
      <c r="S217" s="67"/>
      <c r="T217" s="67"/>
      <c r="U217" s="67"/>
      <c r="V217" s="67"/>
      <c r="W217" s="66"/>
      <c r="X217" s="67"/>
      <c r="Y217" s="67"/>
      <c r="Z217" s="67"/>
      <c r="AA217" s="67"/>
      <c r="AB217" s="66">
        <f>+AB216*$A$3/AB213</f>
        <v>2191.6025042404376</v>
      </c>
      <c r="AC217" s="67"/>
      <c r="AD217" s="67"/>
      <c r="AE217" s="67"/>
      <c r="AF217" s="67"/>
      <c r="AG217" s="66">
        <f>+AG216*$A$3/AG213</f>
        <v>2008.1892462392689</v>
      </c>
      <c r="AH217" s="67"/>
      <c r="AI217" s="67"/>
      <c r="AJ217" s="67"/>
      <c r="AK217" s="67"/>
      <c r="AL217" s="440">
        <f>+AL216*$A$3/AL213</f>
        <v>3059.4772780897661</v>
      </c>
      <c r="AM217" s="67"/>
      <c r="AN217" s="67"/>
      <c r="AO217" s="67"/>
      <c r="AP217" s="67"/>
      <c r="AQ217" s="440">
        <f>+AQ216*$A$3/AQ213</f>
        <v>4404.262157553836</v>
      </c>
      <c r="AR217" s="441" t="e">
        <f>+AR216*$A$3/AR213</f>
        <v>#REF!</v>
      </c>
      <c r="AS217" s="441" t="e">
        <f>+AS216*$A$3/AS213</f>
        <v>#REF!</v>
      </c>
      <c r="AT217" s="440">
        <f>+AT216*$A$3/AT213</f>
        <v>3389.638787181485</v>
      </c>
      <c r="AU217" s="440"/>
      <c r="AV217" s="440"/>
      <c r="AW217" s="440"/>
      <c r="AX217" s="440"/>
      <c r="AY217" s="441">
        <f>+AY216*$A$3/AY213</f>
        <v>3671.7815681759585</v>
      </c>
      <c r="AZ217" s="692"/>
      <c r="BA217" s="692"/>
      <c r="BB217" s="692"/>
      <c r="BC217" s="692"/>
      <c r="BD217" s="441">
        <f>+BD216*$A$3/BD213</f>
        <v>4873.0287169105595</v>
      </c>
      <c r="BE217" s="692"/>
      <c r="BF217" s="692"/>
      <c r="BG217" s="692"/>
      <c r="BH217" s="692"/>
      <c r="BI217" s="441">
        <f>+BI216*$A$3/BI213</f>
        <v>4693.7033188551823</v>
      </c>
      <c r="BJ217" s="692"/>
      <c r="BK217" s="692"/>
      <c r="BL217" s="692"/>
      <c r="BM217" s="692"/>
      <c r="BN217" s="441">
        <f>+BN216*$A$3/BN213</f>
        <v>5009.3762656454755</v>
      </c>
      <c r="BO217" s="441"/>
      <c r="BP217" s="668"/>
      <c r="BQ217" s="668"/>
      <c r="BR217" s="668">
        <f t="shared" ref="BR217:CB217" si="276">+BR216*$A$3/BR213</f>
        <v>5023.1137413943352</v>
      </c>
      <c r="BS217" s="441">
        <f t="shared" si="276"/>
        <v>5189.1306177763772</v>
      </c>
      <c r="BT217" s="441">
        <f t="shared" si="276"/>
        <v>5474.2659735135085</v>
      </c>
      <c r="BU217" s="441">
        <f t="shared" si="276"/>
        <v>5690.5001281655968</v>
      </c>
      <c r="BV217" s="441">
        <f t="shared" si="276"/>
        <v>6028.5647954598899</v>
      </c>
      <c r="BW217" s="441">
        <f t="shared" si="276"/>
        <v>6362.9924678117568</v>
      </c>
      <c r="BX217" s="441">
        <f t="shared" si="276"/>
        <v>6703.8219120301837</v>
      </c>
      <c r="BY217" s="441">
        <f t="shared" si="276"/>
        <v>7048.0329792399834</v>
      </c>
      <c r="BZ217" s="441">
        <f t="shared" si="276"/>
        <v>7392.3405029816004</v>
      </c>
      <c r="CA217" s="441">
        <f t="shared" si="276"/>
        <v>7733.4178299634359</v>
      </c>
      <c r="CB217" s="441">
        <f t="shared" si="276"/>
        <v>7551.7720969934699</v>
      </c>
      <c r="CC217" s="755"/>
      <c r="CD217" s="755"/>
      <c r="CE217" s="755"/>
      <c r="CF217" s="755"/>
      <c r="CG217" s="755"/>
      <c r="CH217" s="755"/>
      <c r="CI217" s="755"/>
      <c r="CJ217" s="755"/>
      <c r="CK217" s="755"/>
      <c r="CL217" s="755"/>
    </row>
    <row r="218" spans="1:90" s="36" customFormat="1">
      <c r="G218" s="92"/>
      <c r="H218" s="92"/>
      <c r="I218" s="88"/>
      <c r="J218" s="88"/>
      <c r="K218" s="88"/>
      <c r="L218" s="88"/>
      <c r="M218" s="92"/>
      <c r="N218" s="88"/>
      <c r="O218" s="88"/>
      <c r="P218" s="88"/>
      <c r="Q218" s="88"/>
      <c r="R218" s="92"/>
      <c r="S218" s="88"/>
      <c r="T218" s="88"/>
      <c r="U218" s="88"/>
      <c r="V218" s="88"/>
      <c r="W218" s="92"/>
      <c r="X218" s="88"/>
      <c r="Y218" s="88"/>
      <c r="Z218" s="88"/>
      <c r="AA218" s="88"/>
      <c r="AB218" s="443">
        <f>+AB217/1000</f>
        <v>2.1916025042404375</v>
      </c>
      <c r="AC218" s="88"/>
      <c r="AD218" s="88"/>
      <c r="AE218" s="88"/>
      <c r="AF218" s="88"/>
      <c r="AG218" s="443">
        <f>+AG217/1000</f>
        <v>2.0081892462392688</v>
      </c>
      <c r="AH218" s="88"/>
      <c r="AI218" s="88"/>
      <c r="AJ218" s="88"/>
      <c r="AK218" s="88"/>
      <c r="AL218" s="436">
        <f>+AL217/1000</f>
        <v>3.0594772780897661</v>
      </c>
      <c r="AM218" s="88"/>
      <c r="AN218" s="88"/>
      <c r="AO218" s="88"/>
      <c r="AP218" s="88"/>
      <c r="AQ218" s="436">
        <f>+AQ217/1000</f>
        <v>4.4042621575538359</v>
      </c>
      <c r="AR218" s="437" t="e">
        <f>+AR217/1000</f>
        <v>#REF!</v>
      </c>
      <c r="AS218" s="437" t="e">
        <f>+AS217/1000</f>
        <v>#REF!</v>
      </c>
      <c r="AT218" s="436">
        <f>+AT217/1000</f>
        <v>3.389638787181485</v>
      </c>
      <c r="AU218" s="436"/>
      <c r="AV218" s="436"/>
      <c r="AW218" s="436"/>
      <c r="AX218" s="436"/>
      <c r="AY218" s="437">
        <f>+AY217/1000</f>
        <v>3.6717815681759585</v>
      </c>
      <c r="AZ218" s="691"/>
      <c r="BA218" s="691"/>
      <c r="BB218" s="691"/>
      <c r="BC218" s="691"/>
      <c r="BD218" s="437">
        <f>+BD217/1000</f>
        <v>4.8730287169105599</v>
      </c>
      <c r="BE218" s="691"/>
      <c r="BF218" s="691"/>
      <c r="BG218" s="691"/>
      <c r="BH218" s="691"/>
      <c r="BI218" s="437">
        <f>+BI217/1000</f>
        <v>4.6937033188551824</v>
      </c>
      <c r="BJ218" s="691"/>
      <c r="BK218" s="691"/>
      <c r="BL218" s="691"/>
      <c r="BM218" s="691"/>
      <c r="BN218" s="437">
        <f>+BN217/1000</f>
        <v>5.0093762656454759</v>
      </c>
      <c r="BO218" s="437"/>
      <c r="BP218" s="668"/>
      <c r="BQ218" s="668"/>
      <c r="BR218" s="668">
        <f t="shared" ref="BR218:CB218" si="277">+BR217/1000</f>
        <v>5.0231137413943348</v>
      </c>
      <c r="BS218" s="437">
        <f t="shared" si="277"/>
        <v>5.1891306177763772</v>
      </c>
      <c r="BT218" s="437">
        <f t="shared" si="277"/>
        <v>5.4742659735135089</v>
      </c>
      <c r="BU218" s="437">
        <f t="shared" si="277"/>
        <v>5.6905001281655965</v>
      </c>
      <c r="BV218" s="437">
        <f t="shared" si="277"/>
        <v>6.0285647954598902</v>
      </c>
      <c r="BW218" s="437">
        <f t="shared" si="277"/>
        <v>6.3629924678117566</v>
      </c>
      <c r="BX218" s="437">
        <f t="shared" si="277"/>
        <v>6.7038219120301834</v>
      </c>
      <c r="BY218" s="437">
        <f t="shared" si="277"/>
        <v>7.0480329792399834</v>
      </c>
      <c r="BZ218" s="437">
        <f t="shared" si="277"/>
        <v>7.3923405029816003</v>
      </c>
      <c r="CA218" s="437">
        <f t="shared" si="277"/>
        <v>7.733417829963436</v>
      </c>
      <c r="CB218" s="437">
        <f t="shared" si="277"/>
        <v>7.5517720969934699</v>
      </c>
      <c r="CC218" s="213"/>
      <c r="CD218" s="213"/>
      <c r="CE218" s="213"/>
      <c r="CF218" s="213"/>
      <c r="CG218" s="213"/>
      <c r="CH218" s="213"/>
      <c r="CI218" s="213"/>
      <c r="CJ218" s="213"/>
      <c r="CK218" s="213"/>
      <c r="CL218" s="213"/>
    </row>
    <row r="219" spans="1:90" s="36" customFormat="1">
      <c r="G219" s="92"/>
      <c r="H219" s="92"/>
      <c r="I219" s="88"/>
      <c r="J219" s="88"/>
      <c r="K219" s="88"/>
      <c r="L219" s="88"/>
      <c r="M219" s="92"/>
      <c r="N219" s="88"/>
      <c r="O219" s="88"/>
      <c r="P219" s="88"/>
      <c r="Q219" s="88"/>
      <c r="R219" s="92"/>
      <c r="S219" s="88"/>
      <c r="T219" s="88"/>
      <c r="U219" s="88"/>
      <c r="V219" s="88"/>
      <c r="W219" s="92"/>
      <c r="X219" s="88"/>
      <c r="Y219" s="88"/>
      <c r="Z219" s="88"/>
      <c r="AA219" s="88"/>
      <c r="AB219" s="92"/>
      <c r="AC219" s="88"/>
      <c r="AD219" s="88"/>
      <c r="AE219" s="88"/>
      <c r="AF219" s="88"/>
      <c r="AG219" s="92"/>
      <c r="AH219" s="88"/>
      <c r="AI219" s="88"/>
      <c r="AJ219" s="88"/>
      <c r="AK219" s="88"/>
      <c r="AL219" s="92"/>
      <c r="AM219" s="88"/>
      <c r="AN219" s="88"/>
      <c r="AO219" s="88"/>
      <c r="AP219" s="88"/>
      <c r="AQ219" s="92"/>
      <c r="AR219" s="333"/>
      <c r="AS219" s="333"/>
      <c r="AT219" s="92"/>
      <c r="AU219" s="92"/>
      <c r="AV219" s="92"/>
      <c r="AW219" s="92"/>
      <c r="AX219" s="92"/>
      <c r="AY219" s="333"/>
      <c r="AZ219" s="636"/>
      <c r="BA219" s="636"/>
      <c r="BB219" s="636"/>
      <c r="BC219" s="636"/>
      <c r="BD219" s="333"/>
      <c r="BE219" s="636"/>
      <c r="BF219" s="636"/>
      <c r="BG219" s="636"/>
      <c r="BH219" s="636"/>
      <c r="BI219" s="333"/>
      <c r="BJ219" s="636"/>
      <c r="BK219" s="636"/>
      <c r="BL219" s="636"/>
      <c r="BM219" s="636"/>
      <c r="BN219" s="333"/>
      <c r="BO219" s="333"/>
      <c r="BP219" s="668"/>
      <c r="BQ219" s="668"/>
      <c r="BR219" s="668"/>
      <c r="BS219" s="333"/>
      <c r="BT219" s="333"/>
      <c r="BU219" s="333"/>
      <c r="BV219" s="333"/>
      <c r="BW219" s="333"/>
      <c r="BX219" s="333"/>
      <c r="BY219" s="333"/>
      <c r="BZ219" s="333"/>
      <c r="CA219" s="333"/>
      <c r="CB219" s="333"/>
      <c r="CC219" s="213"/>
      <c r="CD219" s="213"/>
      <c r="CE219" s="213"/>
      <c r="CF219" s="213"/>
      <c r="CG219" s="213"/>
      <c r="CH219" s="213"/>
      <c r="CI219" s="213"/>
      <c r="CJ219" s="213"/>
      <c r="CK219" s="213"/>
      <c r="CL219" s="213"/>
    </row>
    <row r="220" spans="1:90" s="36" customFormat="1">
      <c r="G220" s="92"/>
      <c r="H220" s="92"/>
      <c r="I220" s="88"/>
      <c r="J220" s="88"/>
      <c r="K220" s="88"/>
      <c r="L220" s="88"/>
      <c r="M220" s="92"/>
      <c r="N220" s="88"/>
      <c r="O220" s="88"/>
      <c r="P220" s="88"/>
      <c r="Q220" s="88"/>
      <c r="R220" s="92"/>
      <c r="S220" s="88"/>
      <c r="T220" s="88"/>
      <c r="U220" s="88"/>
      <c r="V220" s="88"/>
      <c r="W220" s="92"/>
      <c r="X220" s="88"/>
      <c r="Y220" s="88"/>
      <c r="Z220" s="88"/>
      <c r="AA220" s="88"/>
      <c r="AB220" s="92"/>
      <c r="AC220" s="88"/>
      <c r="AD220" s="88"/>
      <c r="AE220" s="88"/>
      <c r="AF220" s="88"/>
      <c r="AG220" s="92"/>
      <c r="AH220" s="88"/>
      <c r="AI220" s="88"/>
      <c r="AJ220" s="88"/>
      <c r="AK220" s="88"/>
      <c r="AL220" s="92"/>
      <c r="AM220" s="88"/>
      <c r="AN220" s="88"/>
      <c r="AO220" s="88"/>
      <c r="AP220" s="88"/>
      <c r="AQ220" s="92"/>
      <c r="AR220" s="333"/>
      <c r="AS220" s="333"/>
      <c r="AT220" s="92"/>
      <c r="AU220" s="92"/>
      <c r="AV220" s="92"/>
      <c r="AW220" s="92"/>
      <c r="AX220" s="92"/>
      <c r="AY220" s="333"/>
      <c r="AZ220" s="636"/>
      <c r="BA220" s="636"/>
      <c r="BB220" s="636"/>
      <c r="BC220" s="636"/>
      <c r="BD220" s="333"/>
      <c r="BE220" s="636"/>
      <c r="BF220" s="636"/>
      <c r="BG220" s="636"/>
      <c r="BH220" s="636"/>
      <c r="BI220" s="333"/>
      <c r="BJ220" s="636"/>
      <c r="BK220" s="636"/>
      <c r="BL220" s="636"/>
      <c r="BM220" s="636"/>
      <c r="BN220" s="333"/>
      <c r="BO220" s="333"/>
      <c r="BP220" s="668"/>
      <c r="BQ220" s="668"/>
      <c r="BR220" s="668"/>
      <c r="BS220" s="333"/>
      <c r="BT220" s="333"/>
      <c r="BU220" s="333"/>
      <c r="BV220" s="333"/>
      <c r="BW220" s="333"/>
      <c r="BX220" s="333"/>
      <c r="BY220" s="333"/>
      <c r="BZ220" s="333"/>
      <c r="CA220" s="333"/>
      <c r="CB220" s="333"/>
      <c r="CC220" s="213"/>
      <c r="CD220" s="213"/>
      <c r="CE220" s="213"/>
      <c r="CF220" s="213"/>
      <c r="CG220" s="213"/>
      <c r="CH220" s="213"/>
      <c r="CI220" s="213"/>
      <c r="CJ220" s="213"/>
      <c r="CK220" s="213"/>
      <c r="CL220" s="213"/>
    </row>
    <row r="221" spans="1:90" s="36" customFormat="1">
      <c r="G221" s="92"/>
      <c r="H221" s="92"/>
      <c r="I221" s="88"/>
      <c r="J221" s="88"/>
      <c r="K221" s="88"/>
      <c r="L221" s="88"/>
      <c r="M221" s="92"/>
      <c r="N221" s="88"/>
      <c r="O221" s="88"/>
      <c r="P221" s="88"/>
      <c r="Q221" s="88"/>
      <c r="R221" s="92"/>
      <c r="S221" s="88"/>
      <c r="T221" s="88"/>
      <c r="U221" s="88"/>
      <c r="V221" s="88"/>
      <c r="W221" s="92"/>
      <c r="X221" s="88"/>
      <c r="Y221" s="88"/>
      <c r="Z221" s="88"/>
      <c r="AA221" s="88"/>
      <c r="AB221" s="92"/>
      <c r="AC221" s="88"/>
      <c r="AD221" s="88"/>
      <c r="AE221" s="88"/>
      <c r="AF221" s="88"/>
      <c r="AG221" s="92"/>
      <c r="AH221" s="88"/>
      <c r="AI221" s="88"/>
      <c r="AJ221" s="88"/>
      <c r="AK221" s="88"/>
      <c r="AL221" s="92"/>
      <c r="AM221" s="88"/>
      <c r="AN221" s="88"/>
      <c r="AO221" s="88"/>
      <c r="AP221" s="88"/>
      <c r="AQ221" s="92"/>
      <c r="AR221" s="333"/>
      <c r="AS221" s="333"/>
      <c r="AT221" s="92"/>
      <c r="AU221" s="92"/>
      <c r="AV221" s="92"/>
      <c r="AW221" s="92"/>
      <c r="AX221" s="92"/>
      <c r="AY221" s="333"/>
      <c r="AZ221" s="636"/>
      <c r="BA221" s="636"/>
      <c r="BB221" s="636"/>
      <c r="BC221" s="636"/>
      <c r="BD221" s="333"/>
      <c r="BE221" s="636"/>
      <c r="BF221" s="636"/>
      <c r="BG221" s="636"/>
      <c r="BH221" s="636"/>
      <c r="BI221" s="333"/>
      <c r="BJ221" s="636"/>
      <c r="BK221" s="636"/>
      <c r="BL221" s="636"/>
      <c r="BM221" s="636"/>
      <c r="BN221" s="333"/>
      <c r="BO221" s="333"/>
      <c r="BP221" s="668"/>
      <c r="BQ221" s="668"/>
      <c r="BR221" s="668"/>
      <c r="BS221" s="333"/>
      <c r="BT221" s="333"/>
      <c r="BU221" s="333"/>
      <c r="BV221" s="333"/>
      <c r="BW221" s="333"/>
      <c r="BX221" s="333"/>
      <c r="BY221" s="333"/>
      <c r="BZ221" s="333"/>
      <c r="CA221" s="333"/>
      <c r="CB221" s="333"/>
      <c r="CC221" s="213"/>
      <c r="CD221" s="213"/>
      <c r="CE221" s="213"/>
      <c r="CF221" s="213"/>
      <c r="CG221" s="213"/>
      <c r="CH221" s="213"/>
      <c r="CI221" s="213"/>
      <c r="CJ221" s="213"/>
      <c r="CK221" s="213"/>
      <c r="CL221" s="213"/>
    </row>
    <row r="222" spans="1:90" s="36" customFormat="1">
      <c r="G222" s="92"/>
      <c r="H222" s="92"/>
      <c r="I222" s="88"/>
      <c r="J222" s="88"/>
      <c r="K222" s="88"/>
      <c r="L222" s="88"/>
      <c r="M222" s="92"/>
      <c r="N222" s="88"/>
      <c r="O222" s="88"/>
      <c r="P222" s="88"/>
      <c r="Q222" s="88"/>
      <c r="R222" s="92"/>
      <c r="S222" s="88"/>
      <c r="T222" s="88"/>
      <c r="U222" s="88"/>
      <c r="V222" s="88"/>
      <c r="W222" s="92"/>
      <c r="X222" s="88"/>
      <c r="Y222" s="88"/>
      <c r="Z222" s="88"/>
      <c r="AA222" s="88"/>
      <c r="AB222" s="92"/>
      <c r="AC222" s="88"/>
      <c r="AD222" s="88"/>
      <c r="AE222" s="88"/>
      <c r="AF222" s="88"/>
      <c r="AG222" s="92"/>
      <c r="AH222" s="88"/>
      <c r="AI222" s="88"/>
      <c r="AJ222" s="88"/>
      <c r="AK222" s="88"/>
      <c r="AL222" s="92"/>
      <c r="AM222" s="88"/>
      <c r="AN222" s="88"/>
      <c r="AO222" s="88"/>
      <c r="AP222" s="88"/>
      <c r="AQ222" s="92"/>
      <c r="AR222" s="333"/>
      <c r="AS222" s="333"/>
      <c r="AT222" s="92"/>
      <c r="AU222" s="92"/>
      <c r="AV222" s="92"/>
      <c r="AW222" s="92"/>
      <c r="AX222" s="92"/>
      <c r="AY222" s="333"/>
      <c r="AZ222" s="636"/>
      <c r="BA222" s="636"/>
      <c r="BB222" s="636"/>
      <c r="BC222" s="636"/>
      <c r="BD222" s="333"/>
      <c r="BE222" s="636"/>
      <c r="BF222" s="636"/>
      <c r="BG222" s="636"/>
      <c r="BH222" s="636"/>
      <c r="BI222" s="333"/>
      <c r="BJ222" s="636"/>
      <c r="BK222" s="636"/>
      <c r="BL222" s="636"/>
      <c r="BM222" s="636"/>
      <c r="BN222" s="333"/>
      <c r="BO222" s="333"/>
      <c r="BP222" s="668"/>
      <c r="BQ222" s="668"/>
      <c r="BR222" s="668"/>
      <c r="BS222" s="333"/>
      <c r="BT222" s="333"/>
      <c r="BU222" s="333"/>
      <c r="BV222" s="333"/>
      <c r="BW222" s="333"/>
      <c r="BX222" s="333"/>
      <c r="BY222" s="333"/>
      <c r="BZ222" s="333"/>
      <c r="CA222" s="333"/>
      <c r="CB222" s="333"/>
    </row>
    <row r="223" spans="1:90" s="36" customFormat="1">
      <c r="G223" s="92"/>
      <c r="H223" s="92"/>
      <c r="I223" s="88"/>
      <c r="J223" s="88"/>
      <c r="K223" s="88"/>
      <c r="L223" s="88"/>
      <c r="M223" s="92"/>
      <c r="N223" s="88"/>
      <c r="O223" s="88"/>
      <c r="P223" s="88"/>
      <c r="Q223" s="88"/>
      <c r="R223" s="92"/>
      <c r="S223" s="88"/>
      <c r="T223" s="88"/>
      <c r="U223" s="88"/>
      <c r="V223" s="88"/>
      <c r="W223" s="92"/>
      <c r="X223" s="88"/>
      <c r="Y223" s="88"/>
      <c r="Z223" s="88"/>
      <c r="AA223" s="88"/>
      <c r="AB223" s="92"/>
      <c r="AC223" s="88"/>
      <c r="AD223" s="88"/>
      <c r="AE223" s="88"/>
      <c r="AF223" s="88"/>
      <c r="AG223" s="92"/>
      <c r="AH223" s="88"/>
      <c r="AI223" s="88"/>
      <c r="AJ223" s="88"/>
      <c r="AK223" s="88"/>
      <c r="AL223" s="92"/>
      <c r="AM223" s="88"/>
      <c r="AN223" s="88"/>
      <c r="AO223" s="88"/>
      <c r="AP223" s="88"/>
      <c r="AQ223" s="92"/>
      <c r="AR223" s="333"/>
      <c r="AS223" s="333"/>
      <c r="AT223" s="92"/>
      <c r="AU223" s="92"/>
      <c r="AV223" s="92"/>
      <c r="AW223" s="92"/>
      <c r="AX223" s="92"/>
      <c r="AY223" s="333"/>
      <c r="AZ223" s="636"/>
      <c r="BA223" s="636"/>
      <c r="BB223" s="636"/>
      <c r="BC223" s="636"/>
      <c r="BD223" s="333"/>
      <c r="BE223" s="636"/>
      <c r="BF223" s="636"/>
      <c r="BG223" s="636"/>
      <c r="BH223" s="636"/>
      <c r="BI223" s="333"/>
      <c r="BJ223" s="636"/>
      <c r="BK223" s="636"/>
      <c r="BL223" s="636"/>
      <c r="BM223" s="636"/>
      <c r="BN223" s="333"/>
      <c r="BO223" s="333"/>
      <c r="BP223" s="668"/>
      <c r="BQ223" s="668"/>
      <c r="BR223" s="668"/>
      <c r="BS223" s="333"/>
      <c r="BT223" s="333"/>
      <c r="BU223" s="333"/>
      <c r="BV223" s="333"/>
      <c r="BW223" s="333"/>
      <c r="BX223" s="333"/>
      <c r="BY223" s="333"/>
      <c r="BZ223" s="333"/>
      <c r="CA223" s="333"/>
      <c r="CB223" s="333"/>
    </row>
    <row r="224" spans="1:90" s="36" customFormat="1">
      <c r="G224" s="92"/>
      <c r="H224" s="92"/>
      <c r="I224" s="88"/>
      <c r="J224" s="88"/>
      <c r="K224" s="88"/>
      <c r="L224" s="88"/>
      <c r="M224" s="92"/>
      <c r="N224" s="88"/>
      <c r="O224" s="88"/>
      <c r="P224" s="88"/>
      <c r="Q224" s="88"/>
      <c r="R224" s="92"/>
      <c r="S224" s="88"/>
      <c r="T224" s="88"/>
      <c r="U224" s="88"/>
      <c r="V224" s="88"/>
      <c r="W224" s="92"/>
      <c r="X224" s="88"/>
      <c r="Y224" s="88"/>
      <c r="Z224" s="88"/>
      <c r="AA224" s="88"/>
      <c r="AB224" s="92"/>
      <c r="AC224" s="88"/>
      <c r="AD224" s="88"/>
      <c r="AE224" s="88"/>
      <c r="AF224" s="88"/>
      <c r="AG224" s="92"/>
      <c r="AH224" s="88"/>
      <c r="AI224" s="88"/>
      <c r="AJ224" s="88"/>
      <c r="AK224" s="88"/>
      <c r="AL224" s="92"/>
      <c r="AM224" s="88"/>
      <c r="AN224" s="88"/>
      <c r="AO224" s="88"/>
      <c r="AP224" s="88"/>
      <c r="AQ224" s="92"/>
      <c r="AR224" s="333"/>
      <c r="AS224" s="333"/>
      <c r="AT224" s="92"/>
      <c r="AU224" s="92"/>
      <c r="AV224" s="92"/>
      <c r="AW224" s="92"/>
      <c r="AX224" s="92"/>
      <c r="AY224" s="333"/>
      <c r="AZ224" s="636"/>
      <c r="BA224" s="636"/>
      <c r="BB224" s="636"/>
      <c r="BC224" s="636"/>
      <c r="BD224" s="333"/>
      <c r="BE224" s="636"/>
      <c r="BF224" s="636"/>
      <c r="BG224" s="636"/>
      <c r="BH224" s="636"/>
      <c r="BI224" s="333"/>
      <c r="BJ224" s="636"/>
      <c r="BK224" s="636"/>
      <c r="BL224" s="636"/>
      <c r="BM224" s="636"/>
      <c r="BN224" s="333"/>
      <c r="BO224" s="333"/>
      <c r="BP224" s="668"/>
      <c r="BQ224" s="668"/>
      <c r="BR224" s="668"/>
      <c r="BS224" s="333"/>
      <c r="BT224" s="333"/>
      <c r="BU224" s="333"/>
      <c r="BV224" s="333"/>
      <c r="BW224" s="333"/>
      <c r="BX224" s="333"/>
      <c r="BY224" s="333"/>
      <c r="BZ224" s="333"/>
      <c r="CA224" s="333"/>
      <c r="CB224" s="333"/>
    </row>
    <row r="225" spans="1:80" s="36" customFormat="1">
      <c r="G225" s="92"/>
      <c r="H225" s="92"/>
      <c r="I225" s="88"/>
      <c r="J225" s="88"/>
      <c r="K225" s="88"/>
      <c r="L225" s="88"/>
      <c r="M225" s="92"/>
      <c r="N225" s="88"/>
      <c r="O225" s="88"/>
      <c r="P225" s="88"/>
      <c r="Q225" s="88"/>
      <c r="R225" s="92"/>
      <c r="S225" s="88"/>
      <c r="T225" s="88"/>
      <c r="U225" s="88"/>
      <c r="V225" s="88"/>
      <c r="W225" s="92"/>
      <c r="X225" s="88"/>
      <c r="Y225" s="88"/>
      <c r="Z225" s="88"/>
      <c r="AA225" s="88"/>
      <c r="AB225" s="92"/>
      <c r="AC225" s="88"/>
      <c r="AD225" s="88"/>
      <c r="AE225" s="88"/>
      <c r="AF225" s="88"/>
      <c r="AG225" s="92"/>
      <c r="AH225" s="88"/>
      <c r="AI225" s="88"/>
      <c r="AJ225" s="88"/>
      <c r="AK225" s="88"/>
      <c r="AL225" s="92"/>
      <c r="AM225" s="88"/>
      <c r="AN225" s="88"/>
      <c r="AO225" s="88"/>
      <c r="AP225" s="88"/>
      <c r="AQ225" s="92"/>
      <c r="AR225" s="333"/>
      <c r="AS225" s="333"/>
      <c r="AT225" s="92"/>
      <c r="AU225" s="92"/>
      <c r="AV225" s="92"/>
      <c r="AW225" s="92"/>
      <c r="AX225" s="92"/>
      <c r="AY225" s="333"/>
      <c r="AZ225" s="636"/>
      <c r="BA225" s="636"/>
      <c r="BB225" s="636"/>
      <c r="BC225" s="636"/>
      <c r="BD225" s="333"/>
      <c r="BE225" s="636"/>
      <c r="BF225" s="636"/>
      <c r="BG225" s="636"/>
      <c r="BH225" s="636"/>
      <c r="BI225" s="333"/>
      <c r="BJ225" s="636"/>
      <c r="BK225" s="636"/>
      <c r="BL225" s="636"/>
      <c r="BM225" s="636"/>
      <c r="BN225" s="333"/>
      <c r="BO225" s="333"/>
      <c r="BP225" s="668"/>
      <c r="BQ225" s="668"/>
      <c r="BR225" s="668"/>
      <c r="BS225" s="333"/>
      <c r="BT225" s="333"/>
      <c r="BU225" s="333"/>
      <c r="BV225" s="333"/>
      <c r="BW225" s="333"/>
      <c r="BX225" s="333"/>
      <c r="BY225" s="333"/>
      <c r="BZ225" s="333"/>
      <c r="CA225" s="333"/>
      <c r="CB225" s="333"/>
    </row>
    <row r="226" spans="1:80" s="36" customFormat="1">
      <c r="G226" s="92"/>
      <c r="H226" s="92"/>
      <c r="I226" s="88"/>
      <c r="J226" s="88"/>
      <c r="K226" s="88"/>
      <c r="L226" s="88"/>
      <c r="M226" s="92"/>
      <c r="N226" s="88"/>
      <c r="O226" s="88"/>
      <c r="P226" s="88"/>
      <c r="Q226" s="88"/>
      <c r="R226" s="92"/>
      <c r="S226" s="88"/>
      <c r="T226" s="88"/>
      <c r="U226" s="88"/>
      <c r="V226" s="88"/>
      <c r="W226" s="92"/>
      <c r="X226" s="88"/>
      <c r="Y226" s="88"/>
      <c r="Z226" s="88"/>
      <c r="AA226" s="88"/>
      <c r="AB226" s="92"/>
      <c r="AC226" s="88"/>
      <c r="AD226" s="88"/>
      <c r="AE226" s="88"/>
      <c r="AF226" s="88"/>
      <c r="AG226" s="92"/>
      <c r="AH226" s="88"/>
      <c r="AI226" s="88"/>
      <c r="AJ226" s="88"/>
      <c r="AK226" s="88"/>
      <c r="AL226" s="92"/>
      <c r="AM226" s="88"/>
      <c r="AN226" s="88"/>
      <c r="AO226" s="88"/>
      <c r="AP226" s="88"/>
      <c r="AQ226" s="92"/>
      <c r="AR226" s="333"/>
      <c r="AS226" s="333"/>
      <c r="AT226" s="92"/>
      <c r="AU226" s="92"/>
      <c r="AV226" s="92"/>
      <c r="AW226" s="92"/>
      <c r="AX226" s="92"/>
      <c r="AY226" s="333"/>
      <c r="AZ226" s="636"/>
      <c r="BA226" s="636"/>
      <c r="BB226" s="636"/>
      <c r="BC226" s="636"/>
      <c r="BD226" s="333"/>
      <c r="BE226" s="636"/>
      <c r="BF226" s="636"/>
      <c r="BG226" s="636"/>
      <c r="BH226" s="636"/>
      <c r="BI226" s="333"/>
      <c r="BJ226" s="636"/>
      <c r="BK226" s="636"/>
      <c r="BL226" s="636"/>
      <c r="BM226" s="636"/>
      <c r="BN226" s="333"/>
      <c r="BO226" s="333"/>
      <c r="BP226" s="668"/>
      <c r="BQ226" s="668"/>
      <c r="BR226" s="668"/>
      <c r="BS226" s="333"/>
      <c r="BT226" s="333"/>
      <c r="BU226" s="333"/>
      <c r="BV226" s="333"/>
      <c r="BW226" s="333"/>
      <c r="BX226" s="333"/>
      <c r="BY226" s="333"/>
      <c r="BZ226" s="333"/>
      <c r="CA226" s="333"/>
      <c r="CB226" s="333"/>
    </row>
    <row r="227" spans="1:80" s="36" customFormat="1">
      <c r="G227" s="92"/>
      <c r="H227" s="92"/>
      <c r="I227" s="88"/>
      <c r="J227" s="88"/>
      <c r="K227" s="88"/>
      <c r="L227" s="88"/>
      <c r="M227" s="92"/>
      <c r="N227" s="88"/>
      <c r="O227" s="88"/>
      <c r="P227" s="88"/>
      <c r="Q227" s="88"/>
      <c r="R227" s="92"/>
      <c r="S227" s="88"/>
      <c r="T227" s="88"/>
      <c r="U227" s="88"/>
      <c r="V227" s="88"/>
      <c r="W227" s="92"/>
      <c r="X227" s="88"/>
      <c r="Y227" s="88"/>
      <c r="Z227" s="88"/>
      <c r="AA227" s="88"/>
      <c r="AB227" s="92"/>
      <c r="AC227" s="88"/>
      <c r="AD227" s="88"/>
      <c r="AE227" s="88"/>
      <c r="AF227" s="88"/>
      <c r="AG227" s="92"/>
      <c r="AH227" s="88"/>
      <c r="AI227" s="88"/>
      <c r="AJ227" s="88"/>
      <c r="AK227" s="88"/>
      <c r="AL227" s="92"/>
      <c r="AM227" s="88"/>
      <c r="AN227" s="88"/>
      <c r="AO227" s="88"/>
      <c r="AP227" s="88"/>
      <c r="AQ227" s="92"/>
      <c r="AR227" s="333"/>
      <c r="AS227" s="333"/>
      <c r="AT227" s="92"/>
      <c r="AU227" s="92"/>
      <c r="AV227" s="92"/>
      <c r="AW227" s="92"/>
      <c r="AX227" s="92"/>
      <c r="AY227" s="333"/>
      <c r="AZ227" s="636"/>
      <c r="BA227" s="636"/>
      <c r="BB227" s="636"/>
      <c r="BC227" s="636"/>
      <c r="BD227" s="333"/>
      <c r="BE227" s="636"/>
      <c r="BF227" s="636"/>
      <c r="BG227" s="636"/>
      <c r="BH227" s="636"/>
      <c r="BI227" s="333"/>
      <c r="BJ227" s="636"/>
      <c r="BK227" s="636"/>
      <c r="BL227" s="636"/>
      <c r="BM227" s="636"/>
      <c r="BN227" s="333"/>
      <c r="BO227" s="333"/>
      <c r="BP227" s="668"/>
      <c r="BQ227" s="668"/>
      <c r="BR227" s="668"/>
      <c r="BS227" s="333"/>
      <c r="BT227" s="333"/>
      <c r="BU227" s="333"/>
      <c r="BV227" s="333"/>
      <c r="BW227" s="333"/>
      <c r="BX227" s="333"/>
      <c r="BY227" s="333"/>
      <c r="BZ227" s="333"/>
      <c r="CA227" s="333"/>
      <c r="CB227" s="333"/>
    </row>
    <row r="228" spans="1:80" s="36" customFormat="1">
      <c r="G228" s="92"/>
      <c r="H228" s="92"/>
      <c r="I228" s="88"/>
      <c r="J228" s="88"/>
      <c r="K228" s="88"/>
      <c r="L228" s="88"/>
      <c r="M228" s="92"/>
      <c r="N228" s="88"/>
      <c r="O228" s="88"/>
      <c r="P228" s="88"/>
      <c r="Q228" s="88"/>
      <c r="R228" s="92"/>
      <c r="S228" s="88"/>
      <c r="T228" s="88"/>
      <c r="U228" s="88"/>
      <c r="V228" s="88"/>
      <c r="W228" s="92"/>
      <c r="X228" s="88"/>
      <c r="Y228" s="88"/>
      <c r="Z228" s="88"/>
      <c r="AA228" s="88"/>
      <c r="AB228" s="92"/>
      <c r="AC228" s="88"/>
      <c r="AD228" s="88"/>
      <c r="AE228" s="88"/>
      <c r="AF228" s="88"/>
      <c r="AG228" s="92"/>
      <c r="AH228" s="88"/>
      <c r="AI228" s="88"/>
      <c r="AJ228" s="88"/>
      <c r="AK228" s="88"/>
      <c r="AL228" s="92"/>
      <c r="AM228" s="88"/>
      <c r="AN228" s="88"/>
      <c r="AO228" s="88"/>
      <c r="AP228" s="88"/>
      <c r="AQ228" s="92"/>
      <c r="AR228" s="333"/>
      <c r="AS228" s="333"/>
      <c r="AT228" s="92"/>
      <c r="AU228" s="92"/>
      <c r="AV228" s="92"/>
      <c r="AW228" s="92"/>
      <c r="AX228" s="92"/>
      <c r="AY228" s="333"/>
      <c r="AZ228" s="636"/>
      <c r="BA228" s="636"/>
      <c r="BB228" s="636"/>
      <c r="BC228" s="636"/>
      <c r="BD228" s="333"/>
      <c r="BE228" s="636"/>
      <c r="BF228" s="636"/>
      <c r="BG228" s="636"/>
      <c r="BH228" s="636"/>
      <c r="BI228" s="333"/>
      <c r="BJ228" s="636"/>
      <c r="BK228" s="636"/>
      <c r="BL228" s="636"/>
      <c r="BM228" s="636"/>
      <c r="BN228" s="333"/>
      <c r="BO228" s="333"/>
      <c r="BP228" s="668"/>
      <c r="BQ228" s="668"/>
      <c r="BR228" s="668"/>
      <c r="BS228" s="333"/>
      <c r="BT228" s="333"/>
      <c r="BU228" s="333"/>
      <c r="BV228" s="333"/>
      <c r="BW228" s="333"/>
      <c r="BX228" s="333"/>
      <c r="BY228" s="333"/>
      <c r="BZ228" s="333"/>
      <c r="CA228" s="333"/>
      <c r="CB228" s="333"/>
    </row>
    <row r="229" spans="1:80">
      <c r="A229" s="266" t="s">
        <v>364</v>
      </c>
      <c r="I229" s="40"/>
      <c r="J229" s="40"/>
      <c r="K229" s="40"/>
      <c r="L229" s="40"/>
      <c r="N229" s="40"/>
      <c r="O229" s="40"/>
      <c r="P229" s="40"/>
      <c r="Q229" s="40"/>
      <c r="S229" s="40"/>
      <c r="T229" s="40"/>
      <c r="U229" s="40"/>
      <c r="V229" s="40"/>
      <c r="X229" s="40"/>
      <c r="Y229" s="40"/>
      <c r="Z229" s="40"/>
      <c r="AA229" s="40"/>
      <c r="AC229" s="40"/>
      <c r="AD229" s="40"/>
      <c r="AE229" s="40"/>
      <c r="AF229" s="40"/>
      <c r="AH229" s="40"/>
      <c r="AI229" s="40"/>
      <c r="AJ229" s="40"/>
      <c r="AK229" s="40"/>
      <c r="AM229" s="40"/>
      <c r="AN229" s="40"/>
      <c r="AO229" s="40"/>
      <c r="AP229" s="40"/>
      <c r="AR229" s="4"/>
      <c r="AS229" s="4"/>
      <c r="AY229" s="4"/>
      <c r="BD229" s="4"/>
      <c r="BE229" s="640"/>
      <c r="BF229" s="640"/>
      <c r="BG229" s="640"/>
      <c r="BH229" s="640"/>
      <c r="BI229" s="4"/>
      <c r="BJ229" s="640"/>
      <c r="BK229" s="640"/>
      <c r="BL229" s="640"/>
      <c r="BM229" s="640"/>
      <c r="BN229" s="4"/>
      <c r="BO229" s="4"/>
      <c r="BP229" s="668"/>
      <c r="BQ229" s="668"/>
      <c r="BR229" s="668"/>
      <c r="BS229" s="4"/>
      <c r="BT229" s="4"/>
      <c r="BU229" s="4"/>
      <c r="BV229" s="4"/>
      <c r="BW229" s="4"/>
      <c r="BX229" s="4"/>
      <c r="BY229" s="4"/>
      <c r="BZ229" s="4"/>
      <c r="CA229" s="4"/>
      <c r="CB229" s="4"/>
    </row>
    <row r="230" spans="1:80">
      <c r="A230" s="1" t="s">
        <v>79</v>
      </c>
      <c r="B230" s="1" t="s">
        <v>74</v>
      </c>
      <c r="C230" s="130">
        <f>(Assumptions!C122*1000000/Assumptions!C25)/C231</f>
        <v>9.664551940217396E-2</v>
      </c>
      <c r="D230" s="130">
        <f>(Assumptions!D122*1000000/Assumptions!D25)/D231</f>
        <v>6.1574386849521025E-2</v>
      </c>
      <c r="E230" s="130">
        <f>(Assumptions!E122*1000000/Assumptions!E25)/E231</f>
        <v>7.4507210461506324E-2</v>
      </c>
      <c r="F230" s="130">
        <f>(Assumptions!F122*1000000/Assumptions!F25)/F231</f>
        <v>0.10128693642715751</v>
      </c>
      <c r="G230" s="444">
        <f>(Assumptions!G122*1000000/Assumptions!G25)/G231</f>
        <v>7.8742775705325563E-2</v>
      </c>
      <c r="H230" s="444">
        <f>(Assumptions!H122*1000000/Assumptions!H25)/H231</f>
        <v>7.084809887051538E-2</v>
      </c>
      <c r="I230" s="445">
        <f>+H230</f>
        <v>7.084809887051538E-2</v>
      </c>
      <c r="J230" s="445">
        <f>I230</f>
        <v>7.084809887051538E-2</v>
      </c>
      <c r="K230" s="445">
        <f>J230</f>
        <v>7.084809887051538E-2</v>
      </c>
      <c r="L230" s="445"/>
      <c r="M230" s="444">
        <f>H230</f>
        <v>7.084809887051538E-2</v>
      </c>
      <c r="N230" s="445">
        <f>M230</f>
        <v>7.084809887051538E-2</v>
      </c>
      <c r="O230" s="445">
        <f>N230</f>
        <v>7.084809887051538E-2</v>
      </c>
      <c r="P230" s="445">
        <f>O230</f>
        <v>7.084809887051538E-2</v>
      </c>
      <c r="Q230" s="445">
        <f>P230</f>
        <v>7.084809887051538E-2</v>
      </c>
      <c r="R230" s="243">
        <f>M230</f>
        <v>7.084809887051538E-2</v>
      </c>
      <c r="S230" s="445"/>
      <c r="T230" s="445"/>
      <c r="U230" s="445"/>
      <c r="V230" s="445"/>
      <c r="W230" s="243">
        <f>R230</f>
        <v>7.084809887051538E-2</v>
      </c>
      <c r="X230" s="445"/>
      <c r="Y230" s="445"/>
      <c r="Z230" s="445"/>
      <c r="AA230" s="445"/>
      <c r="AB230" s="243">
        <f>W230</f>
        <v>7.084809887051538E-2</v>
      </c>
      <c r="AC230" s="445"/>
      <c r="AD230" s="445"/>
      <c r="AE230" s="445"/>
      <c r="AF230" s="445"/>
      <c r="AG230" s="243">
        <f>AB230</f>
        <v>7.084809887051538E-2</v>
      </c>
      <c r="AH230" s="445"/>
      <c r="AI230" s="445"/>
      <c r="AJ230" s="445"/>
      <c r="AK230" s="445"/>
      <c r="AL230" s="243">
        <f>AG230</f>
        <v>7.084809887051538E-2</v>
      </c>
      <c r="AM230" s="445"/>
      <c r="AN230" s="445"/>
      <c r="AO230" s="445"/>
      <c r="AP230" s="445"/>
      <c r="AQ230" s="243">
        <f>AL230</f>
        <v>7.084809887051538E-2</v>
      </c>
      <c r="AR230" s="446">
        <f>AP230</f>
        <v>0</v>
      </c>
      <c r="AS230" s="446">
        <f>AP230</f>
        <v>0</v>
      </c>
      <c r="AT230" s="243">
        <f>AQ230</f>
        <v>7.084809887051538E-2</v>
      </c>
      <c r="AU230" s="243"/>
      <c r="AV230" s="243"/>
      <c r="AW230" s="243"/>
      <c r="AX230" s="243"/>
      <c r="AY230" s="446">
        <f>AT230</f>
        <v>7.084809887051538E-2</v>
      </c>
      <c r="AZ230" s="693"/>
      <c r="BA230" s="693"/>
      <c r="BB230" s="693"/>
      <c r="BC230" s="693"/>
      <c r="BD230" s="446">
        <f>AY230</f>
        <v>7.084809887051538E-2</v>
      </c>
      <c r="BE230" s="693"/>
      <c r="BF230" s="693"/>
      <c r="BG230" s="693"/>
      <c r="BH230" s="693"/>
      <c r="BI230" s="446">
        <f>BD230</f>
        <v>7.084809887051538E-2</v>
      </c>
      <c r="BJ230" s="693"/>
      <c r="BK230" s="693"/>
      <c r="BL230" s="693"/>
      <c r="BM230" s="693"/>
      <c r="BN230" s="446">
        <f>BI230</f>
        <v>7.084809887051538E-2</v>
      </c>
      <c r="BO230" s="446"/>
      <c r="BP230" s="668"/>
      <c r="BQ230" s="668"/>
      <c r="BR230" s="668">
        <f>BN230</f>
        <v>7.084809887051538E-2</v>
      </c>
      <c r="BS230" s="446">
        <f t="shared" ref="BS230:CB230" si="278">BR230</f>
        <v>7.084809887051538E-2</v>
      </c>
      <c r="BT230" s="446">
        <f t="shared" si="278"/>
        <v>7.084809887051538E-2</v>
      </c>
      <c r="BU230" s="446">
        <f t="shared" si="278"/>
        <v>7.084809887051538E-2</v>
      </c>
      <c r="BV230" s="446">
        <f t="shared" si="278"/>
        <v>7.084809887051538E-2</v>
      </c>
      <c r="BW230" s="446">
        <f t="shared" si="278"/>
        <v>7.084809887051538E-2</v>
      </c>
      <c r="BX230" s="446">
        <f t="shared" si="278"/>
        <v>7.084809887051538E-2</v>
      </c>
      <c r="BY230" s="446">
        <f t="shared" si="278"/>
        <v>7.084809887051538E-2</v>
      </c>
      <c r="BZ230" s="446">
        <f t="shared" si="278"/>
        <v>7.084809887051538E-2</v>
      </c>
      <c r="CA230" s="446">
        <f t="shared" si="278"/>
        <v>7.084809887051538E-2</v>
      </c>
      <c r="CB230" s="446">
        <f t="shared" si="278"/>
        <v>7.084809887051538E-2</v>
      </c>
    </row>
    <row r="231" spans="1:80">
      <c r="A231" s="1" t="s">
        <v>80</v>
      </c>
      <c r="B231" s="1" t="s">
        <v>63</v>
      </c>
      <c r="C231" s="36">
        <f>((3640*7+6296.7*5)/12)*1.15</f>
        <v>5459.0020833333328</v>
      </c>
      <c r="D231" s="36">
        <f>((6296.7*4+5500*8)/12)*1.15</f>
        <v>6630.4016666666657</v>
      </c>
      <c r="E231" s="36">
        <f>(5566)*1.15</f>
        <v>6400.9</v>
      </c>
      <c r="F231" s="36">
        <v>8194</v>
      </c>
      <c r="G231" s="242">
        <f>11000+1312</f>
        <v>12312</v>
      </c>
      <c r="H231" s="242">
        <f>10700+1312</f>
        <v>12012</v>
      </c>
      <c r="I231" s="447">
        <f>12592+1312</f>
        <v>13904</v>
      </c>
      <c r="J231" s="447">
        <f>AVERAGE(12411,14063,14483)+1312</f>
        <v>14964.333333333334</v>
      </c>
      <c r="K231" s="447">
        <f>AVERAGE(12166,11393,11808)+1312</f>
        <v>13101</v>
      </c>
      <c r="L231" s="447"/>
      <c r="M231" s="242">
        <f>11659+1312</f>
        <v>12971</v>
      </c>
      <c r="N231" s="447">
        <v>14000</v>
      </c>
      <c r="O231" s="447">
        <f>+N231*(1+O232)</f>
        <v>14000</v>
      </c>
      <c r="P231" s="447">
        <f>+O231*(1+P232)</f>
        <v>14000</v>
      </c>
      <c r="Q231" s="447">
        <f>+P231*(1+Q232)</f>
        <v>14000</v>
      </c>
      <c r="R231" s="242">
        <f>12592+1312</f>
        <v>13904</v>
      </c>
      <c r="S231" s="447"/>
      <c r="T231" s="447"/>
      <c r="U231" s="447"/>
      <c r="V231" s="447"/>
      <c r="W231" s="242">
        <f>13599+1312</f>
        <v>14911</v>
      </c>
      <c r="X231" s="447"/>
      <c r="Y231" s="447"/>
      <c r="Z231" s="447"/>
      <c r="AA231" s="447"/>
      <c r="AB231" s="242">
        <v>0</v>
      </c>
      <c r="AC231" s="447"/>
      <c r="AD231" s="447"/>
      <c r="AE231" s="447"/>
      <c r="AF231" s="447"/>
      <c r="AG231" s="242">
        <v>0</v>
      </c>
      <c r="AH231" s="447"/>
      <c r="AI231" s="447"/>
      <c r="AJ231" s="447"/>
      <c r="AK231" s="447"/>
      <c r="AL231" s="242">
        <v>1</v>
      </c>
      <c r="AM231" s="447"/>
      <c r="AN231" s="447"/>
      <c r="AO231" s="447"/>
      <c r="AP231" s="447"/>
      <c r="AQ231" s="242">
        <v>1</v>
      </c>
      <c r="AR231" s="249">
        <v>1</v>
      </c>
      <c r="AS231" s="249">
        <v>1</v>
      </c>
      <c r="AT231" s="242">
        <v>1</v>
      </c>
      <c r="AU231" s="242"/>
      <c r="AV231" s="242"/>
      <c r="AW231" s="242"/>
      <c r="AX231" s="242"/>
      <c r="AY231" s="249">
        <v>1</v>
      </c>
      <c r="AZ231" s="662"/>
      <c r="BA231" s="662"/>
      <c r="BB231" s="662"/>
      <c r="BC231" s="662"/>
      <c r="BD231" s="249">
        <v>1</v>
      </c>
      <c r="BE231" s="662"/>
      <c r="BF231" s="662"/>
      <c r="BG231" s="662"/>
      <c r="BH231" s="662"/>
      <c r="BI231" s="249">
        <v>1</v>
      </c>
      <c r="BJ231" s="662"/>
      <c r="BK231" s="662"/>
      <c r="BL231" s="662"/>
      <c r="BM231" s="662"/>
      <c r="BN231" s="249">
        <v>1</v>
      </c>
      <c r="BO231" s="249"/>
      <c r="BP231" s="668"/>
      <c r="BQ231" s="668"/>
      <c r="BR231" s="668">
        <v>1</v>
      </c>
      <c r="BS231" s="249">
        <v>1</v>
      </c>
      <c r="BT231" s="249">
        <v>1</v>
      </c>
      <c r="BU231" s="249">
        <v>1</v>
      </c>
      <c r="BV231" s="249">
        <v>1</v>
      </c>
      <c r="BW231" s="249">
        <v>1</v>
      </c>
      <c r="BX231" s="249">
        <v>1</v>
      </c>
      <c r="BY231" s="249">
        <v>1</v>
      </c>
      <c r="BZ231" s="249">
        <v>1</v>
      </c>
      <c r="CA231" s="249">
        <v>1</v>
      </c>
      <c r="CB231" s="249">
        <v>1</v>
      </c>
    </row>
    <row r="232" spans="1:80">
      <c r="A232" s="448" t="s">
        <v>81</v>
      </c>
      <c r="B232" s="258"/>
      <c r="C232" s="36"/>
      <c r="D232" s="37">
        <f t="shared" ref="D232:K232" si="279">D231/C231-1</f>
        <v>0.21458126695164448</v>
      </c>
      <c r="E232" s="37">
        <f t="shared" si="279"/>
        <v>-3.4613538998768512E-2</v>
      </c>
      <c r="F232" s="37">
        <f t="shared" si="279"/>
        <v>0.2801324813698074</v>
      </c>
      <c r="G232" s="314">
        <f t="shared" si="279"/>
        <v>0.50256285086648766</v>
      </c>
      <c r="H232" s="314">
        <f t="shared" si="279"/>
        <v>-2.4366471734892814E-2</v>
      </c>
      <c r="I232" s="186">
        <f t="shared" si="279"/>
        <v>0.15750915750915762</v>
      </c>
      <c r="J232" s="186">
        <f t="shared" si="279"/>
        <v>7.6261028001534337E-2</v>
      </c>
      <c r="K232" s="186">
        <f t="shared" si="279"/>
        <v>-0.12451829906666967</v>
      </c>
      <c r="L232" s="186"/>
      <c r="M232" s="314">
        <f>M231/H231-1</f>
        <v>7.9836829836829937E-2</v>
      </c>
      <c r="N232" s="186">
        <f>N231/M231-1</f>
        <v>7.9330814894765345E-2</v>
      </c>
      <c r="O232" s="186">
        <v>0</v>
      </c>
      <c r="P232" s="186">
        <v>0</v>
      </c>
      <c r="Q232" s="186">
        <v>0</v>
      </c>
      <c r="R232" s="314">
        <f>R231/M231-1</f>
        <v>7.1929689306915456E-2</v>
      </c>
      <c r="S232" s="186"/>
      <c r="T232" s="186"/>
      <c r="U232" s="186"/>
      <c r="V232" s="186"/>
      <c r="W232" s="314">
        <f>W231/R231-1</f>
        <v>7.2425201380897475E-2</v>
      </c>
      <c r="X232" s="186"/>
      <c r="Y232" s="186"/>
      <c r="Z232" s="186"/>
      <c r="AA232" s="186"/>
      <c r="AB232" s="314">
        <v>0</v>
      </c>
      <c r="AC232" s="186"/>
      <c r="AD232" s="186"/>
      <c r="AE232" s="186"/>
      <c r="AF232" s="186"/>
      <c r="AG232" s="314">
        <v>0</v>
      </c>
      <c r="AH232" s="186"/>
      <c r="AI232" s="186"/>
      <c r="AJ232" s="186"/>
      <c r="AK232" s="186"/>
      <c r="AL232" s="314">
        <v>1</v>
      </c>
      <c r="AM232" s="186"/>
      <c r="AN232" s="186"/>
      <c r="AO232" s="186"/>
      <c r="AP232" s="186"/>
      <c r="AQ232" s="314">
        <v>1</v>
      </c>
      <c r="AR232" s="316">
        <v>1</v>
      </c>
      <c r="AS232" s="316">
        <v>1</v>
      </c>
      <c r="AT232" s="314">
        <v>1</v>
      </c>
      <c r="AU232" s="314"/>
      <c r="AV232" s="314"/>
      <c r="AW232" s="314"/>
      <c r="AX232" s="314"/>
      <c r="AY232" s="316">
        <v>1</v>
      </c>
      <c r="AZ232" s="649"/>
      <c r="BA232" s="649"/>
      <c r="BB232" s="649"/>
      <c r="BC232" s="649"/>
      <c r="BD232" s="316">
        <v>1</v>
      </c>
      <c r="BE232" s="649"/>
      <c r="BF232" s="649"/>
      <c r="BG232" s="649"/>
      <c r="BH232" s="649"/>
      <c r="BI232" s="316">
        <v>1</v>
      </c>
      <c r="BJ232" s="649"/>
      <c r="BK232" s="649"/>
      <c r="BL232" s="649"/>
      <c r="BM232" s="649"/>
      <c r="BN232" s="316">
        <v>1</v>
      </c>
      <c r="BO232" s="316"/>
      <c r="BP232" s="668"/>
      <c r="BQ232" s="668"/>
      <c r="BR232" s="668">
        <v>1</v>
      </c>
      <c r="BS232" s="316">
        <v>1</v>
      </c>
      <c r="BT232" s="316">
        <v>1</v>
      </c>
      <c r="BU232" s="316">
        <v>1</v>
      </c>
      <c r="BV232" s="316">
        <v>1</v>
      </c>
      <c r="BW232" s="316">
        <v>1</v>
      </c>
      <c r="BX232" s="316">
        <v>1</v>
      </c>
      <c r="BY232" s="316">
        <v>1</v>
      </c>
      <c r="BZ232" s="316">
        <v>1</v>
      </c>
      <c r="CA232" s="316">
        <v>1</v>
      </c>
      <c r="CB232" s="316">
        <v>1</v>
      </c>
    </row>
    <row r="233" spans="1:80">
      <c r="A233" s="1" t="s">
        <v>82</v>
      </c>
      <c r="B233" s="1" t="s">
        <v>78</v>
      </c>
      <c r="C233" s="91"/>
      <c r="D233" s="91"/>
      <c r="E233" s="91"/>
      <c r="F233" s="248"/>
      <c r="G233" s="242">
        <f>(G25*G230*G231)/1000000</f>
        <v>1013.13</v>
      </c>
      <c r="H233" s="242">
        <f>(H25*H230*H231)/1000000*0.5</f>
        <v>476.68000000000006</v>
      </c>
      <c r="I233" s="447">
        <f>(I25*I230*I231)/1000000*0.7</f>
        <v>434.28986004346933</v>
      </c>
      <c r="J233" s="447">
        <f>(J25*J230*J231)/1000000*0.25</f>
        <v>99.858931169852113</v>
      </c>
      <c r="K233" s="447">
        <f>(K25*K230*K231)/1000000*0.25</f>
        <v>67.003061844658021</v>
      </c>
      <c r="L233" s="447"/>
      <c r="M233" s="242">
        <f>(M25*M230*M231)/1000000*0.5</f>
        <v>641.55457532864489</v>
      </c>
      <c r="N233" s="447">
        <f>+N25*(1-N245)*95*0.0002*N231/1000000</f>
        <v>56.569477859999999</v>
      </c>
      <c r="O233" s="447">
        <f>+O25*(1-O245)*95*0.0002*O231/1000000</f>
        <v>54.755256779999996</v>
      </c>
      <c r="P233" s="447">
        <f>+P25*(1-P245)*95*0.0002*P231/1000000</f>
        <v>61.499178720000003</v>
      </c>
      <c r="Q233" s="447">
        <f>+Q25*(1-Q245)*95*0.0002*Q231/1000000</f>
        <v>74.871224820000009</v>
      </c>
      <c r="R233" s="242">
        <v>0</v>
      </c>
      <c r="S233" s="447"/>
      <c r="T233" s="447"/>
      <c r="U233" s="447"/>
      <c r="V233" s="447"/>
      <c r="W233" s="242">
        <v>0</v>
      </c>
      <c r="X233" s="447"/>
      <c r="Y233" s="447"/>
      <c r="Z233" s="447"/>
      <c r="AA233" s="447"/>
      <c r="AB233" s="242"/>
      <c r="AC233" s="447"/>
      <c r="AD233" s="447"/>
      <c r="AE233" s="447"/>
      <c r="AF233" s="447"/>
      <c r="AG233" s="242"/>
      <c r="AH233" s="447"/>
      <c r="AI233" s="447"/>
      <c r="AJ233" s="447"/>
      <c r="AK233" s="447"/>
      <c r="AM233" s="447"/>
      <c r="AN233" s="447"/>
      <c r="AO233" s="447"/>
      <c r="AP233" s="447"/>
      <c r="AR233" s="4"/>
      <c r="AS233" s="4"/>
      <c r="AY233" s="4"/>
      <c r="BD233" s="4"/>
      <c r="BE233" s="640"/>
      <c r="BF233" s="640"/>
      <c r="BG233" s="640"/>
      <c r="BH233" s="640"/>
      <c r="BI233" s="4"/>
      <c r="BJ233" s="640"/>
      <c r="BK233" s="640"/>
      <c r="BL233" s="640"/>
      <c r="BM233" s="640"/>
      <c r="BN233" s="4"/>
      <c r="BO233" s="4"/>
      <c r="BP233" s="668"/>
      <c r="BQ233" s="668"/>
      <c r="BR233" s="668"/>
      <c r="BS233" s="4"/>
      <c r="BT233" s="4"/>
      <c r="BU233" s="4"/>
      <c r="BV233" s="4"/>
      <c r="BW233" s="4"/>
      <c r="BX233" s="4"/>
      <c r="BY233" s="4"/>
      <c r="BZ233" s="4"/>
      <c r="CA233" s="4"/>
      <c r="CB233" s="4"/>
    </row>
    <row r="234" spans="1:80">
      <c r="C234" s="91"/>
      <c r="D234" s="91"/>
      <c r="E234" s="91"/>
      <c r="F234" s="248"/>
      <c r="G234" s="242"/>
      <c r="H234" s="242"/>
      <c r="I234" s="447"/>
      <c r="J234" s="447"/>
      <c r="K234" s="447"/>
      <c r="L234" s="447"/>
      <c r="M234" s="242" t="s">
        <v>83</v>
      </c>
      <c r="N234" s="449">
        <f>+N25*(1-N245)*95*0.0002*N231/1000000</f>
        <v>56.569477859999999</v>
      </c>
      <c r="O234" s="450"/>
      <c r="P234" s="447"/>
      <c r="Q234" s="447"/>
      <c r="R234" s="242"/>
      <c r="S234" s="449"/>
      <c r="T234" s="450"/>
      <c r="U234" s="447"/>
      <c r="V234" s="447"/>
      <c r="W234" s="242"/>
      <c r="X234" s="449"/>
      <c r="Y234" s="450"/>
      <c r="Z234" s="447"/>
      <c r="AA234" s="447"/>
      <c r="AB234" s="242"/>
      <c r="AC234" s="447"/>
      <c r="AD234" s="447"/>
      <c r="AE234" s="447"/>
      <c r="AF234" s="447"/>
      <c r="AG234" s="242"/>
      <c r="AH234" s="447"/>
      <c r="AI234" s="447"/>
      <c r="AJ234" s="447"/>
      <c r="AK234" s="447"/>
      <c r="AM234" s="447"/>
      <c r="AN234" s="447"/>
      <c r="AO234" s="447"/>
      <c r="AP234" s="447"/>
      <c r="AR234" s="4"/>
      <c r="AS234" s="4"/>
      <c r="AY234" s="4"/>
      <c r="BD234" s="4"/>
      <c r="BE234" s="640"/>
      <c r="BF234" s="640"/>
      <c r="BG234" s="640"/>
      <c r="BH234" s="640"/>
      <c r="BI234" s="4"/>
      <c r="BJ234" s="640"/>
      <c r="BK234" s="640"/>
      <c r="BL234" s="640"/>
      <c r="BM234" s="640"/>
      <c r="BN234" s="4"/>
      <c r="BO234" s="4"/>
      <c r="BP234" s="668"/>
      <c r="BQ234" s="668"/>
      <c r="BR234" s="668"/>
      <c r="BS234" s="4"/>
      <c r="BT234" s="4"/>
      <c r="BU234" s="4"/>
      <c r="BV234" s="4"/>
      <c r="BW234" s="4"/>
      <c r="BX234" s="4"/>
      <c r="BY234" s="4"/>
      <c r="BZ234" s="4"/>
      <c r="CA234" s="4"/>
      <c r="CB234" s="4"/>
    </row>
    <row r="235" spans="1:80">
      <c r="C235" s="91"/>
      <c r="D235" s="91"/>
      <c r="E235" s="91"/>
      <c r="G235" s="242"/>
      <c r="H235" s="242"/>
      <c r="I235" s="447"/>
      <c r="J235" s="447"/>
      <c r="K235" s="447"/>
      <c r="L235" s="447"/>
      <c r="M235" s="242"/>
      <c r="N235" s="40"/>
      <c r="O235" s="40"/>
      <c r="P235" s="40"/>
      <c r="Q235" s="40"/>
      <c r="S235" s="40"/>
      <c r="T235" s="40"/>
      <c r="U235" s="40"/>
      <c r="V235" s="40"/>
      <c r="X235" s="40"/>
      <c r="Y235" s="40"/>
      <c r="Z235" s="40"/>
      <c r="AA235" s="40"/>
      <c r="AC235" s="40"/>
      <c r="AD235" s="40"/>
      <c r="AE235" s="40"/>
      <c r="AF235" s="40"/>
      <c r="AH235" s="40"/>
      <c r="AI235" s="40"/>
      <c r="AJ235" s="40"/>
      <c r="AK235" s="40"/>
      <c r="AM235" s="40"/>
      <c r="AN235" s="40"/>
      <c r="AO235" s="40"/>
      <c r="AP235" s="40"/>
      <c r="AR235" s="4"/>
      <c r="AS235" s="4"/>
      <c r="AY235" s="4"/>
      <c r="BD235" s="4"/>
      <c r="BE235" s="640"/>
      <c r="BF235" s="640"/>
      <c r="BG235" s="640"/>
      <c r="BH235" s="640"/>
      <c r="BI235" s="4"/>
      <c r="BJ235" s="640"/>
      <c r="BK235" s="640"/>
      <c r="BL235" s="640"/>
      <c r="BM235" s="640"/>
      <c r="BN235" s="4"/>
      <c r="BO235" s="4"/>
      <c r="BP235" s="668"/>
      <c r="BQ235" s="668"/>
      <c r="BR235" s="668"/>
      <c r="BS235" s="4"/>
      <c r="BT235" s="4"/>
      <c r="BU235" s="4"/>
      <c r="BV235" s="4"/>
      <c r="BW235" s="4"/>
      <c r="BX235" s="4"/>
      <c r="BY235" s="4"/>
      <c r="BZ235" s="4"/>
      <c r="CA235" s="4"/>
      <c r="CB235" s="4"/>
    </row>
    <row r="236" spans="1:80">
      <c r="A236" s="1" t="s">
        <v>84</v>
      </c>
      <c r="C236" s="91"/>
      <c r="D236" s="91"/>
      <c r="E236" s="91"/>
      <c r="G236" s="242"/>
      <c r="H236" s="242">
        <f>H230*1.7</f>
        <v>0.12044176807987614</v>
      </c>
      <c r="I236" s="447">
        <f>I230*1.7</f>
        <v>0.12044176807987614</v>
      </c>
      <c r="J236" s="447">
        <f>J230*1.7</f>
        <v>0.12044176807987614</v>
      </c>
      <c r="K236" s="447">
        <f>K230*1.7</f>
        <v>0.12044176807987614</v>
      </c>
      <c r="L236" s="447"/>
      <c r="M236" s="242">
        <f>M230*1.7</f>
        <v>0.12044176807987614</v>
      </c>
      <c r="N236" s="447">
        <f>N230*1.8</f>
        <v>0.12752657796692768</v>
      </c>
      <c r="O236" s="447">
        <f>O230*1.8</f>
        <v>0.12752657796692768</v>
      </c>
      <c r="P236" s="447">
        <f>P230*1.8</f>
        <v>0.12752657796692768</v>
      </c>
      <c r="Q236" s="447">
        <f>Q230*1.8</f>
        <v>0.12752657796692768</v>
      </c>
      <c r="R236" s="242">
        <f>R230*1.7</f>
        <v>0.12044176807987614</v>
      </c>
      <c r="S236" s="447"/>
      <c r="T236" s="447"/>
      <c r="U236" s="447"/>
      <c r="V236" s="447"/>
      <c r="W236" s="242">
        <f>W230*1.7</f>
        <v>0.12044176807987614</v>
      </c>
      <c r="X236" s="447"/>
      <c r="Y236" s="447"/>
      <c r="Z236" s="447"/>
      <c r="AA236" s="447"/>
      <c r="AB236" s="242">
        <f>AB230*1.7</f>
        <v>0.12044176807987614</v>
      </c>
      <c r="AC236" s="447"/>
      <c r="AD236" s="447"/>
      <c r="AE236" s="447"/>
      <c r="AF236" s="447"/>
      <c r="AG236" s="242">
        <f>AG230*1.7</f>
        <v>0.12044176807987614</v>
      </c>
      <c r="AH236" s="447"/>
      <c r="AI236" s="447"/>
      <c r="AJ236" s="447"/>
      <c r="AK236" s="447"/>
      <c r="AL236" s="242">
        <f>AL230*1.7</f>
        <v>0.12044176807987614</v>
      </c>
      <c r="AM236" s="447"/>
      <c r="AN236" s="447"/>
      <c r="AO236" s="447"/>
      <c r="AP236" s="447"/>
      <c r="AQ236" s="242">
        <f>AQ230*1.7</f>
        <v>0.12044176807987614</v>
      </c>
      <c r="AR236" s="249">
        <f>AR230*1.7</f>
        <v>0</v>
      </c>
      <c r="AS236" s="249">
        <f>AS230*1.7</f>
        <v>0</v>
      </c>
      <c r="AT236" s="242">
        <f>AT230*1.7</f>
        <v>0.12044176807987614</v>
      </c>
      <c r="AU236" s="242"/>
      <c r="AV236" s="242"/>
      <c r="AW236" s="242"/>
      <c r="AX236" s="242"/>
      <c r="AY236" s="249">
        <f>AY230*1.7</f>
        <v>0.12044176807987614</v>
      </c>
      <c r="AZ236" s="662"/>
      <c r="BA236" s="662"/>
      <c r="BB236" s="662"/>
      <c r="BC236" s="662"/>
      <c r="BD236" s="249">
        <f>BD230*1.7</f>
        <v>0.12044176807987614</v>
      </c>
      <c r="BE236" s="662"/>
      <c r="BF236" s="662"/>
      <c r="BG236" s="662"/>
      <c r="BH236" s="662"/>
      <c r="BI236" s="249">
        <f>BI230*1.7</f>
        <v>0.12044176807987614</v>
      </c>
      <c r="BJ236" s="662"/>
      <c r="BK236" s="662"/>
      <c r="BL236" s="662"/>
      <c r="BM236" s="662"/>
      <c r="BN236" s="249">
        <f t="shared" ref="BN236:CB236" si="280">BN230*1.7</f>
        <v>0.12044176807987614</v>
      </c>
      <c r="BO236" s="249"/>
      <c r="BP236" s="668"/>
      <c r="BQ236" s="668"/>
      <c r="BR236" s="668">
        <f t="shared" si="280"/>
        <v>0.12044176807987614</v>
      </c>
      <c r="BS236" s="249">
        <f t="shared" si="280"/>
        <v>0.12044176807987614</v>
      </c>
      <c r="BT236" s="249">
        <f t="shared" si="280"/>
        <v>0.12044176807987614</v>
      </c>
      <c r="BU236" s="249">
        <f t="shared" si="280"/>
        <v>0.12044176807987614</v>
      </c>
      <c r="BV236" s="249">
        <f t="shared" si="280"/>
        <v>0.12044176807987614</v>
      </c>
      <c r="BW236" s="249">
        <f t="shared" si="280"/>
        <v>0.12044176807987614</v>
      </c>
      <c r="BX236" s="249">
        <f t="shared" si="280"/>
        <v>0.12044176807987614</v>
      </c>
      <c r="BY236" s="249">
        <f t="shared" si="280"/>
        <v>0.12044176807987614</v>
      </c>
      <c r="BZ236" s="249">
        <f t="shared" si="280"/>
        <v>0.12044176807987614</v>
      </c>
      <c r="CA236" s="249">
        <f t="shared" si="280"/>
        <v>0.12044176807987614</v>
      </c>
      <c r="CB236" s="249">
        <f t="shared" si="280"/>
        <v>0.12044176807987614</v>
      </c>
    </row>
    <row r="237" spans="1:80">
      <c r="A237" s="1" t="s">
        <v>85</v>
      </c>
      <c r="C237" s="91"/>
      <c r="D237" s="91"/>
      <c r="E237" s="91"/>
      <c r="G237" s="242"/>
      <c r="H237" s="242">
        <v>3000</v>
      </c>
      <c r="I237" s="451">
        <f>+(39*I7)*1.1*1.05*1.015+250+650</f>
        <v>3553.6279770000001</v>
      </c>
      <c r="J237" s="451">
        <f>I237*(1+J238)</f>
        <v>3908.9907747000002</v>
      </c>
      <c r="K237" s="451">
        <f>+(36*K7)*1.1*1.05*1.015+250+650</f>
        <v>3339.3738599999997</v>
      </c>
      <c r="L237" s="447"/>
      <c r="M237" s="242">
        <f>+AVERAGE(I237:K237)</f>
        <v>3600.6642038999998</v>
      </c>
      <c r="N237" s="42">
        <f>+(45*N7)*1.1*1.05*1.015+250+650</f>
        <v>3954.4927875000003</v>
      </c>
      <c r="O237" s="42">
        <f>+(47*O7)*1.1*1.02+250+800</f>
        <v>4082.2050000000004</v>
      </c>
      <c r="P237" s="42">
        <f>+(52*P7)*1.1*1.02+250+800</f>
        <v>4404.7800000000007</v>
      </c>
      <c r="Q237" s="42">
        <f>+(57*Q7)*1.1*1.02+250+800</f>
        <v>4743.3435000000009</v>
      </c>
      <c r="R237" s="31">
        <f>+(50*R7)*1.1*1.05*1.015+250+800</f>
        <v>4420.4343750000007</v>
      </c>
      <c r="S237" s="42"/>
      <c r="T237" s="42"/>
      <c r="U237" s="42"/>
      <c r="V237" s="42"/>
      <c r="W237" s="31">
        <f>+(72*W7)*1.1*1.05*1.015+250+800</f>
        <v>6000.4940100000003</v>
      </c>
      <c r="X237" s="42"/>
      <c r="Y237" s="42"/>
      <c r="Z237" s="42"/>
      <c r="AA237" s="42"/>
      <c r="AB237" s="31">
        <f>W237*(1+AB238)</f>
        <v>5100.4199085</v>
      </c>
      <c r="AC237" s="42"/>
      <c r="AD237" s="42"/>
      <c r="AE237" s="42"/>
      <c r="AF237" s="42"/>
      <c r="AG237" s="31">
        <f>AB237*(1+AG238)</f>
        <v>5202.42830667</v>
      </c>
      <c r="AH237" s="42"/>
      <c r="AI237" s="42"/>
      <c r="AJ237" s="42"/>
      <c r="AK237" s="42"/>
      <c r="AL237" s="31">
        <f>AG237*(1+AL238)</f>
        <v>5306.4768728034005</v>
      </c>
      <c r="AM237" s="42"/>
      <c r="AN237" s="42"/>
      <c r="AO237" s="42"/>
      <c r="AP237" s="42"/>
      <c r="AQ237" s="31">
        <f>AL237*(1+AQ238)</f>
        <v>5306.4768728034005</v>
      </c>
      <c r="AR237" s="229">
        <f>AP237*(1+AR238)</f>
        <v>0</v>
      </c>
      <c r="AS237" s="229">
        <f>AP237*(1+AS238)</f>
        <v>0</v>
      </c>
      <c r="AT237" s="31">
        <f>AQ237*(1+AT238)</f>
        <v>5306.4768728034005</v>
      </c>
      <c r="AU237" s="31"/>
      <c r="AV237" s="31"/>
      <c r="AW237" s="31"/>
      <c r="AX237" s="31"/>
      <c r="AY237" s="229">
        <f>AT237*(1+AY238)</f>
        <v>5306.4768728034005</v>
      </c>
      <c r="AZ237" s="619"/>
      <c r="BA237" s="619"/>
      <c r="BB237" s="619"/>
      <c r="BC237" s="619"/>
      <c r="BD237" s="229">
        <f>AY237*(1+BD238)</f>
        <v>5306.4768728034005</v>
      </c>
      <c r="BE237" s="619"/>
      <c r="BF237" s="619"/>
      <c r="BG237" s="619"/>
      <c r="BH237" s="619"/>
      <c r="BI237" s="229">
        <f>BD237*(1+BI238)</f>
        <v>5306.4768728034005</v>
      </c>
      <c r="BJ237" s="619"/>
      <c r="BK237" s="619"/>
      <c r="BL237" s="619"/>
      <c r="BM237" s="619"/>
      <c r="BN237" s="229">
        <f>BI237*(1+BN238)</f>
        <v>5306.4768728034005</v>
      </c>
      <c r="BO237" s="229"/>
      <c r="BP237" s="668"/>
      <c r="BQ237" s="668"/>
      <c r="BR237" s="668">
        <f>BN237*(1+BR238)</f>
        <v>5306.4768728034005</v>
      </c>
      <c r="BS237" s="229">
        <f t="shared" ref="BS237:CB237" si="281">BR237*(1+BS238)</f>
        <v>5306.4768728034005</v>
      </c>
      <c r="BT237" s="229">
        <f t="shared" si="281"/>
        <v>5306.4768728034005</v>
      </c>
      <c r="BU237" s="229">
        <f t="shared" si="281"/>
        <v>5306.4768728034005</v>
      </c>
      <c r="BV237" s="229">
        <f t="shared" si="281"/>
        <v>5306.4768728034005</v>
      </c>
      <c r="BW237" s="229">
        <f t="shared" si="281"/>
        <v>5306.4768728034005</v>
      </c>
      <c r="BX237" s="229">
        <f t="shared" si="281"/>
        <v>5306.4768728034005</v>
      </c>
      <c r="BY237" s="229">
        <f t="shared" si="281"/>
        <v>5306.4768728034005</v>
      </c>
      <c r="BZ237" s="229">
        <f t="shared" si="281"/>
        <v>5306.4768728034005</v>
      </c>
      <c r="CA237" s="229">
        <f t="shared" si="281"/>
        <v>5306.4768728034005</v>
      </c>
      <c r="CB237" s="229">
        <f t="shared" si="281"/>
        <v>5306.4768728034005</v>
      </c>
    </row>
    <row r="238" spans="1:80">
      <c r="A238" s="1" t="s">
        <v>86</v>
      </c>
      <c r="C238" s="91"/>
      <c r="D238" s="91"/>
      <c r="E238" s="91"/>
      <c r="G238" s="242"/>
      <c r="H238" s="242"/>
      <c r="I238" s="452">
        <v>0.1</v>
      </c>
      <c r="J238" s="452">
        <v>0.1</v>
      </c>
      <c r="K238" s="452">
        <v>-0.09</v>
      </c>
      <c r="L238" s="447"/>
      <c r="M238" s="242"/>
      <c r="N238" s="453">
        <f>+M238</f>
        <v>0</v>
      </c>
      <c r="O238" s="453">
        <f>+O237/N237-1</f>
        <v>3.2295472355821087E-2</v>
      </c>
      <c r="P238" s="453">
        <f>+P237/O237-1</f>
        <v>7.9019794449323388E-2</v>
      </c>
      <c r="Q238" s="453">
        <f>+Q237/P237-1</f>
        <v>7.6862749104382067E-2</v>
      </c>
      <c r="R238" s="46">
        <f>+R237/M237-1</f>
        <v>0.22767193069880842</v>
      </c>
      <c r="S238" s="453"/>
      <c r="T238" s="453"/>
      <c r="U238" s="453"/>
      <c r="V238" s="453"/>
      <c r="W238" s="46">
        <f>+W237/R237-1</f>
        <v>0.35744442761917483</v>
      </c>
      <c r="X238" s="453"/>
      <c r="Y238" s="453"/>
      <c r="Z238" s="453"/>
      <c r="AA238" s="453"/>
      <c r="AB238" s="46">
        <v>-0.15</v>
      </c>
      <c r="AC238" s="453"/>
      <c r="AD238" s="453"/>
      <c r="AE238" s="453"/>
      <c r="AF238" s="453"/>
      <c r="AG238" s="46">
        <v>0.02</v>
      </c>
      <c r="AH238" s="453"/>
      <c r="AI238" s="453"/>
      <c r="AJ238" s="453"/>
      <c r="AK238" s="453"/>
      <c r="AL238" s="46">
        <v>0.02</v>
      </c>
      <c r="AM238" s="453"/>
      <c r="AN238" s="453"/>
      <c r="AO238" s="453"/>
      <c r="AP238" s="453"/>
      <c r="AQ238" s="46">
        <v>0</v>
      </c>
      <c r="AR238" s="454">
        <f>+AP238</f>
        <v>0</v>
      </c>
      <c r="AS238" s="454">
        <f>+AP238</f>
        <v>0</v>
      </c>
      <c r="AT238" s="46">
        <f>+AQ238</f>
        <v>0</v>
      </c>
      <c r="AU238" s="46"/>
      <c r="AV238" s="46"/>
      <c r="AW238" s="46"/>
      <c r="AX238" s="46"/>
      <c r="AY238" s="454">
        <f>+AT238</f>
        <v>0</v>
      </c>
      <c r="AZ238" s="694"/>
      <c r="BA238" s="694"/>
      <c r="BB238" s="694"/>
      <c r="BC238" s="694"/>
      <c r="BD238" s="454">
        <f>+AY238</f>
        <v>0</v>
      </c>
      <c r="BE238" s="694"/>
      <c r="BF238" s="694"/>
      <c r="BG238" s="694"/>
      <c r="BH238" s="694"/>
      <c r="BI238" s="454">
        <f>+BD238</f>
        <v>0</v>
      </c>
      <c r="BJ238" s="694"/>
      <c r="BK238" s="694"/>
      <c r="BL238" s="694"/>
      <c r="BM238" s="694"/>
      <c r="BN238" s="454">
        <f>+BI238</f>
        <v>0</v>
      </c>
      <c r="BO238" s="454"/>
      <c r="BP238" s="668"/>
      <c r="BQ238" s="668"/>
      <c r="BR238" s="668">
        <f>+BN238</f>
        <v>0</v>
      </c>
      <c r="BS238" s="454">
        <f t="shared" ref="BS238:CB238" si="282">+BR238</f>
        <v>0</v>
      </c>
      <c r="BT238" s="454">
        <f t="shared" si="282"/>
        <v>0</v>
      </c>
      <c r="BU238" s="454">
        <f t="shared" si="282"/>
        <v>0</v>
      </c>
      <c r="BV238" s="454">
        <f t="shared" si="282"/>
        <v>0</v>
      </c>
      <c r="BW238" s="454">
        <f t="shared" si="282"/>
        <v>0</v>
      </c>
      <c r="BX238" s="454">
        <f t="shared" si="282"/>
        <v>0</v>
      </c>
      <c r="BY238" s="454">
        <f t="shared" si="282"/>
        <v>0</v>
      </c>
      <c r="BZ238" s="454">
        <f t="shared" si="282"/>
        <v>0</v>
      </c>
      <c r="CA238" s="454">
        <f t="shared" si="282"/>
        <v>0</v>
      </c>
      <c r="CB238" s="454">
        <f t="shared" si="282"/>
        <v>0</v>
      </c>
    </row>
    <row r="239" spans="1:80">
      <c r="A239" s="1" t="s">
        <v>87</v>
      </c>
      <c r="C239" s="91"/>
      <c r="D239" s="91"/>
      <c r="E239" s="91"/>
      <c r="G239" s="242"/>
      <c r="H239" s="242">
        <f>(H236*H237*H25)/1000000*0.5</f>
        <v>202.38661338661336</v>
      </c>
      <c r="I239" s="447">
        <f>(I236*I237*I25)/1000000*0.3</f>
        <v>80.869363837407789</v>
      </c>
      <c r="J239" s="447">
        <f>(J236*J237*J25)/1000000*0.75</f>
        <v>133.03452437862515</v>
      </c>
      <c r="K239" s="447">
        <f>(K236*K237*K25)/1000000*0.75</f>
        <v>87.101457419011766</v>
      </c>
      <c r="L239" s="447"/>
      <c r="M239" s="242">
        <f>(M236*M237*M25)/1000000*0.59</f>
        <v>357.2512006810299</v>
      </c>
      <c r="N239" s="447">
        <f>(N236*N237*N25)/1000000*1</f>
        <v>170.23602811135711</v>
      </c>
      <c r="O239" s="447">
        <f>(O236*O237*O25)/1000000*1</f>
        <v>170.09797767124036</v>
      </c>
      <c r="P239" s="447">
        <f>(P236*P237*P25)/1000000*1</f>
        <v>206.14464525133755</v>
      </c>
      <c r="Q239" s="447">
        <f>(Q236*Q237*Q25)/1000000*1</f>
        <v>270.25767358787789</v>
      </c>
      <c r="R239" s="242">
        <f>(R236*R237*R25)/1000000*1</f>
        <v>786.93228995951836</v>
      </c>
      <c r="S239" s="447"/>
      <c r="T239" s="447"/>
      <c r="U239" s="447"/>
      <c r="V239" s="447"/>
      <c r="W239" s="242">
        <f>(W236*W237*W25)/1000000*1</f>
        <v>1149.6930213553956</v>
      </c>
      <c r="X239" s="447"/>
      <c r="Y239" s="447"/>
      <c r="Z239" s="447"/>
      <c r="AA239" s="447"/>
      <c r="AB239" s="242">
        <f>(AB236*AB237*AB25)/1000000*1</f>
        <v>1347.5898032303996</v>
      </c>
      <c r="AC239" s="447"/>
      <c r="AD239" s="447"/>
      <c r="AE239" s="447"/>
      <c r="AF239" s="447"/>
      <c r="AG239" s="242">
        <f>(AG236*AG237*AG25)/1000000*1</f>
        <v>1517.3035793782381</v>
      </c>
      <c r="AH239" s="447"/>
      <c r="AI239" s="447"/>
      <c r="AJ239" s="447"/>
      <c r="AK239" s="447"/>
      <c r="AL239" s="242">
        <f>(AL236*AL237*AL25)/1000000*1</f>
        <v>2573.3872420958915</v>
      </c>
      <c r="AM239" s="447"/>
      <c r="AN239" s="447"/>
      <c r="AO239" s="447"/>
      <c r="AP239" s="447"/>
      <c r="AQ239" s="242">
        <f>(AQ236*AQ237*AQ25)/1000000*1</f>
        <v>2360.0600648591635</v>
      </c>
      <c r="AR239" s="249">
        <f>(AR236*AR237*AR25)/1000000*1</f>
        <v>0</v>
      </c>
      <c r="AS239" s="249">
        <f>(AS236*AS237*AS25)/1000000*1</f>
        <v>0</v>
      </c>
      <c r="AT239" s="242">
        <f>(AT236*AT237*AT25)/1000000*1</f>
        <v>2987.7972468305838</v>
      </c>
      <c r="AU239" s="242"/>
      <c r="AV239" s="242"/>
      <c r="AW239" s="242"/>
      <c r="AX239" s="242"/>
      <c r="AY239" s="249">
        <f>(AY236*AY237*AY25)/1000000*1</f>
        <v>3138.4189522738093</v>
      </c>
      <c r="AZ239" s="662"/>
      <c r="BA239" s="662"/>
      <c r="BB239" s="662"/>
      <c r="BC239" s="662"/>
      <c r="BD239" s="249">
        <f>(BD236*BD237*BD25)/1000000*1</f>
        <v>2412.0111437810956</v>
      </c>
      <c r="BE239" s="662"/>
      <c r="BF239" s="662"/>
      <c r="BG239" s="662"/>
      <c r="BH239" s="662"/>
      <c r="BI239" s="249">
        <f t="shared" ref="BI239:CB239" si="283">(BI236*BI237*BI25)/1000000*1</f>
        <v>2430.4346415019636</v>
      </c>
      <c r="BJ239" s="662"/>
      <c r="BK239" s="662"/>
      <c r="BL239" s="662"/>
      <c r="BM239" s="662"/>
      <c r="BN239" s="249">
        <f t="shared" si="283"/>
        <v>2408.2578573742971</v>
      </c>
      <c r="BO239" s="249"/>
      <c r="BP239" s="668"/>
      <c r="BQ239" s="668"/>
      <c r="BR239" s="668">
        <f t="shared" si="283"/>
        <v>2461.9985348093301</v>
      </c>
      <c r="BS239" s="249">
        <f t="shared" si="283"/>
        <v>2517.3514325674137</v>
      </c>
      <c r="BT239" s="249">
        <f t="shared" si="283"/>
        <v>2517.3514325674137</v>
      </c>
      <c r="BU239" s="249">
        <f t="shared" si="283"/>
        <v>2517.3514325674137</v>
      </c>
      <c r="BV239" s="249">
        <f t="shared" si="283"/>
        <v>2517.3514325674137</v>
      </c>
      <c r="BW239" s="249">
        <f t="shared" si="283"/>
        <v>2517.3514325674137</v>
      </c>
      <c r="BX239" s="249">
        <f t="shared" si="283"/>
        <v>2517.3514325674137</v>
      </c>
      <c r="BY239" s="249">
        <f t="shared" si="283"/>
        <v>2517.3514325674137</v>
      </c>
      <c r="BZ239" s="249">
        <f t="shared" si="283"/>
        <v>2517.3514325674137</v>
      </c>
      <c r="CA239" s="249">
        <f t="shared" si="283"/>
        <v>2517.3514325674137</v>
      </c>
      <c r="CB239" s="249">
        <f t="shared" si="283"/>
        <v>2517.3514325674137</v>
      </c>
    </row>
    <row r="240" spans="1:80">
      <c r="A240" s="365" t="s">
        <v>88</v>
      </c>
      <c r="C240" s="91"/>
      <c r="D240" s="91"/>
      <c r="E240" s="91"/>
      <c r="G240" s="242"/>
      <c r="H240" s="242"/>
      <c r="I240" s="455">
        <f>+I239+I233</f>
        <v>515.15922388087711</v>
      </c>
      <c r="J240" s="455">
        <f>+J239+J233</f>
        <v>232.89345554847728</v>
      </c>
      <c r="K240" s="455">
        <f>+K239+K233</f>
        <v>154.10451926366977</v>
      </c>
      <c r="L240" s="447"/>
      <c r="M240" s="242">
        <f>+M239+M233</f>
        <v>998.80577600967479</v>
      </c>
      <c r="N240" s="358">
        <f>+N239+N233</f>
        <v>226.80550597135712</v>
      </c>
      <c r="O240" s="358">
        <f>+O239+O233</f>
        <v>224.85323445124035</v>
      </c>
      <c r="P240" s="358">
        <f>+P239+P233</f>
        <v>267.64382397133755</v>
      </c>
      <c r="Q240" s="358">
        <f>+Q239+Q233</f>
        <v>345.1288984078779</v>
      </c>
      <c r="S240" s="358"/>
      <c r="T240" s="358"/>
      <c r="U240" s="358"/>
      <c r="V240" s="358"/>
      <c r="X240" s="358"/>
      <c r="Y240" s="358"/>
      <c r="Z240" s="358"/>
      <c r="AA240" s="358"/>
      <c r="AC240" s="358"/>
      <c r="AD240" s="358"/>
      <c r="AE240" s="358"/>
      <c r="AF240" s="358"/>
      <c r="AH240" s="358"/>
      <c r="AI240" s="358"/>
      <c r="AJ240" s="358"/>
      <c r="AK240" s="358"/>
      <c r="AM240" s="358"/>
      <c r="AN240" s="358"/>
      <c r="AO240" s="358"/>
      <c r="AP240" s="358"/>
      <c r="AR240" s="4"/>
      <c r="AS240" s="4"/>
      <c r="AY240" s="4"/>
      <c r="BD240" s="4"/>
      <c r="BE240" s="640"/>
      <c r="BF240" s="640"/>
      <c r="BG240" s="640"/>
      <c r="BH240" s="640"/>
      <c r="BI240" s="4"/>
      <c r="BJ240" s="640"/>
      <c r="BK240" s="640"/>
      <c r="BL240" s="640"/>
      <c r="BM240" s="640"/>
      <c r="BN240" s="4"/>
      <c r="BO240" s="4"/>
      <c r="BP240" s="668"/>
      <c r="BQ240" s="668"/>
      <c r="BR240" s="668"/>
      <c r="BS240" s="4"/>
      <c r="BT240" s="4"/>
      <c r="BU240" s="4"/>
      <c r="BV240" s="4"/>
      <c r="BW240" s="4"/>
      <c r="BX240" s="4"/>
      <c r="BY240" s="4"/>
      <c r="BZ240" s="4"/>
      <c r="CA240" s="4"/>
      <c r="CB240" s="4"/>
    </row>
    <row r="241" spans="1:80">
      <c r="C241" s="91"/>
      <c r="D241" s="91"/>
      <c r="E241" s="91"/>
      <c r="G241" s="242"/>
      <c r="H241" s="242"/>
      <c r="I241" s="455">
        <f>+Assumptions!I122</f>
        <v>510.13400000000001</v>
      </c>
      <c r="J241" s="455">
        <f>+Assumptions!J122</f>
        <v>239.07499999999999</v>
      </c>
      <c r="K241" s="455">
        <f>+Assumptions!K122</f>
        <v>261.72900000000004</v>
      </c>
      <c r="L241" s="447"/>
      <c r="M241" s="242">
        <f>+Assumptions!M122</f>
        <v>1010.938</v>
      </c>
      <c r="N241" s="42">
        <f>+Assumptions!N122</f>
        <v>228.19</v>
      </c>
      <c r="O241" s="42">
        <f>+Assumptions!O122</f>
        <v>225.14099999999999</v>
      </c>
      <c r="P241" s="42">
        <f>+Assumptions!P122</f>
        <v>267.64382397133755</v>
      </c>
      <c r="Q241" s="40"/>
      <c r="R241" s="456">
        <f>+R239/R26*1000000</f>
        <v>530.86377683691182</v>
      </c>
      <c r="S241" s="42"/>
      <c r="T241" s="42"/>
      <c r="U241" s="42"/>
      <c r="V241" s="40"/>
      <c r="W241" s="456">
        <f>7.76*1700000/1000000</f>
        <v>13.192</v>
      </c>
      <c r="X241" s="42"/>
      <c r="Y241" s="42"/>
      <c r="Z241" s="42"/>
      <c r="AA241" s="40"/>
      <c r="AB241" s="456">
        <f>+W241*7</f>
        <v>92.343999999999994</v>
      </c>
      <c r="AC241" s="40"/>
      <c r="AD241" s="40"/>
      <c r="AE241" s="40"/>
      <c r="AF241" s="40"/>
      <c r="AG241" s="456"/>
      <c r="AH241" s="40"/>
      <c r="AI241" s="40"/>
      <c r="AJ241" s="40"/>
      <c r="AK241" s="40"/>
      <c r="AM241" s="40"/>
      <c r="AN241" s="40"/>
      <c r="AO241" s="40"/>
      <c r="AP241" s="40"/>
      <c r="AR241" s="4"/>
      <c r="AS241" s="4"/>
      <c r="AY241" s="4"/>
      <c r="BD241" s="4"/>
      <c r="BE241" s="640"/>
      <c r="BF241" s="640"/>
      <c r="BG241" s="640"/>
      <c r="BH241" s="640"/>
      <c r="BI241" s="4"/>
      <c r="BJ241" s="640"/>
      <c r="BK241" s="640"/>
      <c r="BL241" s="640"/>
      <c r="BM241" s="640"/>
      <c r="BN241" s="4"/>
      <c r="BO241" s="4"/>
      <c r="BP241" s="668"/>
      <c r="BQ241" s="668"/>
      <c r="BR241" s="668"/>
      <c r="BS241" s="4"/>
      <c r="BT241" s="4"/>
      <c r="BU241" s="4"/>
      <c r="BV241" s="4"/>
      <c r="BW241" s="4"/>
      <c r="BX241" s="4"/>
      <c r="BY241" s="4"/>
      <c r="BZ241" s="4"/>
      <c r="CA241" s="4"/>
      <c r="CB241" s="4"/>
    </row>
    <row r="242" spans="1:80">
      <c r="C242" s="91"/>
      <c r="D242" s="91"/>
      <c r="E242" s="91"/>
      <c r="G242" s="242"/>
      <c r="H242" s="242"/>
      <c r="I242" s="455"/>
      <c r="J242" s="455"/>
      <c r="K242" s="455"/>
      <c r="L242" s="447"/>
      <c r="M242" s="242"/>
      <c r="N242" s="40"/>
      <c r="O242" s="40"/>
      <c r="P242" s="42"/>
      <c r="Q242" s="40"/>
      <c r="R242" s="456">
        <v>498.38166433775092</v>
      </c>
      <c r="S242" s="40"/>
      <c r="T242" s="40"/>
      <c r="U242" s="42"/>
      <c r="V242" s="40"/>
      <c r="W242" s="456">
        <f>+R242-R241</f>
        <v>-32.482112499160905</v>
      </c>
      <c r="X242" s="40"/>
      <c r="Y242" s="40"/>
      <c r="Z242" s="42"/>
      <c r="AA242" s="40"/>
      <c r="AB242" s="456"/>
      <c r="AC242" s="40"/>
      <c r="AD242" s="40"/>
      <c r="AE242" s="40"/>
      <c r="AF242" s="40"/>
      <c r="AG242" s="456"/>
      <c r="AH242" s="40"/>
      <c r="AI242" s="40"/>
      <c r="AJ242" s="40"/>
      <c r="AK242" s="40"/>
      <c r="AM242" s="40"/>
      <c r="AN242" s="40"/>
      <c r="AO242" s="40"/>
      <c r="AP242" s="40"/>
      <c r="AR242" s="4"/>
      <c r="AS242" s="4"/>
      <c r="AY242" s="4"/>
      <c r="BD242" s="4"/>
      <c r="BE242" s="640"/>
      <c r="BF242" s="640"/>
      <c r="BG242" s="640"/>
      <c r="BH242" s="640"/>
      <c r="BI242" s="4"/>
      <c r="BJ242" s="640"/>
      <c r="BK242" s="640"/>
      <c r="BL242" s="640"/>
      <c r="BM242" s="640"/>
      <c r="BN242" s="4"/>
      <c r="BO242" s="4"/>
      <c r="BP242" s="668"/>
      <c r="BQ242" s="668"/>
      <c r="BR242" s="668"/>
      <c r="BS242" s="4"/>
      <c r="BT242" s="4"/>
      <c r="BU242" s="4"/>
      <c r="BV242" s="4"/>
      <c r="BW242" s="4"/>
      <c r="BX242" s="4"/>
      <c r="BY242" s="4"/>
      <c r="BZ242" s="4"/>
      <c r="CA242" s="4"/>
      <c r="CB242" s="4"/>
    </row>
    <row r="243" spans="1:80">
      <c r="A243" s="1" t="s">
        <v>89</v>
      </c>
      <c r="B243" s="1" t="s">
        <v>90</v>
      </c>
      <c r="C243" s="91">
        <v>105</v>
      </c>
      <c r="D243" s="91">
        <v>105</v>
      </c>
      <c r="E243" s="91">
        <v>105</v>
      </c>
      <c r="F243" s="457">
        <f>(Assumptions!F121*1000000/Assumptions!F25)/Assumptions!F244</f>
        <v>15.940910545771905</v>
      </c>
      <c r="G243" s="242">
        <f>(Assumptions!G121*1000000/Assumptions!G25)/Assumptions!G244</f>
        <v>28.903980174669908</v>
      </c>
      <c r="H243" s="242">
        <v>26.85</v>
      </c>
      <c r="I243" s="447">
        <v>95</v>
      </c>
      <c r="J243" s="447">
        <f>I243</f>
        <v>95</v>
      </c>
      <c r="K243" s="447">
        <f>J243</f>
        <v>95</v>
      </c>
      <c r="L243" s="447"/>
      <c r="M243" s="242">
        <v>95</v>
      </c>
      <c r="N243" s="447">
        <v>95</v>
      </c>
      <c r="O243" s="447">
        <v>95</v>
      </c>
      <c r="P243" s="447">
        <v>95</v>
      </c>
      <c r="Q243" s="447">
        <v>95</v>
      </c>
      <c r="R243" s="242">
        <v>95</v>
      </c>
      <c r="S243" s="447"/>
      <c r="T243" s="447"/>
      <c r="U243" s="447"/>
      <c r="V243" s="447"/>
      <c r="W243" s="242">
        <v>95</v>
      </c>
      <c r="X243" s="447"/>
      <c r="Y243" s="447"/>
      <c r="Z243" s="447"/>
      <c r="AA243" s="447"/>
      <c r="AB243" s="242">
        <v>95</v>
      </c>
      <c r="AC243" s="447"/>
      <c r="AD243" s="447"/>
      <c r="AE243" s="447"/>
      <c r="AF243" s="447"/>
      <c r="AG243" s="242">
        <v>95</v>
      </c>
      <c r="AH243" s="447"/>
      <c r="AI243" s="447"/>
      <c r="AJ243" s="447"/>
      <c r="AK243" s="447"/>
      <c r="AL243" s="242">
        <v>95</v>
      </c>
      <c r="AM243" s="447"/>
      <c r="AN243" s="447"/>
      <c r="AO243" s="447"/>
      <c r="AP243" s="447"/>
      <c r="AQ243" s="242">
        <v>95</v>
      </c>
      <c r="AR243" s="249">
        <v>95</v>
      </c>
      <c r="AS243" s="249">
        <v>95</v>
      </c>
      <c r="AT243" s="242">
        <v>95</v>
      </c>
      <c r="AU243" s="242"/>
      <c r="AV243" s="242"/>
      <c r="AW243" s="242"/>
      <c r="AX243" s="242"/>
      <c r="AY243" s="249">
        <v>95</v>
      </c>
      <c r="AZ243" s="662"/>
      <c r="BA243" s="662"/>
      <c r="BB243" s="662"/>
      <c r="BC243" s="662"/>
      <c r="BD243" s="249">
        <v>95</v>
      </c>
      <c r="BE243" s="662"/>
      <c r="BF243" s="662"/>
      <c r="BG243" s="662"/>
      <c r="BH243" s="662"/>
      <c r="BI243" s="249">
        <v>95</v>
      </c>
      <c r="BJ243" s="662">
        <v>95</v>
      </c>
      <c r="BK243" s="662">
        <v>95</v>
      </c>
      <c r="BL243" s="662">
        <v>95</v>
      </c>
      <c r="BM243" s="662">
        <v>95</v>
      </c>
      <c r="BN243" s="249">
        <v>95</v>
      </c>
      <c r="BO243" s="249">
        <f>BM243</f>
        <v>95</v>
      </c>
      <c r="BP243" s="668"/>
      <c r="BQ243" s="668">
        <f>BO243</f>
        <v>95</v>
      </c>
      <c r="BR243" s="668">
        <v>95</v>
      </c>
      <c r="BS243" s="249">
        <v>95</v>
      </c>
      <c r="BT243" s="249">
        <v>95</v>
      </c>
      <c r="BU243" s="249">
        <v>95</v>
      </c>
      <c r="BV243" s="249">
        <v>95</v>
      </c>
      <c r="BW243" s="249">
        <v>95</v>
      </c>
      <c r="BX243" s="249">
        <v>95</v>
      </c>
      <c r="BY243" s="249">
        <v>95</v>
      </c>
      <c r="BZ243" s="249">
        <v>95</v>
      </c>
      <c r="CA243" s="249">
        <v>95</v>
      </c>
      <c r="CB243" s="249">
        <v>95</v>
      </c>
    </row>
    <row r="244" spans="1:80">
      <c r="A244" s="1" t="s">
        <v>91</v>
      </c>
      <c r="B244" s="1" t="s">
        <v>92</v>
      </c>
      <c r="C244" s="36">
        <f>(Assumptions!C121/(Assumptions!C26*C243))*1000000</f>
        <v>3.4703016259660071</v>
      </c>
      <c r="D244" s="36">
        <f>(Assumptions!D121/(Assumptions!D26*D243))*1000000</f>
        <v>3.025136081208565</v>
      </c>
      <c r="E244" s="36">
        <f>(Assumptions!E121/(Assumptions!E26*E243))*1000000</f>
        <v>3.7537812343840935</v>
      </c>
      <c r="F244" s="36">
        <v>3.6222274172433142</v>
      </c>
      <c r="G244" s="31">
        <v>4.32</v>
      </c>
      <c r="H244" s="31">
        <v>4.17</v>
      </c>
      <c r="I244" s="42">
        <v>4.25</v>
      </c>
      <c r="J244" s="42">
        <f>+I244</f>
        <v>4.25</v>
      </c>
      <c r="K244" s="42">
        <f>+J244</f>
        <v>4.25</v>
      </c>
      <c r="L244" s="42"/>
      <c r="M244" s="31">
        <v>4.25</v>
      </c>
      <c r="N244" s="42">
        <f>+M244*(1+N5+0.02)</f>
        <v>4.3562499999999993</v>
      </c>
      <c r="O244" s="42">
        <v>4</v>
      </c>
      <c r="P244" s="42">
        <f t="shared" ref="O244:Q245" si="284">+O244</f>
        <v>4</v>
      </c>
      <c r="Q244" s="42">
        <f t="shared" si="284"/>
        <v>4</v>
      </c>
      <c r="R244" s="31">
        <f>+M244*(1+R5-0.01)</f>
        <v>4.3775000000000004</v>
      </c>
      <c r="S244" s="42"/>
      <c r="T244" s="42"/>
      <c r="U244" s="42"/>
      <c r="V244" s="42"/>
      <c r="W244" s="31">
        <f>+R244*(1+W5-0.01)</f>
        <v>4.5526000000000009</v>
      </c>
      <c r="X244" s="42"/>
      <c r="Y244" s="42"/>
      <c r="Z244" s="42"/>
      <c r="AA244" s="42"/>
      <c r="AB244" s="31">
        <f>+W244*(1+AB5-0.01)</f>
        <v>4.7347040000000007</v>
      </c>
      <c r="AC244" s="42"/>
      <c r="AD244" s="42"/>
      <c r="AE244" s="42"/>
      <c r="AF244" s="42"/>
      <c r="AG244" s="31">
        <f>+AB244*(1+AG5-0.01)</f>
        <v>4.9240921600000007</v>
      </c>
      <c r="AH244" s="42"/>
      <c r="AI244" s="42"/>
      <c r="AJ244" s="42"/>
      <c r="AK244" s="42"/>
      <c r="AL244" s="31">
        <f>AG244</f>
        <v>4.9240921600000007</v>
      </c>
      <c r="AM244" s="42"/>
      <c r="AN244" s="42"/>
      <c r="AO244" s="42"/>
      <c r="AP244" s="42"/>
      <c r="AQ244" s="31">
        <f>AL244</f>
        <v>4.9240921600000007</v>
      </c>
      <c r="AR244" s="229">
        <f>+AP244*(1+AR5-0.01)</f>
        <v>0</v>
      </c>
      <c r="AS244" s="229">
        <f>+AP244*(1+AS5-0.01)</f>
        <v>0</v>
      </c>
      <c r="AT244" s="31">
        <f>+AQ244*(1+AT5-0.01)</f>
        <v>5.4165013760000011</v>
      </c>
      <c r="AU244" s="31"/>
      <c r="AV244" s="31"/>
      <c r="AW244" s="31"/>
      <c r="AX244" s="31"/>
      <c r="AY244" s="229">
        <f>+AT244*(1+AY5-0.01)</f>
        <v>5.8498214860800015</v>
      </c>
      <c r="AZ244" s="619"/>
      <c r="BA244" s="619"/>
      <c r="BB244" s="619"/>
      <c r="BC244" s="619"/>
      <c r="BD244" s="229">
        <f>BD246/(BD26*BD243)*1000000</f>
        <v>5.5464158879139731</v>
      </c>
      <c r="BE244" s="619"/>
      <c r="BF244" s="619"/>
      <c r="BG244" s="619"/>
      <c r="BH244" s="619"/>
      <c r="BI244" s="229">
        <f>BI246/(BI26*BI243)*1000000</f>
        <v>5.9678234912706589</v>
      </c>
      <c r="BJ244" s="619">
        <f>BJ246/(BJ26*BJ243)*1000000</f>
        <v>6.383468879282475</v>
      </c>
      <c r="BK244" s="619">
        <f>BK246/(BK26*BK243)*1000000</f>
        <v>8.2827546326092634</v>
      </c>
      <c r="BL244" s="619">
        <f>BL246/(BL26*BL243)*1000000</f>
        <v>7.4182734823204939</v>
      </c>
      <c r="BM244" s="619">
        <f>BJ244*0.7+13.28*0.3</f>
        <v>8.452428215497731</v>
      </c>
      <c r="BN244" s="229">
        <f>BN246/(BN26*BN243)*1000000</f>
        <v>6.3875451370208678</v>
      </c>
      <c r="BO244" s="229">
        <f>BM244*1.05</f>
        <v>8.8750496262726184</v>
      </c>
      <c r="BP244" s="668"/>
      <c r="BQ244" s="668">
        <f>BO244*1.04</f>
        <v>9.2300516113235229</v>
      </c>
      <c r="BR244" s="668">
        <f>+BN244*(1+BR5-0.01)</f>
        <v>6.7069223938719116</v>
      </c>
      <c r="BS244" s="229">
        <f t="shared" ref="BS244:CB244" si="285">+BR244*(1+BS5-0.01)</f>
        <v>7.0422685135655074</v>
      </c>
      <c r="BT244" s="229">
        <f t="shared" si="285"/>
        <v>7.3943819392437833</v>
      </c>
      <c r="BU244" s="229">
        <f t="shared" si="285"/>
        <v>7.7641010362059726</v>
      </c>
      <c r="BV244" s="229">
        <f t="shared" si="285"/>
        <v>8.152306088016271</v>
      </c>
      <c r="BW244" s="229">
        <f t="shared" si="285"/>
        <v>8.5599213924170847</v>
      </c>
      <c r="BX244" s="229">
        <f t="shared" si="285"/>
        <v>8.9879174620379398</v>
      </c>
      <c r="BY244" s="229">
        <f t="shared" si="285"/>
        <v>9.4373133351398373</v>
      </c>
      <c r="BZ244" s="229">
        <f t="shared" si="285"/>
        <v>9.9091790018968293</v>
      </c>
      <c r="CA244" s="229">
        <f t="shared" si="285"/>
        <v>10.404637951991671</v>
      </c>
      <c r="CB244" s="229">
        <f t="shared" si="285"/>
        <v>10.924869849591255</v>
      </c>
    </row>
    <row r="245" spans="1:80">
      <c r="A245" s="1" t="s">
        <v>93</v>
      </c>
      <c r="C245" s="36"/>
      <c r="D245" s="36"/>
      <c r="E245" s="36"/>
      <c r="F245" s="36"/>
      <c r="G245" s="31"/>
      <c r="H245" s="31"/>
      <c r="I245" s="458">
        <v>0.35599999999999998</v>
      </c>
      <c r="J245" s="458">
        <v>0.34100000000000003</v>
      </c>
      <c r="K245" s="458">
        <v>0.38</v>
      </c>
      <c r="L245" s="42"/>
      <c r="M245" s="31">
        <v>0.35</v>
      </c>
      <c r="N245" s="186">
        <v>0.37</v>
      </c>
      <c r="O245" s="186">
        <f t="shared" si="284"/>
        <v>0.37</v>
      </c>
      <c r="P245" s="186">
        <f t="shared" si="284"/>
        <v>0.37</v>
      </c>
      <c r="Q245" s="186">
        <f t="shared" si="284"/>
        <v>0.37</v>
      </c>
      <c r="R245" s="314">
        <v>0.34599999999999997</v>
      </c>
      <c r="S245" s="186"/>
      <c r="T245" s="186"/>
      <c r="U245" s="186"/>
      <c r="V245" s="186"/>
      <c r="W245" s="314">
        <v>0.34599999999999997</v>
      </c>
      <c r="X245" s="186"/>
      <c r="Y245" s="186"/>
      <c r="Z245" s="186"/>
      <c r="AA245" s="186"/>
      <c r="AB245" s="314">
        <v>0.34599999999999997</v>
      </c>
      <c r="AC245" s="186"/>
      <c r="AD245" s="186"/>
      <c r="AE245" s="186"/>
      <c r="AF245" s="186"/>
      <c r="AG245" s="314">
        <v>0.34599999999999997</v>
      </c>
      <c r="AH245" s="186"/>
      <c r="AI245" s="186"/>
      <c r="AJ245" s="186"/>
      <c r="AK245" s="186"/>
      <c r="AL245" s="314">
        <v>0.34599999999999997</v>
      </c>
      <c r="AM245" s="186"/>
      <c r="AN245" s="186"/>
      <c r="AO245" s="186"/>
      <c r="AP245" s="186"/>
      <c r="AQ245" s="314">
        <v>0.34599999999999997</v>
      </c>
      <c r="AR245" s="316">
        <v>0.34599999999999997</v>
      </c>
      <c r="AS245" s="316">
        <v>0.34599999999999997</v>
      </c>
      <c r="AT245" s="314">
        <v>0.34599999999999997</v>
      </c>
      <c r="AU245" s="314"/>
      <c r="AV245" s="314"/>
      <c r="AW245" s="314"/>
      <c r="AX245" s="314"/>
      <c r="AY245" s="316">
        <v>0.34599999999999997</v>
      </c>
      <c r="AZ245" s="649"/>
      <c r="BA245" s="649"/>
      <c r="BB245" s="649"/>
      <c r="BC245" s="649"/>
      <c r="BD245" s="316">
        <v>0.34599999999999997</v>
      </c>
      <c r="BE245" s="649"/>
      <c r="BF245" s="649"/>
      <c r="BG245" s="649"/>
      <c r="BH245" s="649"/>
      <c r="BI245" s="316">
        <f>BI244/BD244-1</f>
        <v>7.5978363662732695E-2</v>
      </c>
      <c r="BJ245" s="649"/>
      <c r="BK245" s="649"/>
      <c r="BL245" s="649"/>
      <c r="BM245" s="649"/>
      <c r="BN245" s="316">
        <f>BN244/BI244-1</f>
        <v>7.0330774086088566E-2</v>
      </c>
      <c r="BO245" s="316"/>
      <c r="BP245" s="668"/>
      <c r="BQ245" s="668"/>
      <c r="BR245" s="668">
        <v>0.34599999999999997</v>
      </c>
      <c r="BS245" s="316">
        <v>0.34599999999999997</v>
      </c>
      <c r="BT245" s="316">
        <v>0.34599999999999997</v>
      </c>
      <c r="BU245" s="316">
        <v>0.34599999999999997</v>
      </c>
      <c r="BV245" s="316">
        <v>0.34599999999999997</v>
      </c>
      <c r="BW245" s="316">
        <v>0.34599999999999997</v>
      </c>
      <c r="BX245" s="316">
        <v>0.34599999999999997</v>
      </c>
      <c r="BY245" s="316">
        <v>0.34599999999999997</v>
      </c>
      <c r="BZ245" s="316">
        <v>0.34599999999999997</v>
      </c>
      <c r="CA245" s="316">
        <v>0.34599999999999997</v>
      </c>
      <c r="CB245" s="316">
        <v>0.34599999999999997</v>
      </c>
    </row>
    <row r="246" spans="1:80">
      <c r="A246" s="1" t="s">
        <v>94</v>
      </c>
      <c r="B246" s="1" t="s">
        <v>78</v>
      </c>
      <c r="E246" s="91"/>
      <c r="F246" s="248"/>
      <c r="G246" s="242">
        <f>(G25*G243*G244)/1000000</f>
        <v>130.48699999999999</v>
      </c>
      <c r="H246" s="242">
        <f>(H25*H243*H244)/1000000</f>
        <v>125.42778326700001</v>
      </c>
      <c r="I246" s="447">
        <f>(I26*I245)*I243*I244/1000000</f>
        <v>99.748352889999992</v>
      </c>
      <c r="J246" s="447">
        <f>(J26*J245)*J243*J244/1000000</f>
        <v>55.472145162499991</v>
      </c>
      <c r="K246" s="447">
        <f>(K26*K245)*K243*K244/1000000</f>
        <v>47.4025715625</v>
      </c>
      <c r="L246" s="447"/>
      <c r="M246" s="242">
        <f>+Assumptions!M121</f>
        <v>202.55099999999999</v>
      </c>
      <c r="N246" s="447">
        <f>(N26*N245)*N243*N244/1000000</f>
        <v>54.378435569062496</v>
      </c>
      <c r="O246" s="447">
        <f>(O26*O245)*O243*O244/1000000</f>
        <v>46.729675399999998</v>
      </c>
      <c r="P246" s="447">
        <f>(P26*P245)*P243*P244/1000000</f>
        <v>52.2970136</v>
      </c>
      <c r="Q246" s="447">
        <f>(Q26*Q245)*Q243*Q244/1000000</f>
        <v>59.461989599999995</v>
      </c>
      <c r="R246" s="242">
        <f>(R26*R245)*R243*R244/1000000</f>
        <v>213.29473345985002</v>
      </c>
      <c r="S246" s="447"/>
      <c r="T246" s="447"/>
      <c r="U246" s="447"/>
      <c r="V246" s="447"/>
      <c r="W246" s="242">
        <f>(W26*W245)*W243*W244/1000000</f>
        <v>271.20469058334606</v>
      </c>
      <c r="X246" s="447"/>
      <c r="Y246" s="447"/>
      <c r="Z246" s="447"/>
      <c r="AA246" s="447"/>
      <c r="AB246" s="242">
        <f>(AB26*AB245)*AB243*AB244/1000000</f>
        <v>330.80419940648079</v>
      </c>
      <c r="AC246" s="447"/>
      <c r="AD246" s="447"/>
      <c r="AE246" s="447"/>
      <c r="AF246" s="447"/>
      <c r="AG246" s="242">
        <f>(AG26*AG245)*AG243*AG244/1000000</f>
        <v>411.5327779488739</v>
      </c>
      <c r="AH246" s="447"/>
      <c r="AI246" s="447"/>
      <c r="AJ246" s="447"/>
      <c r="AK246" s="447"/>
      <c r="AL246" s="242">
        <f>(AL26*AL245)*AL243*AL244/1000000</f>
        <v>684.28484432315099</v>
      </c>
      <c r="AM246" s="447"/>
      <c r="AN246" s="447"/>
      <c r="AO246" s="447"/>
      <c r="AP246" s="447"/>
      <c r="AQ246" s="242">
        <f>(AQ26*AQ245*AQ243*AQ244)/1000000</f>
        <v>627.55939240615101</v>
      </c>
      <c r="AR246" s="249">
        <f>(AR26*AR245*AR243*AR244)/1000000</f>
        <v>0</v>
      </c>
      <c r="AS246" s="249">
        <f>(AS26*AS245*AS243*AS244)/1000000</f>
        <v>0</v>
      </c>
      <c r="AT246" s="242">
        <f>(AT26*AT245*AT243*AT244)/1000000</f>
        <v>873.92786228185696</v>
      </c>
      <c r="AU246" s="242"/>
      <c r="AV246" s="242"/>
      <c r="AW246" s="242"/>
      <c r="AX246" s="242"/>
      <c r="AY246" s="249">
        <f>(AY26*AY245*AY243*AY244)/1000000</f>
        <v>991.42333380224852</v>
      </c>
      <c r="AZ246" s="662"/>
      <c r="BA246" s="662"/>
      <c r="BB246" s="662"/>
      <c r="BC246" s="662"/>
      <c r="BD246" s="249">
        <f>BD121</f>
        <v>2109.9870000000001</v>
      </c>
      <c r="BE246" s="662"/>
      <c r="BF246" s="662"/>
      <c r="BG246" s="662"/>
      <c r="BH246" s="662"/>
      <c r="BI246" s="249">
        <f>BI121</f>
        <v>2263.7550000000001</v>
      </c>
      <c r="BJ246" s="662">
        <f>BJ121</f>
        <v>544.07100000000003</v>
      </c>
      <c r="BK246" s="662">
        <f>BK121</f>
        <v>748.03399999999999</v>
      </c>
      <c r="BL246" s="662">
        <f>BL121</f>
        <v>767.33500000000004</v>
      </c>
      <c r="BM246" s="662">
        <f t="shared" ref="BM246:BQ246" si="286">BM26*BM243*BM244/$A$3</f>
        <v>813.84260013703295</v>
      </c>
      <c r="BN246" s="249">
        <f>BN121</f>
        <v>2400.8580000000002</v>
      </c>
      <c r="BO246" s="249">
        <f t="shared" si="286"/>
        <v>756.0479050639043</v>
      </c>
      <c r="BP246" s="668"/>
      <c r="BQ246" s="668">
        <f t="shared" si="286"/>
        <v>883.0718043385416</v>
      </c>
      <c r="BR246" s="668">
        <f t="shared" ref="BR246:CB246" si="287">(BR26*BR245*BR243*BR244)/1000000</f>
        <v>891.69570812585766</v>
      </c>
      <c r="BS246" s="249">
        <f t="shared" si="287"/>
        <v>957.33080599116568</v>
      </c>
      <c r="BT246" s="249">
        <f t="shared" si="287"/>
        <v>1005.1973462907239</v>
      </c>
      <c r="BU246" s="249">
        <f t="shared" si="287"/>
        <v>1055.4572136052602</v>
      </c>
      <c r="BV246" s="249">
        <f t="shared" si="287"/>
        <v>1108.2300742855232</v>
      </c>
      <c r="BW246" s="249">
        <f t="shared" si="287"/>
        <v>1163.6415779997992</v>
      </c>
      <c r="BX246" s="249">
        <f t="shared" si="287"/>
        <v>1221.8236568997893</v>
      </c>
      <c r="BY246" s="249">
        <f t="shared" si="287"/>
        <v>1282.9148397447789</v>
      </c>
      <c r="BZ246" s="249">
        <f t="shared" si="287"/>
        <v>1347.0605817320179</v>
      </c>
      <c r="CA246" s="249">
        <f t="shared" si="287"/>
        <v>1414.4136108186187</v>
      </c>
      <c r="CB246" s="249">
        <f t="shared" si="287"/>
        <v>1485.1342913595499</v>
      </c>
    </row>
    <row r="247" spans="1:80">
      <c r="I247" s="40"/>
      <c r="J247" s="40"/>
      <c r="K247" s="40"/>
      <c r="L247" s="40"/>
      <c r="S247" s="40"/>
      <c r="T247" s="40"/>
      <c r="U247" s="40"/>
      <c r="V247" s="40"/>
      <c r="X247" s="40"/>
      <c r="Y247" s="40"/>
      <c r="Z247" s="40"/>
      <c r="AA247" s="40"/>
      <c r="AC247" s="40"/>
      <c r="AD247" s="40"/>
      <c r="AE247" s="40"/>
      <c r="AF247" s="40"/>
      <c r="AH247" s="40"/>
      <c r="AI247" s="40"/>
      <c r="AJ247" s="40"/>
      <c r="AK247" s="40"/>
      <c r="AM247" s="40"/>
      <c r="AN247" s="40"/>
      <c r="AO247" s="40"/>
      <c r="AP247" s="40"/>
      <c r="BE247" s="640"/>
      <c r="BF247" s="640"/>
      <c r="BG247" s="640"/>
      <c r="BH247" s="640"/>
      <c r="BJ247" s="640"/>
      <c r="BK247" s="640"/>
      <c r="BL247" s="640"/>
      <c r="BM247" s="640"/>
      <c r="BP247" s="668"/>
      <c r="BQ247" s="668"/>
      <c r="BR247" s="668"/>
      <c r="BY247" s="10"/>
      <c r="BZ247" s="10"/>
      <c r="CA247" s="10"/>
      <c r="CB247" s="10"/>
    </row>
    <row r="248" spans="1:80">
      <c r="I248" s="40"/>
      <c r="J248" s="40"/>
      <c r="K248" s="40"/>
      <c r="L248" s="40"/>
      <c r="S248" s="40"/>
      <c r="T248" s="40"/>
      <c r="U248" s="40"/>
      <c r="V248" s="40"/>
      <c r="W248" s="10">
        <v>83.058000000000007</v>
      </c>
      <c r="X248" s="40"/>
      <c r="Y248" s="40"/>
      <c r="Z248" s="40"/>
      <c r="AA248" s="40"/>
      <c r="AB248" s="31">
        <v>182.006</v>
      </c>
      <c r="AC248" s="42">
        <f>+IS!AC19</f>
        <v>38.512</v>
      </c>
      <c r="AD248" s="42">
        <f>+IS!AD19</f>
        <v>43.786000000000001</v>
      </c>
      <c r="AE248" s="88">
        <f>+AE249*IS!AE17</f>
        <v>21.256499999999999</v>
      </c>
      <c r="AF248" s="88">
        <f>+AF249*IS!AF17</f>
        <v>16.215849999999971</v>
      </c>
      <c r="AG248" s="31">
        <f>+AG249*IS!AG17</f>
        <v>93.134699999999981</v>
      </c>
      <c r="AH248" s="88">
        <f>+AH249*IS!AL17</f>
        <v>62.107499999999959</v>
      </c>
      <c r="AI248" s="88"/>
      <c r="AJ248" s="88">
        <f>+AJ249*IS!AL17</f>
        <v>62.107499999999959</v>
      </c>
      <c r="AK248" s="88">
        <f>+AK249*IS!AM17</f>
        <v>42.023199999999981</v>
      </c>
      <c r="AL248" s="92">
        <f>+AL249*IS!AL17</f>
        <v>62.107499999999959</v>
      </c>
      <c r="AM248" s="88">
        <f>+AM249*IS!AZ17</f>
        <v>85.150400000000047</v>
      </c>
      <c r="AN248" s="88">
        <f>+AN249*IS!BE17</f>
        <v>251.80744999999999</v>
      </c>
      <c r="AO248" s="88">
        <f>+AO249*IS!BJ17</f>
        <v>358.46269999999993</v>
      </c>
      <c r="AP248" s="88">
        <f>+AP249*IS!BV17</f>
        <v>510.69865048021529</v>
      </c>
      <c r="AQ248" s="92">
        <f>+AQ249*IS!AQ17</f>
        <v>1044.9141933209999</v>
      </c>
      <c r="AR248" s="92" t="e">
        <f>+AR249*IS!#REF!</f>
        <v>#REF!</v>
      </c>
      <c r="AS248" s="92" t="e">
        <f>+AS249*IS!#REF!</f>
        <v>#REF!</v>
      </c>
      <c r="AT248" s="92">
        <f>IS!AU19</f>
        <v>189.01499999999999</v>
      </c>
      <c r="AU248" s="92">
        <f>IS!AV19</f>
        <v>29.382000000000001</v>
      </c>
      <c r="AV248" s="92">
        <f>IS!AW19</f>
        <v>20.004999999999999</v>
      </c>
      <c r="AW248" s="92">
        <f>IS!AX19</f>
        <v>24.087</v>
      </c>
      <c r="AX248" s="92">
        <f>IS!AY19</f>
        <v>-35.510000000000005</v>
      </c>
      <c r="AY248" s="92">
        <f>IS!AZ19</f>
        <v>37.963999999999999</v>
      </c>
      <c r="AZ248" s="636">
        <f>IS!BA19</f>
        <v>95.424999999999997</v>
      </c>
      <c r="BA248" s="636">
        <f>IS!BB19</f>
        <v>144.86099999999999</v>
      </c>
      <c r="BB248" s="636">
        <f>IS!BC19</f>
        <v>79.697000000000003</v>
      </c>
      <c r="BC248" s="636">
        <f>IS!BD19</f>
        <v>180.85199999999998</v>
      </c>
      <c r="BD248" s="92">
        <f>IS!BE19</f>
        <v>500.83499999999998</v>
      </c>
      <c r="BE248" s="636">
        <f>IS!BF19</f>
        <v>103.014</v>
      </c>
      <c r="BF248" s="636">
        <f>IS!BG12*BF249</f>
        <v>130.93922599999999</v>
      </c>
      <c r="BG248" s="636">
        <f>IS!BH12*BG249</f>
        <v>138.735784</v>
      </c>
      <c r="BH248" s="636">
        <f>IS!BI12*BH249</f>
        <v>152.54987044000001</v>
      </c>
      <c r="BI248" s="92">
        <f>IS!BJ19</f>
        <v>544.80600000000004</v>
      </c>
      <c r="BJ248" s="636">
        <f>IS!BK19</f>
        <v>172.11600000000001</v>
      </c>
      <c r="BK248" s="636">
        <f>IS!BL19</f>
        <v>180.65700000000001</v>
      </c>
      <c r="BL248" s="636">
        <f>IS!BM12*BL249</f>
        <v>187.27469799999997</v>
      </c>
      <c r="BM248" s="636">
        <f>IS!BN12*BM249</f>
        <v>197.26849610519827</v>
      </c>
      <c r="BN248" s="92">
        <f>IS!BP12*BN249</f>
        <v>604.42864416659211</v>
      </c>
      <c r="BO248" s="636">
        <f>IS!BQ12*BO249</f>
        <v>179.96470545974384</v>
      </c>
      <c r="BP248" s="668"/>
      <c r="BQ248" s="668">
        <f>IS!BS12*BQ249</f>
        <v>201.89921351621723</v>
      </c>
      <c r="BR248" s="668">
        <f>IS!BU12*BR249</f>
        <v>641.25510935563398</v>
      </c>
      <c r="BS248" s="92">
        <f>IS!BV12*BS249</f>
        <v>687.78970712062642</v>
      </c>
      <c r="BT248" s="92">
        <f>IS!BW12*BT249</f>
        <v>719.74663743330598</v>
      </c>
      <c r="BU248" s="92">
        <f>IS!BX12*BU249</f>
        <v>749.72980268137758</v>
      </c>
      <c r="BV248" s="92">
        <f>IS!BY12*BV249</f>
        <v>791.68627827969863</v>
      </c>
      <c r="BW248" s="92">
        <f>IS!BZ12*BW249</f>
        <v>826.2645032398118</v>
      </c>
      <c r="BX248" s="92">
        <f>IS!CA12*BX249</f>
        <v>864.05040313361303</v>
      </c>
      <c r="BY248" s="92">
        <f>IS!CB12*BY249</f>
        <v>891.28229818529746</v>
      </c>
      <c r="BZ248" s="92">
        <f>IS!CC12*BZ249</f>
        <v>929.45919082335763</v>
      </c>
      <c r="CA248" s="92">
        <f>IS!CD12*CA249</f>
        <v>973.01817765009832</v>
      </c>
      <c r="CB248" s="92">
        <f>IS!CE12*CB249</f>
        <v>1018.5710114934518</v>
      </c>
    </row>
    <row r="249" spans="1:80">
      <c r="I249" s="40"/>
      <c r="J249" s="40"/>
      <c r="K249" s="40"/>
      <c r="L249" s="40"/>
      <c r="S249" s="40"/>
      <c r="T249" s="40"/>
      <c r="U249" s="40"/>
      <c r="V249" s="40"/>
      <c r="W249" s="314">
        <f>+W248/IS!W17</f>
        <v>4.5852779553562248E-2</v>
      </c>
      <c r="X249" s="40"/>
      <c r="Y249" s="40"/>
      <c r="Z249" s="40"/>
      <c r="AA249" s="40"/>
      <c r="AB249" s="314">
        <f>+AB248/IS!AB17</f>
        <v>4.7814050457397249E-2</v>
      </c>
      <c r="AC249" s="188">
        <f>+AC248/IS!AC17</f>
        <v>4.920460309368576E-2</v>
      </c>
      <c r="AD249" s="188">
        <f>+AD248/IS!AD17</f>
        <v>0.13246167063977055</v>
      </c>
      <c r="AE249" s="188">
        <v>0.05</v>
      </c>
      <c r="AF249" s="188">
        <v>0.05</v>
      </c>
      <c r="AG249" s="314">
        <v>0.05</v>
      </c>
      <c r="AH249" s="188">
        <v>0.05</v>
      </c>
      <c r="AI249" s="188"/>
      <c r="AJ249" s="188">
        <v>0.05</v>
      </c>
      <c r="AK249" s="188">
        <v>0.05</v>
      </c>
      <c r="AL249" s="45">
        <v>0.05</v>
      </c>
      <c r="AM249" s="188">
        <v>0.05</v>
      </c>
      <c r="AN249" s="188">
        <v>0.05</v>
      </c>
      <c r="AO249" s="188">
        <v>0.05</v>
      </c>
      <c r="AP249" s="188">
        <v>0.05</v>
      </c>
      <c r="AQ249" s="45">
        <v>0.28499999999999998</v>
      </c>
      <c r="AR249" s="45">
        <v>0.33</v>
      </c>
      <c r="AS249" s="45">
        <v>0.33</v>
      </c>
      <c r="AT249" s="260">
        <f>IS!AU19/IS!AU12</f>
        <v>1.1207274425926112E-2</v>
      </c>
      <c r="AU249" s="314">
        <f>IS!AV19/IS!AV12</f>
        <v>8.3284130634370436E-3</v>
      </c>
      <c r="AV249" s="314">
        <f>IS!AW19/IS!AW12</f>
        <v>4.3051687849976544E-3</v>
      </c>
      <c r="AW249" s="314">
        <f>IS!AX19/IS!AX12</f>
        <v>4.9121544774389002E-3</v>
      </c>
      <c r="AX249" s="314">
        <f>IS!AY19/IS!AY12</f>
        <v>-6.4575565231686444E-3</v>
      </c>
      <c r="AY249" s="314">
        <f>IS!AZ19/IS!AZ12</f>
        <v>2.043580522746218E-3</v>
      </c>
      <c r="AZ249" s="649">
        <f>IS!BA19/IS!BA12</f>
        <v>1.8754865602741189E-2</v>
      </c>
      <c r="BA249" s="649">
        <f>IS!BB19/IS!BB12</f>
        <v>2.5806303350057611E-2</v>
      </c>
      <c r="BB249" s="649">
        <f>IS!BC19/IS!BC12</f>
        <v>1.3276823357959964E-2</v>
      </c>
      <c r="BC249" s="649">
        <f>IS!BD19/IS!BD12</f>
        <v>2.8956112081730104E-2</v>
      </c>
      <c r="BD249" s="314">
        <f>IS!BE19/IS!BE12</f>
        <v>2.1823015598400566E-2</v>
      </c>
      <c r="BE249" s="649">
        <f>IS!BF19/IS!BF12</f>
        <v>1.753716949056169E-2</v>
      </c>
      <c r="BF249" s="649">
        <v>2.1999999999999999E-2</v>
      </c>
      <c r="BG249" s="649">
        <v>2.1999999999999999E-2</v>
      </c>
      <c r="BH249" s="649">
        <v>2.1999999999999999E-2</v>
      </c>
      <c r="BI249" s="260">
        <f>IS!BJ19/IS!BJ12</f>
        <v>2.1865775477562063E-2</v>
      </c>
      <c r="BJ249" s="649">
        <f>IS!BK19/IS!BK12</f>
        <v>2.9401068281861193E-2</v>
      </c>
      <c r="BK249" s="649">
        <f>IS!BL19/IS!BL12</f>
        <v>2.7584801081056324E-2</v>
      </c>
      <c r="BL249" s="649">
        <v>2.5999999999999999E-2</v>
      </c>
      <c r="BM249" s="649">
        <v>2.5999999999999999E-2</v>
      </c>
      <c r="BN249" s="314">
        <f>AVERAGE(BD249,BC249,BE249)</f>
        <v>2.2772099056897453E-2</v>
      </c>
      <c r="BO249" s="314">
        <v>2.9000000000000001E-2</v>
      </c>
      <c r="BP249" s="668"/>
      <c r="BQ249" s="668">
        <f>BO249</f>
        <v>2.9000000000000001E-2</v>
      </c>
      <c r="BR249" s="668">
        <v>2.1999999999999999E-2</v>
      </c>
      <c r="BS249" s="314">
        <v>2.1999999999999999E-2</v>
      </c>
      <c r="BT249" s="314">
        <f>AVERAGE(BG249,BF249,BH249)</f>
        <v>2.2000000000000002E-2</v>
      </c>
      <c r="BU249" s="314">
        <f>AVERAGE(BH249,BG249,BI249)</f>
        <v>2.1955258492520686E-2</v>
      </c>
      <c r="BV249" s="314">
        <f>AVERAGE(BI249,BH249,BN249)</f>
        <v>2.2212624844819839E-2</v>
      </c>
      <c r="BW249" s="314">
        <f>AVERAGE(BN249,BI249,BR249)</f>
        <v>2.2212624844819839E-2</v>
      </c>
      <c r="BX249" s="314">
        <f>AVERAGE(BR249,BN249,BS249)</f>
        <v>2.2257366352299152E-2</v>
      </c>
      <c r="BY249" s="314">
        <f t="shared" ref="BY249:CB249" si="288">AVERAGE(BS249,BR249,BT249)</f>
        <v>2.2000000000000002E-2</v>
      </c>
      <c r="BZ249" s="314">
        <f t="shared" si="288"/>
        <v>2.1985086164173561E-2</v>
      </c>
      <c r="CA249" s="314">
        <f t="shared" si="288"/>
        <v>2.2055961112446842E-2</v>
      </c>
      <c r="CB249" s="314">
        <f t="shared" si="288"/>
        <v>2.212683606072012E-2</v>
      </c>
    </row>
    <row r="250" spans="1:80">
      <c r="I250" s="40"/>
      <c r="J250" s="40"/>
      <c r="K250" s="40"/>
      <c r="L250" s="40"/>
      <c r="S250" s="40"/>
      <c r="T250" s="40"/>
      <c r="U250" s="40"/>
      <c r="V250" s="40"/>
      <c r="X250" s="40"/>
      <c r="Y250" s="40"/>
      <c r="Z250" s="40"/>
      <c r="AA250" s="40"/>
      <c r="AC250" s="40"/>
      <c r="AD250" s="40"/>
      <c r="AE250" s="40"/>
      <c r="AF250" s="40"/>
      <c r="AG250" s="389">
        <f>IS!AG19/IS!AG12</f>
        <v>2.17001771910353E-2</v>
      </c>
      <c r="AH250" s="389">
        <f>IS!AH19/IS!AH12</f>
        <v>7.8269447689687764E-3</v>
      </c>
      <c r="AI250" s="389">
        <f>IS!AI19/IS!AI12</f>
        <v>1.365887038786249E-3</v>
      </c>
      <c r="AJ250" s="389">
        <f>IS!AJ19/IS!AJ12</f>
        <v>-9.7214465580758986E-4</v>
      </c>
      <c r="AK250" s="389">
        <f>IS!AK19/IS!AK12</f>
        <v>0.13735688390892953</v>
      </c>
      <c r="AL250" s="389">
        <f>IS!AL19/IS!AL12</f>
        <v>4.6755036720243205E-2</v>
      </c>
      <c r="AM250" s="42">
        <f>IS!AM19/IS!AM12</f>
        <v>1.4059010031742284E-3</v>
      </c>
      <c r="AN250" s="42">
        <f>IS!AQ19/IS!AQ12</f>
        <v>5.8389374020322064E-2</v>
      </c>
      <c r="AO250" s="42">
        <f>IS!AU19/IS!AU12</f>
        <v>1.1207274425926112E-2</v>
      </c>
      <c r="AP250" s="42">
        <f>IS!AZ19/IS!AZ12</f>
        <v>2.043580522746218E-3</v>
      </c>
      <c r="BE250" s="640"/>
      <c r="BF250" s="640"/>
      <c r="BG250" s="640"/>
      <c r="BH250" s="640"/>
      <c r="BJ250" s="640"/>
      <c r="BK250" s="640"/>
      <c r="BL250" s="640"/>
      <c r="BM250" s="640"/>
      <c r="BP250" s="668"/>
      <c r="BQ250" s="668"/>
      <c r="BR250" s="668"/>
      <c r="BY250" s="10"/>
      <c r="BZ250" s="10"/>
      <c r="CA250" s="10"/>
      <c r="CB250" s="10"/>
    </row>
    <row r="251" spans="1:80">
      <c r="I251" s="40"/>
      <c r="J251" s="40"/>
      <c r="K251" s="40"/>
      <c r="L251" s="40"/>
      <c r="S251" s="40"/>
      <c r="T251" s="40"/>
      <c r="U251" s="40"/>
      <c r="V251" s="40"/>
      <c r="X251" s="40"/>
      <c r="Y251" s="40"/>
      <c r="Z251" s="40"/>
      <c r="AA251" s="40"/>
      <c r="AC251" s="40"/>
      <c r="AD251" s="40"/>
      <c r="AE251" s="40"/>
      <c r="AF251" s="40"/>
      <c r="AH251" s="40"/>
      <c r="AI251" s="40"/>
      <c r="AJ251" s="40"/>
      <c r="AK251" s="40"/>
      <c r="AM251" s="40"/>
      <c r="AN251" s="40"/>
      <c r="AO251" s="40"/>
      <c r="AP251" s="40"/>
      <c r="BE251" s="640"/>
      <c r="BF251" s="640"/>
      <c r="BG251" s="640"/>
      <c r="BH251" s="640"/>
      <c r="BJ251" s="640"/>
      <c r="BK251" s="640"/>
      <c r="BL251" s="640"/>
      <c r="BM251" s="640"/>
      <c r="BP251" s="668"/>
      <c r="BQ251" s="668"/>
      <c r="BR251" s="668"/>
      <c r="BY251" s="10"/>
      <c r="BZ251" s="10"/>
      <c r="CA251" s="10"/>
      <c r="CB251" s="10"/>
    </row>
    <row r="252" spans="1:80">
      <c r="I252" s="40"/>
      <c r="J252" s="40"/>
      <c r="K252" s="40"/>
      <c r="L252" s="40"/>
      <c r="S252" s="40"/>
      <c r="T252" s="40"/>
      <c r="U252" s="40"/>
      <c r="V252" s="40"/>
      <c r="X252" s="40"/>
      <c r="Y252" s="40"/>
      <c r="Z252" s="40"/>
      <c r="AA252" s="40"/>
      <c r="AC252" s="40"/>
      <c r="AD252" s="40"/>
      <c r="AE252" s="40"/>
      <c r="AF252" s="40"/>
      <c r="AH252" s="40"/>
      <c r="AI252" s="40"/>
      <c r="AJ252" s="40"/>
      <c r="AK252" s="40"/>
      <c r="AM252" s="40"/>
      <c r="AN252" s="40"/>
      <c r="AO252" s="40"/>
      <c r="AP252" s="40"/>
      <c r="BE252" s="640"/>
      <c r="BF252" s="640"/>
      <c r="BG252" s="640"/>
      <c r="BH252" s="640"/>
      <c r="BJ252" s="640"/>
      <c r="BK252" s="640"/>
      <c r="BL252" s="640"/>
      <c r="BM252" s="640"/>
      <c r="BP252" s="668"/>
      <c r="BQ252" s="668"/>
      <c r="BR252" s="668"/>
      <c r="BY252" s="10"/>
      <c r="BZ252" s="10"/>
      <c r="CA252" s="10"/>
      <c r="CB252" s="10"/>
    </row>
    <row r="253" spans="1:80">
      <c r="I253" s="40"/>
      <c r="J253" s="40"/>
      <c r="K253" s="40"/>
      <c r="L253" s="40"/>
      <c r="S253" s="40"/>
      <c r="T253" s="40"/>
      <c r="U253" s="40"/>
      <c r="V253" s="40"/>
      <c r="X253" s="40"/>
      <c r="Y253" s="40"/>
      <c r="Z253" s="40"/>
      <c r="AA253" s="40"/>
      <c r="AC253" s="40"/>
      <c r="AD253" s="40"/>
      <c r="AE253" s="40"/>
      <c r="AF253" s="40"/>
      <c r="AH253" s="40"/>
      <c r="AI253" s="40"/>
      <c r="AJ253" s="40"/>
      <c r="AK253" s="40"/>
      <c r="AM253" s="40"/>
      <c r="AN253" s="40"/>
      <c r="AO253" s="40"/>
      <c r="AP253" s="40"/>
      <c r="BE253" s="640"/>
      <c r="BF253" s="640"/>
      <c r="BG253" s="640"/>
      <c r="BH253" s="640"/>
      <c r="BJ253" s="640"/>
      <c r="BK253" s="640"/>
      <c r="BL253" s="640"/>
      <c r="BM253" s="640"/>
      <c r="BP253" s="668"/>
      <c r="BQ253" s="668"/>
      <c r="BR253" s="668"/>
      <c r="BY253" s="10"/>
      <c r="BZ253" s="10"/>
      <c r="CA253" s="10"/>
      <c r="CB253" s="10"/>
    </row>
    <row r="254" spans="1:80">
      <c r="I254" s="40"/>
      <c r="J254" s="40"/>
      <c r="K254" s="40"/>
      <c r="L254" s="40"/>
      <c r="S254" s="40"/>
      <c r="T254" s="40"/>
      <c r="U254" s="40"/>
      <c r="V254" s="40"/>
      <c r="X254" s="40"/>
      <c r="Y254" s="40"/>
      <c r="Z254" s="40"/>
      <c r="AA254" s="40"/>
      <c r="AC254" s="40"/>
      <c r="AD254" s="40"/>
      <c r="AE254" s="40"/>
      <c r="AF254" s="40"/>
      <c r="AH254" s="40"/>
      <c r="AI254" s="40"/>
      <c r="AJ254" s="40"/>
      <c r="AK254" s="40"/>
      <c r="AM254" s="40"/>
      <c r="AN254" s="40"/>
      <c r="AO254" s="40"/>
      <c r="AP254" s="40"/>
      <c r="BE254" s="640"/>
      <c r="BF254" s="640"/>
      <c r="BG254" s="640"/>
      <c r="BH254" s="640"/>
      <c r="BJ254" s="640"/>
      <c r="BK254" s="640"/>
      <c r="BL254" s="640"/>
      <c r="BM254" s="640"/>
      <c r="BP254" s="668"/>
      <c r="BQ254" s="668"/>
      <c r="BR254" s="668"/>
      <c r="BY254" s="10"/>
      <c r="BZ254" s="10"/>
      <c r="CA254" s="10"/>
      <c r="CB254" s="10"/>
    </row>
    <row r="255" spans="1:80">
      <c r="I255" s="40"/>
      <c r="J255" s="40"/>
      <c r="K255" s="40"/>
      <c r="L255" s="40"/>
      <c r="S255" s="40"/>
      <c r="T255" s="40"/>
      <c r="U255" s="40"/>
      <c r="V255" s="40"/>
      <c r="X255" s="40"/>
      <c r="Y255" s="40"/>
      <c r="Z255" s="40"/>
      <c r="AA255" s="40"/>
      <c r="AC255" s="40"/>
      <c r="AD255" s="40"/>
      <c r="AE255" s="40"/>
      <c r="AF255" s="40"/>
      <c r="AH255" s="40"/>
      <c r="AI255" s="40"/>
      <c r="AJ255" s="40"/>
      <c r="AK255" s="40"/>
      <c r="AM255" s="40"/>
      <c r="AN255" s="40"/>
      <c r="AO255" s="40"/>
      <c r="AP255" s="40"/>
      <c r="BE255" s="640"/>
      <c r="BF255" s="640"/>
      <c r="BG255" s="640"/>
      <c r="BH255" s="640"/>
      <c r="BJ255" s="640"/>
      <c r="BK255" s="640"/>
      <c r="BL255" s="640"/>
      <c r="BM255" s="640"/>
      <c r="BP255" s="668"/>
      <c r="BQ255" s="668"/>
      <c r="BR255" s="668"/>
      <c r="BY255" s="10"/>
      <c r="BZ255" s="10"/>
      <c r="CA255" s="10"/>
      <c r="CB255" s="10"/>
    </row>
    <row r="256" spans="1:80">
      <c r="I256" s="40"/>
      <c r="J256" s="40"/>
      <c r="K256" s="40"/>
      <c r="L256" s="40"/>
      <c r="S256" s="40"/>
      <c r="T256" s="40"/>
      <c r="U256" s="40"/>
      <c r="V256" s="40"/>
      <c r="X256" s="40"/>
      <c r="Y256" s="40"/>
      <c r="Z256" s="40"/>
      <c r="AA256" s="40"/>
      <c r="AC256" s="40"/>
      <c r="AD256" s="40"/>
      <c r="AE256" s="40"/>
      <c r="AF256" s="40"/>
      <c r="AH256" s="40"/>
      <c r="AI256" s="40"/>
      <c r="AJ256" s="40"/>
      <c r="AK256" s="40"/>
      <c r="AM256" s="40"/>
      <c r="AN256" s="40"/>
      <c r="AO256" s="40"/>
      <c r="AP256" s="40"/>
      <c r="BE256" s="640"/>
      <c r="BF256" s="640"/>
      <c r="BG256" s="640"/>
      <c r="BH256" s="640"/>
      <c r="BJ256" s="640"/>
      <c r="BK256" s="640"/>
      <c r="BL256" s="640"/>
      <c r="BM256" s="640"/>
      <c r="BP256" s="668"/>
      <c r="BQ256" s="668"/>
      <c r="BR256" s="668"/>
      <c r="BY256" s="10"/>
      <c r="BZ256" s="10"/>
      <c r="CA256" s="10"/>
      <c r="CB256" s="10"/>
    </row>
    <row r="257" spans="1:80">
      <c r="A257" s="1" t="s">
        <v>344</v>
      </c>
      <c r="I257" s="40"/>
      <c r="J257" s="40"/>
      <c r="K257" s="40"/>
      <c r="L257" s="40"/>
      <c r="S257" s="40"/>
      <c r="T257" s="40"/>
      <c r="U257" s="40"/>
      <c r="V257" s="40"/>
      <c r="W257" s="10">
        <v>66.06</v>
      </c>
      <c r="X257" s="40"/>
      <c r="Y257" s="40"/>
      <c r="Z257" s="40"/>
      <c r="AA257" s="40"/>
      <c r="AB257" s="10">
        <v>210.3</v>
      </c>
      <c r="AC257" s="40"/>
      <c r="AD257" s="40"/>
      <c r="AE257" s="40"/>
      <c r="AF257" s="40"/>
      <c r="AH257" s="40"/>
      <c r="AI257" s="40"/>
      <c r="AJ257" s="40"/>
      <c r="AK257" s="40"/>
      <c r="AM257" s="40"/>
      <c r="AN257" s="40"/>
      <c r="AO257" s="40"/>
      <c r="AP257" s="40"/>
      <c r="BE257" s="640"/>
      <c r="BF257" s="640"/>
      <c r="BG257" s="640"/>
      <c r="BH257" s="640"/>
      <c r="BJ257" s="640"/>
      <c r="BK257" s="640"/>
      <c r="BL257" s="640"/>
      <c r="BM257" s="640"/>
      <c r="BP257" s="668"/>
      <c r="BQ257" s="668"/>
      <c r="BR257" s="668"/>
      <c r="BY257" s="10"/>
      <c r="BZ257" s="10"/>
      <c r="CA257" s="10"/>
      <c r="CB257" s="10"/>
    </row>
    <row r="258" spans="1:80">
      <c r="A258" s="1" t="s">
        <v>343</v>
      </c>
      <c r="I258" s="40"/>
      <c r="J258" s="40"/>
      <c r="K258" s="40"/>
      <c r="L258" s="40"/>
      <c r="S258" s="40"/>
      <c r="T258" s="40"/>
      <c r="U258" s="40"/>
      <c r="V258" s="40"/>
      <c r="W258" s="10">
        <v>79.3</v>
      </c>
      <c r="X258" s="40"/>
      <c r="Y258" s="40"/>
      <c r="Z258" s="40"/>
      <c r="AA258" s="40"/>
      <c r="AB258" s="10">
        <v>210.3</v>
      </c>
      <c r="AC258" s="40"/>
      <c r="AD258" s="40"/>
      <c r="AE258" s="40"/>
      <c r="AF258" s="40"/>
      <c r="AH258" s="40"/>
      <c r="AI258" s="40"/>
      <c r="AJ258" s="40"/>
      <c r="AK258" s="40"/>
      <c r="AM258" s="40"/>
      <c r="AN258" s="40"/>
      <c r="AO258" s="40"/>
      <c r="AP258" s="40"/>
      <c r="BE258" s="640"/>
      <c r="BF258" s="640"/>
      <c r="BG258" s="640"/>
      <c r="BH258" s="640"/>
      <c r="BJ258" s="640"/>
      <c r="BK258" s="640"/>
      <c r="BL258" s="640"/>
      <c r="BM258" s="640"/>
      <c r="BP258" s="668"/>
      <c r="BQ258" s="668"/>
      <c r="BR258" s="668"/>
      <c r="BY258" s="10"/>
      <c r="BZ258" s="10"/>
      <c r="CA258" s="10"/>
      <c r="CB258" s="10"/>
    </row>
    <row r="259" spans="1:80">
      <c r="A259" s="1" t="s">
        <v>351</v>
      </c>
      <c r="I259" s="40"/>
      <c r="J259" s="40"/>
      <c r="K259" s="40"/>
      <c r="L259" s="40"/>
      <c r="S259" s="40"/>
      <c r="T259" s="40"/>
      <c r="U259" s="40"/>
      <c r="V259" s="40"/>
      <c r="X259" s="40"/>
      <c r="Y259" s="40"/>
      <c r="Z259" s="40"/>
      <c r="AA259" s="40"/>
      <c r="AC259" s="40"/>
      <c r="AD259" s="40"/>
      <c r="AE259" s="40"/>
      <c r="AF259" s="40"/>
      <c r="AH259" s="40"/>
      <c r="AI259" s="40"/>
      <c r="AJ259" s="40"/>
      <c r="AK259" s="40"/>
      <c r="AM259" s="40"/>
      <c r="AN259" s="40"/>
      <c r="AO259" s="40"/>
      <c r="AP259" s="40"/>
      <c r="BE259" s="640"/>
      <c r="BF259" s="640"/>
      <c r="BG259" s="640"/>
      <c r="BH259" s="640"/>
      <c r="BJ259" s="640"/>
      <c r="BK259" s="640"/>
      <c r="BL259" s="640"/>
      <c r="BM259" s="640"/>
      <c r="BP259" s="668"/>
      <c r="BQ259" s="668"/>
      <c r="BR259" s="668"/>
      <c r="BY259" s="10"/>
      <c r="BZ259" s="10"/>
      <c r="CA259" s="10"/>
      <c r="CB259" s="10"/>
    </row>
    <row r="260" spans="1:80">
      <c r="A260" s="1" t="s">
        <v>352</v>
      </c>
      <c r="I260" s="40"/>
      <c r="J260" s="40"/>
      <c r="K260" s="40"/>
      <c r="L260" s="40"/>
      <c r="S260" s="40"/>
      <c r="T260" s="40"/>
      <c r="U260" s="40"/>
      <c r="V260" s="40"/>
      <c r="X260" s="40"/>
      <c r="Y260" s="40"/>
      <c r="Z260" s="40"/>
      <c r="AA260" s="40"/>
      <c r="AC260" s="40"/>
      <c r="AD260" s="40"/>
      <c r="AE260" s="40"/>
      <c r="AF260" s="40"/>
      <c r="AH260" s="40"/>
      <c r="AI260" s="40"/>
      <c r="AJ260" s="40"/>
      <c r="AK260" s="40"/>
      <c r="AM260" s="40"/>
      <c r="AN260" s="40"/>
      <c r="AO260" s="40"/>
      <c r="AP260" s="40"/>
      <c r="BE260" s="640"/>
      <c r="BF260" s="640"/>
      <c r="BG260" s="640"/>
      <c r="BH260" s="640"/>
      <c r="BJ260" s="640"/>
      <c r="BK260" s="640"/>
      <c r="BL260" s="640"/>
      <c r="BM260" s="640"/>
      <c r="BP260" s="668"/>
      <c r="BQ260" s="668"/>
      <c r="BR260" s="668"/>
      <c r="BY260" s="10"/>
      <c r="BZ260" s="10"/>
      <c r="CA260" s="10"/>
      <c r="CB260" s="10"/>
    </row>
    <row r="261" spans="1:80">
      <c r="I261" s="40"/>
      <c r="J261" s="40"/>
      <c r="K261" s="40"/>
      <c r="L261" s="40"/>
      <c r="S261" s="40"/>
      <c r="T261" s="40"/>
      <c r="U261" s="40"/>
      <c r="V261" s="40"/>
      <c r="X261" s="40"/>
      <c r="Y261" s="40"/>
      <c r="Z261" s="40"/>
      <c r="AA261" s="40"/>
      <c r="AC261" s="40"/>
      <c r="AD261" s="40"/>
      <c r="AE261" s="40"/>
      <c r="AF261" s="40"/>
      <c r="AH261" s="40"/>
      <c r="AI261" s="40"/>
      <c r="AJ261" s="40"/>
      <c r="AK261" s="40"/>
      <c r="AM261" s="40"/>
      <c r="AN261" s="40"/>
      <c r="AO261" s="40"/>
      <c r="AP261" s="40"/>
      <c r="BE261" s="640"/>
      <c r="BF261" s="640"/>
      <c r="BG261" s="640"/>
      <c r="BH261" s="640"/>
      <c r="BJ261" s="640"/>
      <c r="BK261" s="640"/>
      <c r="BL261" s="640"/>
      <c r="BM261" s="640"/>
      <c r="BP261" s="668"/>
      <c r="BQ261" s="668"/>
      <c r="BR261" s="668"/>
      <c r="BY261" s="10"/>
      <c r="BZ261" s="10"/>
      <c r="CA261" s="10"/>
      <c r="CB261" s="10"/>
    </row>
    <row r="262" spans="1:80">
      <c r="I262" s="40"/>
      <c r="J262" s="40"/>
      <c r="K262" s="40"/>
      <c r="L262" s="40"/>
      <c r="S262" s="40"/>
      <c r="T262" s="40"/>
      <c r="U262" s="40"/>
      <c r="V262" s="40"/>
      <c r="X262" s="40"/>
      <c r="Y262" s="40"/>
      <c r="Z262" s="40"/>
      <c r="AA262" s="40"/>
      <c r="AC262" s="40"/>
      <c r="AD262" s="40"/>
      <c r="AE262" s="40"/>
      <c r="AF262" s="40"/>
      <c r="AH262" s="40"/>
      <c r="AI262" s="40"/>
      <c r="AJ262" s="40"/>
      <c r="AK262" s="40"/>
      <c r="AM262" s="40"/>
      <c r="AN262" s="40"/>
      <c r="AO262" s="40"/>
      <c r="AP262" s="40"/>
      <c r="BE262" s="640"/>
      <c r="BF262" s="640"/>
      <c r="BG262" s="640"/>
      <c r="BH262" s="640"/>
      <c r="BJ262" s="640"/>
      <c r="BK262" s="640"/>
      <c r="BL262" s="640"/>
      <c r="BM262" s="640"/>
      <c r="BP262" s="668"/>
      <c r="BQ262" s="668"/>
      <c r="BR262" s="668"/>
      <c r="BY262" s="10"/>
      <c r="BZ262" s="10"/>
      <c r="CA262" s="10"/>
      <c r="CB262" s="10"/>
    </row>
    <row r="263" spans="1:80">
      <c r="I263" s="40"/>
      <c r="J263" s="40"/>
      <c r="K263" s="40"/>
      <c r="L263" s="40"/>
      <c r="S263" s="40"/>
      <c r="T263" s="40"/>
      <c r="U263" s="40"/>
      <c r="V263" s="40"/>
      <c r="X263" s="40"/>
      <c r="Y263" s="40"/>
      <c r="Z263" s="40"/>
      <c r="AA263" s="40"/>
      <c r="AC263" s="40"/>
      <c r="AD263" s="40"/>
      <c r="AE263" s="40"/>
      <c r="AF263" s="40"/>
      <c r="AH263" s="40"/>
      <c r="AI263" s="40"/>
      <c r="AJ263" s="40"/>
      <c r="AK263" s="40"/>
      <c r="AM263" s="40"/>
      <c r="AN263" s="40"/>
      <c r="AO263" s="40"/>
      <c r="AP263" s="40"/>
      <c r="BE263" s="640"/>
      <c r="BF263" s="640"/>
      <c r="BG263" s="640"/>
      <c r="BH263" s="640"/>
      <c r="BJ263" s="640"/>
      <c r="BK263" s="640"/>
      <c r="BL263" s="640"/>
      <c r="BM263" s="640"/>
      <c r="BP263" s="668"/>
      <c r="BQ263" s="668"/>
      <c r="BR263" s="668"/>
      <c r="BY263" s="10"/>
      <c r="BZ263" s="10"/>
      <c r="CA263" s="10"/>
      <c r="CB263" s="10"/>
    </row>
    <row r="264" spans="1:80">
      <c r="A264" s="1" t="s">
        <v>345</v>
      </c>
      <c r="I264" s="40"/>
      <c r="J264" s="40"/>
      <c r="K264" s="40"/>
      <c r="L264" s="40"/>
      <c r="S264" s="40"/>
      <c r="T264" s="40"/>
      <c r="U264" s="40"/>
      <c r="V264" s="40"/>
      <c r="W264" s="10">
        <v>76</v>
      </c>
      <c r="X264" s="40"/>
      <c r="Y264" s="40"/>
      <c r="Z264" s="40"/>
      <c r="AA264" s="40"/>
      <c r="AB264" s="10">
        <v>104.8</v>
      </c>
      <c r="AC264" s="40"/>
      <c r="AD264" s="40"/>
      <c r="AE264" s="40"/>
      <c r="AF264" s="40"/>
      <c r="AH264" s="40"/>
      <c r="AI264" s="40"/>
      <c r="AJ264" s="40"/>
      <c r="AK264" s="40"/>
      <c r="AM264" s="40"/>
      <c r="AN264" s="40"/>
      <c r="AO264" s="40"/>
      <c r="AP264" s="40"/>
      <c r="BE264" s="640"/>
      <c r="BF264" s="640"/>
      <c r="BG264" s="640"/>
      <c r="BH264" s="640"/>
      <c r="BJ264" s="640"/>
      <c r="BK264" s="640"/>
      <c r="BL264" s="640"/>
      <c r="BM264" s="640"/>
      <c r="BP264" s="668"/>
      <c r="BQ264" s="668"/>
      <c r="BR264" s="668"/>
      <c r="BY264" s="10"/>
      <c r="BZ264" s="10"/>
      <c r="CA264" s="10"/>
      <c r="CB264" s="10"/>
    </row>
    <row r="265" spans="1:80">
      <c r="A265" s="1" t="s">
        <v>346</v>
      </c>
      <c r="I265" s="40"/>
      <c r="J265" s="40"/>
      <c r="K265" s="40"/>
      <c r="L265" s="40"/>
      <c r="S265" s="40"/>
      <c r="T265" s="40"/>
      <c r="U265" s="40"/>
      <c r="V265" s="40"/>
      <c r="W265" s="10">
        <v>76</v>
      </c>
      <c r="X265" s="40"/>
      <c r="Y265" s="40"/>
      <c r="Z265" s="40"/>
      <c r="AA265" s="40"/>
      <c r="AB265" s="10">
        <v>104.8</v>
      </c>
      <c r="AC265" s="40"/>
      <c r="AD265" s="40"/>
      <c r="AE265" s="40"/>
      <c r="AF265" s="40"/>
      <c r="AH265" s="40"/>
      <c r="AI265" s="40"/>
      <c r="AJ265" s="40"/>
      <c r="AK265" s="40"/>
      <c r="AM265" s="40"/>
      <c r="AN265" s="40"/>
      <c r="AO265" s="40"/>
      <c r="AP265" s="40"/>
      <c r="BE265" s="640"/>
      <c r="BF265" s="640"/>
      <c r="BG265" s="640"/>
      <c r="BH265" s="640"/>
      <c r="BJ265" s="640"/>
      <c r="BK265" s="640"/>
      <c r="BL265" s="640"/>
      <c r="BM265" s="640"/>
      <c r="BP265" s="668"/>
      <c r="BQ265" s="668"/>
      <c r="BR265" s="668"/>
      <c r="BY265" s="10"/>
      <c r="BZ265" s="10"/>
      <c r="CA265" s="10"/>
      <c r="CB265" s="10"/>
    </row>
    <row r="266" spans="1:80">
      <c r="A266" s="1" t="s">
        <v>351</v>
      </c>
      <c r="I266" s="40"/>
      <c r="J266" s="40"/>
      <c r="K266" s="40"/>
      <c r="L266" s="40"/>
      <c r="S266" s="40"/>
      <c r="T266" s="40"/>
      <c r="U266" s="40"/>
      <c r="V266" s="40"/>
      <c r="X266" s="40"/>
      <c r="Y266" s="40"/>
      <c r="Z266" s="40"/>
      <c r="AA266" s="40"/>
      <c r="AC266" s="40"/>
      <c r="AD266" s="40"/>
      <c r="AE266" s="40"/>
      <c r="AF266" s="40"/>
      <c r="AH266" s="40"/>
      <c r="AI266" s="40"/>
      <c r="AJ266" s="40"/>
      <c r="AK266" s="40"/>
      <c r="AM266" s="40"/>
      <c r="AN266" s="40"/>
      <c r="AO266" s="40"/>
      <c r="AP266" s="40"/>
      <c r="BE266" s="640"/>
      <c r="BF266" s="640"/>
      <c r="BG266" s="640"/>
      <c r="BH266" s="640"/>
      <c r="BJ266" s="640"/>
      <c r="BK266" s="640"/>
      <c r="BL266" s="640"/>
      <c r="BM266" s="640"/>
      <c r="BP266" s="668"/>
      <c r="BQ266" s="668"/>
      <c r="BR266" s="668"/>
      <c r="BY266" s="10"/>
      <c r="BZ266" s="10"/>
      <c r="CA266" s="10"/>
      <c r="CB266" s="10"/>
    </row>
    <row r="267" spans="1:80">
      <c r="A267" s="1" t="s">
        <v>352</v>
      </c>
      <c r="I267" s="40"/>
      <c r="J267" s="40"/>
      <c r="K267" s="40"/>
      <c r="L267" s="40"/>
      <c r="S267" s="40"/>
      <c r="T267" s="40"/>
      <c r="U267" s="40"/>
      <c r="V267" s="40"/>
      <c r="X267" s="40"/>
      <c r="Y267" s="40"/>
      <c r="Z267" s="40"/>
      <c r="AA267" s="40"/>
      <c r="AC267" s="40"/>
      <c r="AD267" s="40"/>
      <c r="AE267" s="40"/>
      <c r="AF267" s="40"/>
      <c r="AH267" s="40"/>
      <c r="AI267" s="40"/>
      <c r="AJ267" s="40"/>
      <c r="AK267" s="40"/>
      <c r="AM267" s="40"/>
      <c r="AN267" s="40"/>
      <c r="AO267" s="40"/>
      <c r="AP267" s="40"/>
      <c r="BE267" s="640"/>
      <c r="BF267" s="640"/>
      <c r="BG267" s="640"/>
      <c r="BH267" s="640"/>
      <c r="BJ267" s="640"/>
      <c r="BK267" s="640"/>
      <c r="BL267" s="640"/>
      <c r="BM267" s="640"/>
      <c r="BP267" s="668"/>
      <c r="BQ267" s="668"/>
      <c r="BR267" s="668"/>
      <c r="BY267" s="10"/>
      <c r="BZ267" s="10"/>
      <c r="CA267" s="10"/>
      <c r="CB267" s="10"/>
    </row>
    <row r="268" spans="1:80">
      <c r="I268" s="40"/>
      <c r="J268" s="40"/>
      <c r="K268" s="40"/>
      <c r="L268" s="40"/>
      <c r="S268" s="40"/>
      <c r="T268" s="40"/>
      <c r="U268" s="40"/>
      <c r="V268" s="40"/>
      <c r="X268" s="40"/>
      <c r="Y268" s="40"/>
      <c r="Z268" s="40"/>
      <c r="AA268" s="40"/>
      <c r="AC268" s="40"/>
      <c r="AD268" s="40"/>
      <c r="AE268" s="40"/>
      <c r="AF268" s="40"/>
      <c r="AH268" s="40"/>
      <c r="AI268" s="40"/>
      <c r="AJ268" s="40"/>
      <c r="AK268" s="40"/>
      <c r="AM268" s="40"/>
      <c r="AN268" s="40"/>
      <c r="AO268" s="40"/>
      <c r="AP268" s="40"/>
      <c r="BE268" s="640"/>
      <c r="BF268" s="640"/>
      <c r="BG268" s="640"/>
      <c r="BH268" s="640"/>
      <c r="BJ268" s="640"/>
      <c r="BK268" s="640"/>
      <c r="BL268" s="640"/>
      <c r="BM268" s="640"/>
      <c r="BP268" s="668"/>
      <c r="BQ268" s="668"/>
      <c r="BR268" s="668"/>
    </row>
    <row r="269" spans="1:80">
      <c r="I269" s="40"/>
      <c r="J269" s="40"/>
      <c r="K269" s="40"/>
      <c r="L269" s="40"/>
      <c r="S269" s="40"/>
      <c r="T269" s="40"/>
      <c r="U269" s="40"/>
      <c r="V269" s="40"/>
      <c r="X269" s="40"/>
      <c r="Y269" s="40"/>
      <c r="Z269" s="40"/>
      <c r="AA269" s="40"/>
      <c r="AC269" s="40"/>
      <c r="AD269" s="40"/>
      <c r="AE269" s="40"/>
      <c r="AF269" s="40"/>
      <c r="AH269" s="40"/>
      <c r="AI269" s="40"/>
      <c r="AJ269" s="40"/>
      <c r="AK269" s="40"/>
      <c r="AM269" s="40"/>
      <c r="AN269" s="40"/>
      <c r="AO269" s="40"/>
      <c r="AP269" s="40"/>
      <c r="BE269" s="640"/>
      <c r="BF269" s="640"/>
      <c r="BG269" s="640"/>
      <c r="BH269" s="640"/>
      <c r="BJ269" s="640"/>
      <c r="BK269" s="640"/>
      <c r="BL269" s="640"/>
      <c r="BM269" s="640"/>
      <c r="BP269" s="668"/>
      <c r="BQ269" s="668"/>
      <c r="BR269" s="668"/>
    </row>
    <row r="270" spans="1:80">
      <c r="A270" s="1" t="s">
        <v>347</v>
      </c>
      <c r="I270" s="40"/>
      <c r="J270" s="40"/>
      <c r="K270" s="40"/>
      <c r="L270" s="40"/>
      <c r="S270" s="40"/>
      <c r="T270" s="40"/>
      <c r="U270" s="40"/>
      <c r="V270" s="40"/>
      <c r="W270" s="10">
        <v>95.1</v>
      </c>
      <c r="X270" s="40"/>
      <c r="Y270" s="40"/>
      <c r="Z270" s="40"/>
      <c r="AA270" s="40"/>
      <c r="AB270" s="10">
        <v>44.5</v>
      </c>
      <c r="AC270" s="40"/>
      <c r="AD270" s="40"/>
      <c r="AE270" s="40"/>
      <c r="AF270" s="40"/>
      <c r="AH270" s="40"/>
      <c r="AI270" s="40"/>
      <c r="AJ270" s="40"/>
      <c r="AK270" s="40"/>
      <c r="AM270" s="40"/>
      <c r="AN270" s="40"/>
      <c r="AO270" s="40"/>
      <c r="AP270" s="40"/>
      <c r="BE270" s="640"/>
      <c r="BF270" s="640"/>
      <c r="BG270" s="640"/>
      <c r="BH270" s="640"/>
      <c r="BJ270" s="640"/>
      <c r="BK270" s="640"/>
      <c r="BL270" s="640"/>
      <c r="BM270" s="640"/>
      <c r="BP270" s="668"/>
      <c r="BQ270" s="668"/>
      <c r="BR270" s="668"/>
    </row>
    <row r="271" spans="1:80">
      <c r="A271" s="1" t="s">
        <v>348</v>
      </c>
      <c r="I271" s="40"/>
      <c r="J271" s="40"/>
      <c r="K271" s="40"/>
      <c r="L271" s="40"/>
      <c r="S271" s="40"/>
      <c r="T271" s="40"/>
      <c r="U271" s="40"/>
      <c r="V271" s="40"/>
      <c r="W271" s="10">
        <v>95.1</v>
      </c>
      <c r="X271" s="40"/>
      <c r="Y271" s="40"/>
      <c r="Z271" s="40"/>
      <c r="AA271" s="40"/>
      <c r="AB271" s="10">
        <v>44.5</v>
      </c>
      <c r="AC271" s="40"/>
      <c r="AD271" s="40"/>
      <c r="AE271" s="40"/>
      <c r="AF271" s="40"/>
      <c r="AH271" s="40"/>
      <c r="AI271" s="40"/>
      <c r="AJ271" s="40"/>
      <c r="AK271" s="40"/>
      <c r="AM271" s="40"/>
      <c r="AN271" s="40"/>
      <c r="AO271" s="40"/>
      <c r="AP271" s="40"/>
      <c r="BE271" s="640"/>
      <c r="BF271" s="640"/>
      <c r="BG271" s="640"/>
      <c r="BH271" s="640"/>
      <c r="BJ271" s="640"/>
      <c r="BK271" s="640"/>
      <c r="BL271" s="640"/>
      <c r="BM271" s="640"/>
      <c r="BP271" s="668"/>
      <c r="BQ271" s="668"/>
      <c r="BR271" s="668"/>
    </row>
    <row r="272" spans="1:80">
      <c r="A272" s="1" t="s">
        <v>351</v>
      </c>
      <c r="I272" s="40"/>
      <c r="J272" s="40"/>
      <c r="K272" s="40"/>
      <c r="L272" s="40"/>
      <c r="S272" s="40"/>
      <c r="T272" s="40"/>
      <c r="U272" s="40"/>
      <c r="V272" s="40"/>
      <c r="X272" s="40"/>
      <c r="Y272" s="40"/>
      <c r="Z272" s="40"/>
      <c r="AA272" s="40"/>
      <c r="AC272" s="40"/>
      <c r="AD272" s="40"/>
      <c r="AE272" s="40"/>
      <c r="AF272" s="40"/>
      <c r="AH272" s="40"/>
      <c r="AI272" s="40"/>
      <c r="AJ272" s="40"/>
      <c r="AK272" s="40"/>
      <c r="AM272" s="40"/>
      <c r="AN272" s="40"/>
      <c r="AO272" s="40"/>
      <c r="AP272" s="40"/>
      <c r="BE272" s="640"/>
      <c r="BF272" s="640"/>
      <c r="BG272" s="640"/>
      <c r="BH272" s="640"/>
      <c r="BJ272" s="640"/>
      <c r="BK272" s="640"/>
      <c r="BL272" s="640"/>
      <c r="BM272" s="640"/>
      <c r="BP272" s="668"/>
      <c r="BQ272" s="668"/>
      <c r="BR272" s="668"/>
    </row>
    <row r="273" spans="1:70">
      <c r="A273" s="1" t="s">
        <v>352</v>
      </c>
      <c r="I273" s="40"/>
      <c r="J273" s="40"/>
      <c r="K273" s="40"/>
      <c r="L273" s="40"/>
      <c r="S273" s="40"/>
      <c r="T273" s="40"/>
      <c r="U273" s="40"/>
      <c r="V273" s="40"/>
      <c r="X273" s="40"/>
      <c r="Y273" s="40"/>
      <c r="Z273" s="40"/>
      <c r="AA273" s="40"/>
      <c r="AC273" s="40"/>
      <c r="AD273" s="40"/>
      <c r="AE273" s="40"/>
      <c r="AF273" s="40"/>
      <c r="AH273" s="40"/>
      <c r="AI273" s="40"/>
      <c r="AJ273" s="40"/>
      <c r="AK273" s="40"/>
      <c r="AM273" s="40"/>
      <c r="AN273" s="40"/>
      <c r="AO273" s="40"/>
      <c r="AP273" s="40"/>
      <c r="BE273" s="640"/>
      <c r="BF273" s="640"/>
      <c r="BG273" s="640"/>
      <c r="BH273" s="640"/>
      <c r="BJ273" s="640"/>
      <c r="BK273" s="640"/>
      <c r="BL273" s="640"/>
      <c r="BM273" s="640"/>
      <c r="BP273" s="668"/>
      <c r="BQ273" s="668"/>
      <c r="BR273" s="668"/>
    </row>
    <row r="274" spans="1:70">
      <c r="I274" s="40"/>
      <c r="J274" s="40"/>
      <c r="K274" s="40"/>
      <c r="L274" s="40"/>
      <c r="S274" s="40"/>
      <c r="T274" s="40"/>
      <c r="U274" s="40"/>
      <c r="V274" s="40"/>
      <c r="X274" s="40"/>
      <c r="Y274" s="40"/>
      <c r="Z274" s="40"/>
      <c r="AA274" s="40"/>
      <c r="AC274" s="40"/>
      <c r="AD274" s="40"/>
      <c r="AE274" s="40"/>
      <c r="AF274" s="40"/>
      <c r="AH274" s="40"/>
      <c r="AI274" s="40"/>
      <c r="AJ274" s="40"/>
      <c r="AK274" s="40"/>
      <c r="AM274" s="40"/>
      <c r="AN274" s="40"/>
      <c r="AO274" s="40"/>
      <c r="AP274" s="40"/>
      <c r="BE274" s="640"/>
      <c r="BF274" s="640"/>
      <c r="BG274" s="640"/>
      <c r="BH274" s="640"/>
      <c r="BJ274" s="640"/>
      <c r="BK274" s="640"/>
      <c r="BL274" s="640"/>
      <c r="BM274" s="640"/>
      <c r="BP274" s="668"/>
      <c r="BQ274" s="668"/>
      <c r="BR274" s="668"/>
    </row>
    <row r="275" spans="1:70">
      <c r="I275" s="40"/>
      <c r="J275" s="40"/>
      <c r="K275" s="40"/>
      <c r="L275" s="40"/>
      <c r="S275" s="40"/>
      <c r="T275" s="40"/>
      <c r="U275" s="40"/>
      <c r="V275" s="40"/>
      <c r="X275" s="40"/>
      <c r="Y275" s="40"/>
      <c r="Z275" s="40"/>
      <c r="AA275" s="40"/>
      <c r="AC275" s="40"/>
      <c r="AD275" s="40"/>
      <c r="AE275" s="40"/>
      <c r="AF275" s="40"/>
      <c r="AH275" s="40"/>
      <c r="AI275" s="40"/>
      <c r="AJ275" s="40"/>
      <c r="AK275" s="40"/>
      <c r="AM275" s="40"/>
      <c r="AN275" s="40"/>
      <c r="AO275" s="40"/>
      <c r="AP275" s="40"/>
      <c r="BE275" s="640"/>
      <c r="BF275" s="640"/>
      <c r="BG275" s="640"/>
      <c r="BH275" s="640"/>
      <c r="BJ275" s="640"/>
      <c r="BK275" s="640"/>
      <c r="BL275" s="640"/>
      <c r="BM275" s="640"/>
      <c r="BP275" s="668"/>
      <c r="BQ275" s="668"/>
      <c r="BR275" s="668"/>
    </row>
    <row r="276" spans="1:70">
      <c r="A276" s="1" t="s">
        <v>349</v>
      </c>
      <c r="I276" s="40"/>
      <c r="J276" s="40"/>
      <c r="K276" s="40"/>
      <c r="L276" s="40"/>
      <c r="S276" s="40"/>
      <c r="T276" s="40"/>
      <c r="U276" s="40"/>
      <c r="V276" s="40"/>
      <c r="W276" s="10">
        <v>54.01</v>
      </c>
      <c r="X276" s="40"/>
      <c r="Y276" s="40"/>
      <c r="Z276" s="40"/>
      <c r="AA276" s="40"/>
      <c r="AB276" s="10">
        <v>109.3</v>
      </c>
      <c r="AC276" s="40"/>
      <c r="AD276" s="40"/>
      <c r="AE276" s="40"/>
      <c r="AF276" s="40"/>
      <c r="AH276" s="40"/>
      <c r="AI276" s="40"/>
      <c r="AJ276" s="40"/>
      <c r="AK276" s="40"/>
      <c r="AM276" s="40"/>
      <c r="AN276" s="40"/>
      <c r="AO276" s="40"/>
      <c r="AP276" s="40"/>
      <c r="BE276" s="640"/>
      <c r="BF276" s="640"/>
      <c r="BG276" s="640"/>
      <c r="BH276" s="640"/>
      <c r="BJ276" s="640"/>
      <c r="BK276" s="640"/>
      <c r="BL276" s="640"/>
      <c r="BM276" s="640"/>
      <c r="BP276" s="668"/>
      <c r="BQ276" s="668"/>
      <c r="BR276" s="668"/>
    </row>
    <row r="277" spans="1:70">
      <c r="A277" s="1" t="s">
        <v>350</v>
      </c>
      <c r="I277" s="40"/>
      <c r="J277" s="40"/>
      <c r="K277" s="40"/>
      <c r="L277" s="40"/>
      <c r="S277" s="40"/>
      <c r="T277" s="40"/>
      <c r="U277" s="40"/>
      <c r="V277" s="40"/>
      <c r="W277" s="10">
        <v>66.75</v>
      </c>
      <c r="X277" s="40"/>
      <c r="Y277" s="40"/>
      <c r="Z277" s="40"/>
      <c r="AA277" s="40"/>
      <c r="AB277" s="10">
        <v>122.5</v>
      </c>
      <c r="AC277" s="40"/>
      <c r="AD277" s="40"/>
      <c r="AE277" s="40"/>
      <c r="AF277" s="40"/>
      <c r="AH277" s="40"/>
      <c r="AI277" s="40"/>
      <c r="AJ277" s="40"/>
      <c r="AK277" s="40"/>
      <c r="AM277" s="40"/>
      <c r="AN277" s="40"/>
      <c r="AO277" s="40"/>
      <c r="AP277" s="40"/>
      <c r="BE277" s="640"/>
      <c r="BF277" s="640"/>
      <c r="BG277" s="640"/>
      <c r="BH277" s="640"/>
      <c r="BJ277" s="640"/>
      <c r="BK277" s="640"/>
      <c r="BL277" s="640"/>
      <c r="BM277" s="640"/>
      <c r="BP277" s="668"/>
      <c r="BQ277" s="668"/>
      <c r="BR277" s="668"/>
    </row>
    <row r="278" spans="1:70">
      <c r="A278" s="1" t="s">
        <v>351</v>
      </c>
      <c r="I278" s="40"/>
      <c r="J278" s="40"/>
      <c r="K278" s="40"/>
      <c r="L278" s="40"/>
      <c r="S278" s="40"/>
      <c r="T278" s="40"/>
      <c r="U278" s="40"/>
      <c r="V278" s="40"/>
      <c r="X278" s="40"/>
      <c r="Y278" s="40"/>
      <c r="Z278" s="40"/>
      <c r="AA278" s="40"/>
      <c r="AC278" s="40"/>
      <c r="AD278" s="40"/>
      <c r="AE278" s="40"/>
      <c r="AF278" s="40"/>
      <c r="AH278" s="40"/>
      <c r="AI278" s="40"/>
      <c r="AJ278" s="40"/>
      <c r="AK278" s="40"/>
      <c r="AM278" s="40"/>
      <c r="AN278" s="40"/>
      <c r="AO278" s="40"/>
      <c r="AP278" s="40"/>
      <c r="BE278" s="640"/>
      <c r="BF278" s="640"/>
      <c r="BG278" s="640"/>
      <c r="BH278" s="640"/>
      <c r="BJ278" s="640"/>
      <c r="BK278" s="640"/>
      <c r="BL278" s="640"/>
      <c r="BM278" s="640"/>
      <c r="BP278" s="668"/>
      <c r="BQ278" s="668"/>
      <c r="BR278" s="668"/>
    </row>
    <row r="279" spans="1:70">
      <c r="A279" s="1" t="s">
        <v>352</v>
      </c>
      <c r="I279" s="40"/>
      <c r="J279" s="40"/>
      <c r="K279" s="40"/>
      <c r="L279" s="40"/>
      <c r="S279" s="40"/>
      <c r="T279" s="40"/>
      <c r="U279" s="40"/>
      <c r="V279" s="40"/>
      <c r="X279" s="40"/>
      <c r="Y279" s="40"/>
      <c r="Z279" s="40"/>
      <c r="AA279" s="40"/>
      <c r="AC279" s="40"/>
      <c r="AD279" s="40"/>
      <c r="AE279" s="40"/>
      <c r="AF279" s="40"/>
      <c r="AH279" s="40"/>
      <c r="AI279" s="40"/>
      <c r="AJ279" s="40"/>
      <c r="AK279" s="40"/>
      <c r="AM279" s="40"/>
      <c r="AN279" s="40"/>
      <c r="AO279" s="40"/>
      <c r="AP279" s="40"/>
      <c r="BE279" s="640"/>
      <c r="BF279" s="640"/>
      <c r="BG279" s="640"/>
      <c r="BH279" s="640"/>
      <c r="BJ279" s="640"/>
      <c r="BK279" s="640"/>
      <c r="BL279" s="640"/>
      <c r="BM279" s="640"/>
      <c r="BP279" s="668"/>
      <c r="BQ279" s="668"/>
      <c r="BR279" s="668"/>
    </row>
    <row r="280" spans="1:70">
      <c r="I280" s="40"/>
      <c r="J280" s="40"/>
      <c r="K280" s="40"/>
      <c r="L280" s="40"/>
      <c r="R280" s="26"/>
      <c r="S280" s="40"/>
      <c r="T280" s="40"/>
      <c r="U280" s="40"/>
      <c r="V280" s="40"/>
      <c r="X280" s="40"/>
      <c r="Y280" s="40"/>
      <c r="Z280" s="40"/>
      <c r="AA280" s="40"/>
      <c r="AC280" s="40"/>
      <c r="AD280" s="40"/>
      <c r="AE280" s="40"/>
      <c r="AF280" s="40"/>
      <c r="AH280" s="40"/>
      <c r="AI280" s="40"/>
      <c r="AJ280" s="40"/>
      <c r="AK280" s="40"/>
      <c r="AM280" s="40"/>
      <c r="AN280" s="40"/>
      <c r="AO280" s="40"/>
      <c r="AP280" s="40"/>
      <c r="BE280" s="640"/>
      <c r="BF280" s="640"/>
      <c r="BG280" s="640"/>
      <c r="BH280" s="640"/>
      <c r="BJ280" s="640"/>
      <c r="BK280" s="640"/>
      <c r="BL280" s="640"/>
      <c r="BM280" s="640"/>
      <c r="BP280" s="668"/>
      <c r="BQ280" s="668"/>
      <c r="BR280" s="668"/>
    </row>
    <row r="281" spans="1:70">
      <c r="I281" s="40"/>
      <c r="J281" s="40"/>
      <c r="K281" s="40"/>
      <c r="L281" s="40"/>
      <c r="R281" s="26"/>
      <c r="S281" s="40"/>
      <c r="T281" s="40"/>
      <c r="U281" s="40"/>
      <c r="V281" s="40"/>
      <c r="X281" s="40"/>
      <c r="Y281" s="40"/>
      <c r="Z281" s="40"/>
      <c r="AA281" s="40"/>
      <c r="AC281" s="40"/>
      <c r="AD281" s="40"/>
      <c r="AE281" s="40"/>
      <c r="AF281" s="40"/>
      <c r="AH281" s="40"/>
      <c r="AI281" s="40"/>
      <c r="AJ281" s="40"/>
      <c r="AK281" s="40"/>
      <c r="AM281" s="40"/>
      <c r="AN281" s="40"/>
      <c r="AO281" s="40"/>
      <c r="AP281" s="40"/>
      <c r="BE281" s="640"/>
      <c r="BF281" s="640"/>
      <c r="BG281" s="640"/>
      <c r="BH281" s="640"/>
      <c r="BJ281" s="640"/>
      <c r="BK281" s="640"/>
      <c r="BL281" s="640"/>
      <c r="BM281" s="640"/>
      <c r="BP281" s="668"/>
      <c r="BQ281" s="668"/>
      <c r="BR281" s="668"/>
    </row>
    <row r="282" spans="1:70">
      <c r="BE282" s="640"/>
      <c r="BF282" s="640"/>
      <c r="BG282" s="640"/>
      <c r="BH282" s="640"/>
      <c r="BJ282" s="640"/>
      <c r="BK282" s="640"/>
      <c r="BL282" s="640"/>
      <c r="BM282" s="640"/>
      <c r="BP282" s="668"/>
      <c r="BQ282" s="668"/>
      <c r="BR282" s="668"/>
    </row>
    <row r="283" spans="1:70">
      <c r="R283" s="22"/>
      <c r="BE283" s="640"/>
      <c r="BF283" s="640"/>
      <c r="BG283" s="640"/>
      <c r="BH283" s="640"/>
      <c r="BJ283" s="640"/>
      <c r="BK283" s="640"/>
      <c r="BL283" s="640"/>
      <c r="BM283" s="640"/>
      <c r="BP283" s="668"/>
      <c r="BQ283" s="668"/>
      <c r="BR283" s="668"/>
    </row>
    <row r="284" spans="1:70">
      <c r="BE284" s="640"/>
      <c r="BF284" s="640"/>
      <c r="BG284" s="640"/>
      <c r="BH284" s="640"/>
      <c r="BJ284" s="640"/>
      <c r="BK284" s="640"/>
      <c r="BL284" s="640"/>
      <c r="BM284" s="640"/>
      <c r="BP284" s="668"/>
      <c r="BQ284" s="668"/>
      <c r="BR284" s="668"/>
    </row>
    <row r="285" spans="1:70">
      <c r="BE285" s="640"/>
      <c r="BF285" s="640"/>
      <c r="BG285" s="640"/>
      <c r="BH285" s="640"/>
      <c r="BJ285" s="640"/>
      <c r="BK285" s="640"/>
      <c r="BL285" s="640"/>
      <c r="BM285" s="640"/>
      <c r="BP285" s="668"/>
      <c r="BQ285" s="668"/>
      <c r="BR285" s="668"/>
    </row>
    <row r="286" spans="1:70">
      <c r="BE286" s="640"/>
      <c r="BF286" s="640"/>
      <c r="BG286" s="640"/>
      <c r="BH286" s="640"/>
      <c r="BJ286" s="640"/>
      <c r="BK286" s="640"/>
      <c r="BL286" s="640"/>
      <c r="BM286" s="640"/>
      <c r="BP286" s="668"/>
      <c r="BQ286" s="668"/>
      <c r="BR286" s="668"/>
    </row>
    <row r="287" spans="1:70">
      <c r="BE287" s="640"/>
      <c r="BF287" s="640"/>
      <c r="BG287" s="640"/>
      <c r="BH287" s="640"/>
      <c r="BJ287" s="640"/>
      <c r="BK287" s="640"/>
      <c r="BL287" s="640"/>
      <c r="BM287" s="640"/>
      <c r="BP287" s="668"/>
      <c r="BQ287" s="668"/>
      <c r="BR287" s="668"/>
    </row>
    <row r="288" spans="1:70">
      <c r="BE288" s="640"/>
      <c r="BF288" s="640"/>
      <c r="BG288" s="640"/>
      <c r="BH288" s="640"/>
      <c r="BJ288" s="640"/>
      <c r="BK288" s="640"/>
      <c r="BL288" s="640"/>
      <c r="BM288" s="640"/>
      <c r="BP288" s="668"/>
      <c r="BQ288" s="668"/>
      <c r="BR288" s="668"/>
    </row>
    <row r="289" spans="57:70">
      <c r="BE289" s="640"/>
      <c r="BF289" s="640"/>
      <c r="BG289" s="640"/>
      <c r="BH289" s="640"/>
      <c r="BJ289" s="640"/>
      <c r="BK289" s="640"/>
      <c r="BL289" s="640"/>
      <c r="BM289" s="640"/>
      <c r="BP289" s="668"/>
      <c r="BQ289" s="668"/>
      <c r="BR289" s="668"/>
    </row>
    <row r="290" spans="57:70">
      <c r="BE290" s="640"/>
      <c r="BF290" s="640"/>
      <c r="BG290" s="640"/>
      <c r="BH290" s="640"/>
      <c r="BJ290" s="640"/>
      <c r="BK290" s="640"/>
      <c r="BL290" s="640"/>
      <c r="BM290" s="640"/>
      <c r="BP290" s="668"/>
      <c r="BQ290" s="668"/>
      <c r="BR290" s="668"/>
    </row>
    <row r="291" spans="57:70">
      <c r="BE291" s="640"/>
      <c r="BF291" s="640"/>
      <c r="BG291" s="640"/>
      <c r="BH291" s="640"/>
      <c r="BJ291" s="640"/>
      <c r="BK291" s="640"/>
      <c r="BL291" s="640"/>
      <c r="BM291" s="640"/>
      <c r="BP291" s="668"/>
      <c r="BQ291" s="668"/>
      <c r="BR291" s="668"/>
    </row>
    <row r="292" spans="57:70">
      <c r="BE292" s="640"/>
      <c r="BF292" s="640"/>
      <c r="BG292" s="640"/>
      <c r="BH292" s="640"/>
      <c r="BJ292" s="640"/>
      <c r="BK292" s="640"/>
      <c r="BL292" s="640"/>
      <c r="BM292" s="640"/>
      <c r="BP292" s="668"/>
      <c r="BQ292" s="668"/>
      <c r="BR292" s="668"/>
    </row>
    <row r="293" spans="57:70">
      <c r="BE293" s="640"/>
      <c r="BF293" s="640"/>
      <c r="BG293" s="640"/>
      <c r="BH293" s="640"/>
      <c r="BJ293" s="640"/>
      <c r="BK293" s="640"/>
      <c r="BL293" s="640"/>
      <c r="BM293" s="640"/>
      <c r="BP293" s="668"/>
      <c r="BQ293" s="668"/>
      <c r="BR293" s="668"/>
    </row>
    <row r="294" spans="57:70">
      <c r="BE294" s="640"/>
      <c r="BF294" s="640"/>
      <c r="BG294" s="640"/>
      <c r="BH294" s="640"/>
      <c r="BJ294" s="640"/>
      <c r="BK294" s="640"/>
      <c r="BL294" s="640"/>
      <c r="BM294" s="640"/>
      <c r="BP294" s="668"/>
      <c r="BQ294" s="668"/>
      <c r="BR294" s="668"/>
    </row>
    <row r="295" spans="57:70">
      <c r="BE295" s="640"/>
      <c r="BF295" s="640"/>
      <c r="BG295" s="640"/>
      <c r="BH295" s="640"/>
      <c r="BJ295" s="640"/>
      <c r="BK295" s="640"/>
      <c r="BL295" s="640"/>
      <c r="BM295" s="640"/>
      <c r="BP295" s="668"/>
      <c r="BQ295" s="668"/>
      <c r="BR295" s="668"/>
    </row>
    <row r="296" spans="57:70">
      <c r="BE296" s="640"/>
      <c r="BF296" s="640"/>
      <c r="BG296" s="640"/>
      <c r="BH296" s="640"/>
    </row>
    <row r="297" spans="57:70">
      <c r="BE297" s="640"/>
      <c r="BF297" s="640"/>
      <c r="BG297" s="640"/>
      <c r="BH297" s="640"/>
    </row>
    <row r="298" spans="57:70">
      <c r="BE298" s="640"/>
      <c r="BF298" s="640"/>
      <c r="BG298" s="640"/>
      <c r="BH298" s="640"/>
    </row>
    <row r="299" spans="57:70">
      <c r="BE299" s="640"/>
      <c r="BF299" s="640"/>
      <c r="BG299" s="640"/>
      <c r="BH299" s="640"/>
    </row>
    <row r="300" spans="57:70">
      <c r="BE300" s="640"/>
      <c r="BF300" s="640"/>
      <c r="BG300" s="640"/>
      <c r="BH300" s="640"/>
    </row>
    <row r="301" spans="57:70">
      <c r="BE301" s="640"/>
      <c r="BF301" s="640"/>
      <c r="BG301" s="640"/>
      <c r="BH301" s="640"/>
    </row>
    <row r="302" spans="57:70">
      <c r="BE302" s="640"/>
      <c r="BF302" s="640"/>
      <c r="BG302" s="640"/>
      <c r="BH302" s="640"/>
    </row>
    <row r="303" spans="57:70">
      <c r="BE303" s="640"/>
      <c r="BF303" s="640"/>
      <c r="BG303" s="640"/>
      <c r="BH303" s="640"/>
    </row>
    <row r="304" spans="57:70">
      <c r="BE304" s="640"/>
      <c r="BF304" s="640"/>
      <c r="BG304" s="640"/>
      <c r="BH304" s="640"/>
    </row>
    <row r="305" spans="57:60">
      <c r="BE305" s="640"/>
      <c r="BF305" s="640"/>
      <c r="BG305" s="640"/>
      <c r="BH305" s="640"/>
    </row>
    <row r="306" spans="57:60">
      <c r="BE306" s="640"/>
      <c r="BF306" s="640"/>
      <c r="BG306" s="640"/>
      <c r="BH306" s="640"/>
    </row>
    <row r="307" spans="57:60">
      <c r="BE307" s="640"/>
      <c r="BF307" s="640"/>
      <c r="BG307" s="640"/>
      <c r="BH307" s="640"/>
    </row>
    <row r="308" spans="57:60">
      <c r="BE308" s="640"/>
      <c r="BF308" s="640"/>
      <c r="BG308" s="640"/>
      <c r="BH308" s="640"/>
    </row>
    <row r="309" spans="57:60">
      <c r="BE309" s="640"/>
      <c r="BF309" s="640"/>
      <c r="BG309" s="640"/>
      <c r="BH309" s="640"/>
    </row>
    <row r="310" spans="57:60">
      <c r="BE310" s="640"/>
      <c r="BF310" s="640"/>
      <c r="BG310" s="640"/>
      <c r="BH310" s="640"/>
    </row>
    <row r="311" spans="57:60">
      <c r="BE311" s="640"/>
      <c r="BF311" s="640"/>
      <c r="BG311" s="640"/>
      <c r="BH311" s="640"/>
    </row>
    <row r="312" spans="57:60">
      <c r="BE312" s="640"/>
      <c r="BF312" s="640"/>
      <c r="BG312" s="640"/>
      <c r="BH312" s="640"/>
    </row>
    <row r="313" spans="57:60">
      <c r="BE313" s="640"/>
      <c r="BF313" s="640"/>
      <c r="BG313" s="640"/>
      <c r="BH313" s="640"/>
    </row>
    <row r="314" spans="57:60">
      <c r="BE314" s="640"/>
      <c r="BF314" s="640"/>
      <c r="BG314" s="640"/>
      <c r="BH314" s="640"/>
    </row>
    <row r="315" spans="57:60">
      <c r="BE315" s="640"/>
      <c r="BF315" s="640"/>
      <c r="BG315" s="640"/>
      <c r="BH315" s="640"/>
    </row>
  </sheetData>
  <phoneticPr fontId="5" type="noConversion"/>
  <printOptions gridLines="1" gridLinesSet="0"/>
  <pageMargins left="0.75" right="0.75" top="1" bottom="1" header="0.5" footer="0.5"/>
  <pageSetup orientation="portrait" horizontalDpi="4294967292" verticalDpi="180" r:id="rId1"/>
  <headerFooter alignWithMargins="0">
    <oddHeader>&amp;A</oddHeader>
    <oddFooter>Page &amp;P</oddFooter>
  </headerFooter>
  <ignoredErrors>
    <ignoredError sqref="AY105 AL140 AW152 AY15:AY17 BD70 BD97:BD99 BL39 BN32:BO32 BI29:BI35 BO18 BN25:BO25 BO29:BO31 BN54:BN55 BN74 BN146 BM162:BN162 BM244:BM246 BN246 BR15:BR16 BR35 BQ56:BR56 BQ57 BR86 BR107 BO55:BO56 BN152:BN154 BI154 BI15:BI17 BR146:BS146 BN163 BR160 BN97" formula="1"/>
    <ignoredError sqref="BB33:BB34 BC119:BC126 BN7 BK42:BK43" formulaRange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JQ111"/>
  <sheetViews>
    <sheetView workbookViewId="0">
      <pane xSplit="1" ySplit="4" topLeftCell="B5" activePane="bottomRight" state="frozen"/>
      <selection activeCell="F77" sqref="F77"/>
      <selection pane="topRight" activeCell="F77" sqref="F77"/>
      <selection pane="bottomLeft" activeCell="F77" sqref="F77"/>
      <selection pane="bottomRight"/>
    </sheetView>
  </sheetViews>
  <sheetFormatPr defaultColWidth="8" defaultRowHeight="12.75" outlineLevelCol="1"/>
  <cols>
    <col min="1" max="1" width="29.85546875" style="1" customWidth="1"/>
    <col min="2" max="2" width="3" style="1" customWidth="1"/>
    <col min="3" max="3" width="9" style="73" bestFit="1" customWidth="1"/>
    <col min="4" max="4" width="9" style="1" bestFit="1" customWidth="1"/>
    <col min="5" max="6" width="8.85546875" style="1" customWidth="1"/>
    <col min="7" max="7" width="8.7109375" style="10" customWidth="1"/>
    <col min="8" max="8" width="8.7109375" style="1" customWidth="1"/>
    <col min="9" max="12" width="9" style="10" hidden="1" customWidth="1" outlineLevel="1"/>
    <col min="13" max="13" width="9" style="1" bestFit="1" customWidth="1" collapsed="1"/>
    <col min="14" max="15" width="9" style="10" hidden="1" customWidth="1" outlineLevel="1"/>
    <col min="16" max="16" width="8.140625" style="10" hidden="1" customWidth="1" outlineLevel="1"/>
    <col min="17" max="17" width="8.28515625" style="10" hidden="1" customWidth="1" outlineLevel="1"/>
    <col min="18" max="18" width="11.140625" style="1" customWidth="1" collapsed="1"/>
    <col min="19" max="22" width="9.5703125" style="10" hidden="1" customWidth="1" outlineLevel="1"/>
    <col min="23" max="23" width="12" style="1" bestFit="1" customWidth="1" collapsed="1"/>
    <col min="24" max="27" width="9.5703125" style="10" hidden="1" customWidth="1" outlineLevel="1"/>
    <col min="28" max="28" width="9.85546875" style="1" customWidth="1" collapsed="1"/>
    <col min="29" max="32" width="9.5703125" style="10" hidden="1" customWidth="1" outlineLevel="1"/>
    <col min="33" max="33" width="10.5703125" style="1" customWidth="1" collapsed="1"/>
    <col min="34" max="36" width="9.5703125" style="10" hidden="1" customWidth="1" outlineLevel="1"/>
    <col min="37" max="37" width="11" style="10" hidden="1" customWidth="1" outlineLevel="1"/>
    <col min="38" max="38" width="9.85546875" style="1" customWidth="1" collapsed="1"/>
    <col min="39" max="39" width="10.42578125" style="40" hidden="1" customWidth="1" outlineLevel="1"/>
    <col min="40" max="42" width="10.140625" style="40" hidden="1" customWidth="1" outlineLevel="1"/>
    <col min="43" max="43" width="10" style="10" customWidth="1" collapsed="1"/>
    <col min="44" max="44" width="10.42578125" style="1" hidden="1" customWidth="1" outlineLevel="1"/>
    <col min="45" max="46" width="13.5703125" style="1" hidden="1" customWidth="1" outlineLevel="1"/>
    <col min="47" max="47" width="10.42578125" style="1" customWidth="1" collapsed="1"/>
    <col min="48" max="51" width="10.42578125" style="640" customWidth="1" outlineLevel="1"/>
    <col min="52" max="52" width="12.5703125" style="76" bestFit="1" customWidth="1"/>
    <col min="53" max="54" width="10.42578125" style="640" customWidth="1" outlineLevel="1"/>
    <col min="55" max="55" width="10.42578125" style="636" customWidth="1" outlineLevel="1"/>
    <col min="56" max="56" width="10.42578125" style="640" customWidth="1" outlineLevel="1"/>
    <col min="57" max="57" width="11" style="76" bestFit="1" customWidth="1"/>
    <col min="58" max="61" width="11" style="640" customWidth="1" outlineLevel="1"/>
    <col min="62" max="62" width="11" style="76" bestFit="1" customWidth="1"/>
    <col min="63" max="63" width="11" style="76" customWidth="1"/>
    <col min="64" max="64" width="10" style="76" bestFit="1" customWidth="1"/>
    <col min="65" max="66" width="9.5703125" style="76" bestFit="1" customWidth="1"/>
    <col min="67" max="67" width="9.5703125" style="76" customWidth="1"/>
    <col min="68" max="68" width="13.140625" style="76" bestFit="1" customWidth="1"/>
    <col min="69" max="71" width="13.140625" style="76" customWidth="1"/>
    <col min="72" max="72" width="10" style="76" customWidth="1"/>
    <col min="73" max="73" width="10.5703125" style="76" bestFit="1" customWidth="1"/>
    <col min="74" max="74" width="11.5703125" style="1" bestFit="1" customWidth="1"/>
    <col min="75" max="78" width="10.5703125" style="1" bestFit="1" customWidth="1"/>
    <col min="79" max="79" width="10.5703125" style="10" bestFit="1" customWidth="1"/>
    <col min="80" max="80" width="11" style="10" bestFit="1" customWidth="1"/>
    <col min="81" max="82" width="11" style="1" bestFit="1" customWidth="1"/>
    <col min="83" max="83" width="11.5703125" style="1" bestFit="1" customWidth="1"/>
    <col min="84" max="84" width="9.5703125" style="1" customWidth="1"/>
    <col min="85" max="85" width="9.5703125" style="10" customWidth="1"/>
    <col min="86" max="87" width="8" style="1" customWidth="1"/>
    <col min="88" max="90" width="6.5703125" style="1" customWidth="1"/>
    <col min="91" max="91" width="6.5703125" style="1" bestFit="1" customWidth="1"/>
    <col min="92" max="92" width="12" style="1" bestFit="1" customWidth="1"/>
    <col min="93" max="98" width="8" style="1"/>
    <col min="99" max="99" width="10.42578125" style="1" bestFit="1" customWidth="1"/>
    <col min="100" max="16384" width="8" style="1"/>
  </cols>
  <sheetData>
    <row r="1" spans="1:277">
      <c r="A1" s="18">
        <v>1000000</v>
      </c>
      <c r="B1" s="2"/>
      <c r="D1" s="12"/>
      <c r="E1" s="12"/>
      <c r="I1" s="40"/>
      <c r="J1" s="40"/>
      <c r="K1" s="40"/>
      <c r="L1" s="40"/>
      <c r="N1" s="40"/>
      <c r="O1" s="40"/>
      <c r="P1" s="40"/>
      <c r="Q1" s="40"/>
      <c r="R1" s="31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10"/>
      <c r="AH1" s="26"/>
      <c r="AI1" s="26"/>
      <c r="AJ1" s="26"/>
      <c r="AK1" s="26"/>
      <c r="AL1" s="10"/>
      <c r="AM1" s="74"/>
      <c r="AN1" s="74"/>
      <c r="AO1" s="74"/>
      <c r="AP1" s="75"/>
      <c r="AQ1" s="26"/>
      <c r="AR1" s="12"/>
      <c r="AS1" s="12"/>
      <c r="AT1" s="12"/>
      <c r="AU1" s="12"/>
      <c r="AV1" s="619"/>
      <c r="AW1" s="619"/>
      <c r="AX1" s="619"/>
      <c r="AY1" s="619"/>
      <c r="BA1" s="619"/>
      <c r="BB1" s="619"/>
      <c r="BD1" s="619"/>
      <c r="BE1" s="79">
        <f>BE11*0.01</f>
        <v>71.465230000000005</v>
      </c>
      <c r="BK1" s="640"/>
      <c r="BL1" s="640"/>
      <c r="BM1" s="640"/>
      <c r="BN1" s="640"/>
      <c r="BO1" s="640"/>
      <c r="BR1" s="76">
        <v>3.5</v>
      </c>
      <c r="BS1" s="76">
        <f>BR1*0.1</f>
        <v>0.35000000000000003</v>
      </c>
      <c r="BT1" s="76">
        <f>BT2*0.9</f>
        <v>3.15</v>
      </c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269"/>
      <c r="CG1" s="593"/>
      <c r="CH1" s="269"/>
      <c r="CI1" s="269"/>
      <c r="CJ1" s="269"/>
      <c r="CK1" s="269"/>
      <c r="CL1" s="269"/>
      <c r="CM1" s="269"/>
      <c r="CN1" s="269"/>
      <c r="CO1" s="269"/>
      <c r="CP1" s="269"/>
      <c r="CQ1" s="269"/>
      <c r="CR1" s="269"/>
      <c r="CS1" s="269"/>
      <c r="CT1" s="269"/>
      <c r="CU1" s="269"/>
      <c r="CV1" s="269"/>
      <c r="CW1" s="269"/>
      <c r="CX1" s="269"/>
      <c r="CY1" s="269"/>
      <c r="CZ1" s="269"/>
      <c r="DA1" s="269"/>
      <c r="DB1" s="269"/>
      <c r="DC1" s="269"/>
      <c r="DD1" s="269"/>
    </row>
    <row r="2" spans="1:277">
      <c r="A2" s="18">
        <f>DCF!E30</f>
        <v>140.12265388031514</v>
      </c>
      <c r="B2" s="2"/>
      <c r="D2" s="12"/>
      <c r="E2" s="12"/>
      <c r="I2" s="40"/>
      <c r="J2" s="40"/>
      <c r="K2" s="40"/>
      <c r="L2" s="40"/>
      <c r="N2" s="40"/>
      <c r="O2" s="40"/>
      <c r="P2" s="40"/>
      <c r="Q2" s="40"/>
      <c r="R2" s="31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10"/>
      <c r="AH2" s="26"/>
      <c r="AI2" s="26"/>
      <c r="AJ2" s="26"/>
      <c r="AK2" s="26"/>
      <c r="AL2" s="10"/>
      <c r="AM2" s="74"/>
      <c r="AN2" s="74"/>
      <c r="AO2" s="74"/>
      <c r="AP2" s="75"/>
      <c r="AQ2" s="26"/>
      <c r="AR2" s="12"/>
      <c r="AS2" s="12"/>
      <c r="AT2" s="12"/>
      <c r="AU2" s="12"/>
      <c r="AV2" s="619"/>
      <c r="AW2" s="619"/>
      <c r="AX2" s="619"/>
      <c r="AY2" s="619"/>
      <c r="BA2" s="619"/>
      <c r="BB2" s="619"/>
      <c r="BD2" s="619"/>
      <c r="BE2" s="79"/>
      <c r="BK2" s="640"/>
      <c r="BL2" s="640"/>
      <c r="BM2" s="640"/>
      <c r="BN2" s="640"/>
      <c r="BO2" s="640"/>
      <c r="BS2" s="76">
        <f>BR1-BS1</f>
        <v>3.15</v>
      </c>
      <c r="BT2" s="76">
        <v>3.5</v>
      </c>
      <c r="BV2" s="76"/>
      <c r="BW2" s="76"/>
      <c r="BX2" s="76"/>
      <c r="BY2" s="76"/>
      <c r="BZ2" s="76"/>
      <c r="CA2" s="76"/>
      <c r="CB2" s="76"/>
      <c r="CC2" s="76"/>
      <c r="CD2" s="76"/>
      <c r="CE2" s="76"/>
      <c r="CF2" s="269"/>
      <c r="CG2" s="593"/>
      <c r="CH2" s="269"/>
      <c r="CI2" s="269"/>
      <c r="CJ2" s="269"/>
      <c r="CK2" s="269"/>
      <c r="CL2" s="269"/>
      <c r="CM2" s="269"/>
      <c r="CN2" s="269"/>
      <c r="CO2" s="269"/>
      <c r="CP2" s="269"/>
      <c r="CQ2" s="269"/>
      <c r="CR2" s="269"/>
      <c r="CS2" s="269"/>
      <c r="CT2" s="269"/>
      <c r="CU2" s="269"/>
      <c r="CV2" s="269"/>
      <c r="CW2" s="269"/>
      <c r="CX2" s="269"/>
      <c r="CY2" s="269"/>
      <c r="CZ2" s="269"/>
      <c r="DA2" s="269"/>
      <c r="DB2" s="269"/>
      <c r="DC2" s="269"/>
      <c r="DD2" s="269"/>
    </row>
    <row r="3" spans="1:277">
      <c r="A3" s="2" t="s">
        <v>144</v>
      </c>
      <c r="B3" s="2"/>
      <c r="D3" s="77">
        <v>1</v>
      </c>
      <c r="E3" s="77">
        <v>2</v>
      </c>
      <c r="F3" s="77">
        <v>3</v>
      </c>
      <c r="H3" s="77">
        <v>5</v>
      </c>
      <c r="I3" s="41" t="s">
        <v>26</v>
      </c>
      <c r="J3" s="41" t="s">
        <v>27</v>
      </c>
      <c r="K3" s="41" t="s">
        <v>27</v>
      </c>
      <c r="L3" s="78" t="s">
        <v>145</v>
      </c>
      <c r="N3" s="40"/>
      <c r="O3" s="40"/>
      <c r="P3" s="40"/>
      <c r="Q3" s="40"/>
      <c r="R3" s="31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31"/>
      <c r="AH3" s="26"/>
      <c r="AI3" s="26"/>
      <c r="AJ3" s="26"/>
      <c r="AK3" s="26"/>
      <c r="AL3" s="31"/>
      <c r="AM3" s="74"/>
      <c r="AN3" s="74"/>
      <c r="AO3" s="74"/>
      <c r="AP3" s="74"/>
      <c r="AQ3" s="26"/>
      <c r="AR3" s="12"/>
      <c r="AS3" s="12"/>
      <c r="AT3" s="12"/>
      <c r="AU3" s="12"/>
      <c r="AV3" s="619"/>
      <c r="AW3" s="619"/>
      <c r="AX3" s="619"/>
      <c r="AY3" s="619"/>
      <c r="AZ3" s="79"/>
      <c r="BA3" s="636">
        <f>BA16/Assumptions!AZ34*$A$1</f>
        <v>1845.3285338984281</v>
      </c>
      <c r="BB3" s="636">
        <f>BB16/Assumptions!BA34*$A$1</f>
        <v>1879.7309319057952</v>
      </c>
      <c r="BC3" s="636">
        <f>BC16/Assumptions!BB34*$A$1</f>
        <v>2073.1593183566538</v>
      </c>
      <c r="BD3" s="636">
        <f>BD16/Assumptions!BC34*$A$1</f>
        <v>1240.5339180198964</v>
      </c>
      <c r="BE3" s="79"/>
      <c r="BF3" s="619">
        <v>1300</v>
      </c>
      <c r="BG3" s="619"/>
      <c r="BH3" s="619"/>
      <c r="BI3" s="619"/>
      <c r="BJ3" s="79"/>
      <c r="BK3" s="619"/>
      <c r="BL3" s="619"/>
      <c r="BM3" s="619"/>
      <c r="BN3" s="619"/>
      <c r="BO3" s="619"/>
      <c r="BP3" s="79"/>
      <c r="BQ3" s="79"/>
      <c r="BR3" s="79"/>
      <c r="BS3" s="79"/>
      <c r="BT3" s="79"/>
      <c r="BU3" s="79"/>
      <c r="BV3" s="79"/>
      <c r="BW3" s="79"/>
      <c r="BX3" s="79"/>
      <c r="BY3" s="79"/>
      <c r="BZ3" s="79"/>
      <c r="CA3" s="79"/>
      <c r="CB3" s="79"/>
      <c r="CC3" s="79"/>
      <c r="CD3" s="79"/>
      <c r="CE3" s="79"/>
      <c r="CF3" s="741"/>
      <c r="CG3" s="593"/>
      <c r="CH3" s="269"/>
      <c r="CI3" s="269"/>
      <c r="CJ3" s="269"/>
      <c r="CK3" s="269"/>
      <c r="CL3" s="269"/>
      <c r="CM3" s="269"/>
      <c r="CN3" s="269"/>
      <c r="CO3" s="269"/>
      <c r="CP3" s="269"/>
      <c r="CQ3" s="269"/>
      <c r="CR3" s="269"/>
      <c r="CS3" s="269"/>
      <c r="CT3" s="269"/>
      <c r="CU3" s="269"/>
      <c r="CV3" s="269"/>
      <c r="CW3" s="269"/>
      <c r="CX3" s="269"/>
      <c r="CY3" s="269"/>
      <c r="CZ3" s="269"/>
      <c r="DA3" s="269"/>
      <c r="DB3" s="269"/>
      <c r="DC3" s="269"/>
      <c r="DD3" s="269"/>
    </row>
    <row r="4" spans="1:277" s="2" customFormat="1">
      <c r="A4" s="73" t="s">
        <v>78</v>
      </c>
      <c r="B4" s="73"/>
      <c r="C4" s="81" t="s">
        <v>146</v>
      </c>
      <c r="D4" s="81" t="s">
        <v>147</v>
      </c>
      <c r="E4" s="81" t="s">
        <v>148</v>
      </c>
      <c r="F4" s="81" t="s">
        <v>149</v>
      </c>
      <c r="G4" s="82" t="s">
        <v>150</v>
      </c>
      <c r="H4" s="83" t="s">
        <v>151</v>
      </c>
      <c r="I4" s="62" t="s">
        <v>29</v>
      </c>
      <c r="J4" s="62" t="s">
        <v>30</v>
      </c>
      <c r="K4" s="62" t="s">
        <v>31</v>
      </c>
      <c r="L4" s="84"/>
      <c r="M4" s="81" t="s">
        <v>152</v>
      </c>
      <c r="N4" s="62" t="s">
        <v>32</v>
      </c>
      <c r="O4" s="62" t="s">
        <v>33</v>
      </c>
      <c r="P4" s="62" t="s">
        <v>34</v>
      </c>
      <c r="Q4" s="62" t="s">
        <v>35</v>
      </c>
      <c r="R4" s="83" t="s">
        <v>153</v>
      </c>
      <c r="S4" s="84" t="s">
        <v>327</v>
      </c>
      <c r="T4" s="84" t="s">
        <v>328</v>
      </c>
      <c r="U4" s="84" t="s">
        <v>329</v>
      </c>
      <c r="V4" s="84" t="s">
        <v>330</v>
      </c>
      <c r="W4" s="83" t="s">
        <v>154</v>
      </c>
      <c r="X4" s="84" t="s">
        <v>322</v>
      </c>
      <c r="Y4" s="84" t="s">
        <v>321</v>
      </c>
      <c r="Z4" s="84" t="s">
        <v>320</v>
      </c>
      <c r="AA4" s="84" t="s">
        <v>324</v>
      </c>
      <c r="AB4" s="83" t="s">
        <v>155</v>
      </c>
      <c r="AC4" s="84" t="s">
        <v>358</v>
      </c>
      <c r="AD4" s="84" t="s">
        <v>383</v>
      </c>
      <c r="AE4" s="84" t="s">
        <v>384</v>
      </c>
      <c r="AF4" s="84" t="s">
        <v>385</v>
      </c>
      <c r="AG4" s="83" t="s">
        <v>156</v>
      </c>
      <c r="AH4" s="84" t="s">
        <v>522</v>
      </c>
      <c r="AI4" s="84" t="s">
        <v>523</v>
      </c>
      <c r="AJ4" s="84" t="s">
        <v>526</v>
      </c>
      <c r="AK4" s="84" t="s">
        <v>527</v>
      </c>
      <c r="AL4" s="83" t="s">
        <v>157</v>
      </c>
      <c r="AM4" s="84" t="s">
        <v>540</v>
      </c>
      <c r="AN4" s="84" t="s">
        <v>565</v>
      </c>
      <c r="AO4" s="84" t="s">
        <v>575</v>
      </c>
      <c r="AP4" s="84" t="s">
        <v>577</v>
      </c>
      <c r="AQ4" s="85" t="s">
        <v>158</v>
      </c>
      <c r="AR4" s="83" t="s">
        <v>578</v>
      </c>
      <c r="AS4" s="83" t="s">
        <v>583</v>
      </c>
      <c r="AT4" s="83" t="s">
        <v>584</v>
      </c>
      <c r="AU4" s="83" t="s">
        <v>159</v>
      </c>
      <c r="AV4" s="620" t="s">
        <v>594</v>
      </c>
      <c r="AW4" s="620" t="s">
        <v>595</v>
      </c>
      <c r="AX4" s="620" t="s">
        <v>604</v>
      </c>
      <c r="AY4" s="620" t="s">
        <v>608</v>
      </c>
      <c r="AZ4" s="86" t="s">
        <v>538</v>
      </c>
      <c r="BA4" s="620" t="s">
        <v>610</v>
      </c>
      <c r="BB4" s="620" t="s">
        <v>613</v>
      </c>
      <c r="BC4" s="801" t="s">
        <v>617</v>
      </c>
      <c r="BD4" s="620" t="s">
        <v>618</v>
      </c>
      <c r="BE4" s="86" t="s">
        <v>539</v>
      </c>
      <c r="BF4" s="620" t="str">
        <f>Assumptions!BE2</f>
        <v>1QFY13</v>
      </c>
      <c r="BG4" s="620" t="str">
        <f>Assumptions!BF2</f>
        <v>2QFY13</v>
      </c>
      <c r="BH4" s="620" t="str">
        <f>Assumptions!BG2</f>
        <v>3QFY13</v>
      </c>
      <c r="BI4" s="620" t="str">
        <f>Assumptions!BH2</f>
        <v>4QFY13</v>
      </c>
      <c r="BJ4" s="86" t="s">
        <v>543</v>
      </c>
      <c r="BK4" s="620" t="str">
        <f>Assumptions!BJ2</f>
        <v>1QFY14</v>
      </c>
      <c r="BL4" s="620" t="str">
        <f>Assumptions!BK2</f>
        <v>2QFY14</v>
      </c>
      <c r="BM4" s="620" t="str">
        <f>Assumptions!BL2</f>
        <v>3QFY14</v>
      </c>
      <c r="BN4" s="620" t="str">
        <f>Assumptions!BM2</f>
        <v>4QFY14</v>
      </c>
      <c r="BO4" s="620" t="s">
        <v>961</v>
      </c>
      <c r="BP4" s="86" t="s">
        <v>560</v>
      </c>
      <c r="BQ4" s="86" t="s">
        <v>1040</v>
      </c>
      <c r="BR4" s="86" t="s">
        <v>1047</v>
      </c>
      <c r="BS4" s="86" t="s">
        <v>1048</v>
      </c>
      <c r="BT4" s="86" t="s">
        <v>1039</v>
      </c>
      <c r="BU4" s="86" t="s">
        <v>587</v>
      </c>
      <c r="BV4" s="742" t="str">
        <f>Assumptions!BS2</f>
        <v>FY16</v>
      </c>
      <c r="BW4" s="742" t="str">
        <f>Assumptions!BT2</f>
        <v>FY17</v>
      </c>
      <c r="BX4" s="742" t="str">
        <f>Assumptions!BU2</f>
        <v>FY18</v>
      </c>
      <c r="BY4" s="742" t="str">
        <f>Assumptions!BV2</f>
        <v>FY19</v>
      </c>
      <c r="BZ4" s="742" t="str">
        <f>Assumptions!BW2</f>
        <v>FY20</v>
      </c>
      <c r="CA4" s="742" t="str">
        <f>Assumptions!BX2</f>
        <v>FY21</v>
      </c>
      <c r="CB4" s="742" t="str">
        <f>Assumptions!BY2</f>
        <v>FY22</v>
      </c>
      <c r="CC4" s="742" t="str">
        <f>Assumptions!BZ2</f>
        <v>FY23</v>
      </c>
      <c r="CD4" s="742" t="str">
        <f>Assumptions!CA2</f>
        <v>FY24</v>
      </c>
      <c r="CE4" s="742" t="str">
        <f>Assumptions!CB2</f>
        <v>FY25</v>
      </c>
      <c r="CF4" s="742"/>
      <c r="CG4" s="742"/>
      <c r="CH4" s="742"/>
      <c r="CI4" s="742"/>
      <c r="CJ4" s="8"/>
      <c r="CK4" s="8"/>
      <c r="CL4" s="8"/>
      <c r="CM4" s="8"/>
      <c r="CN4" s="8"/>
      <c r="CO4" s="8"/>
      <c r="CP4" s="588"/>
      <c r="CQ4" s="588"/>
      <c r="CR4" s="588"/>
      <c r="CS4" s="588"/>
      <c r="CT4" s="588"/>
      <c r="CU4" s="588"/>
      <c r="CV4" s="588"/>
      <c r="CW4" s="588"/>
      <c r="CX4" s="588"/>
      <c r="CY4" s="588"/>
      <c r="CZ4" s="588"/>
      <c r="DA4" s="588"/>
      <c r="DB4" s="588"/>
      <c r="DC4" s="588"/>
      <c r="DD4" s="588"/>
    </row>
    <row r="5" spans="1:277">
      <c r="D5" s="11"/>
      <c r="E5" s="11"/>
      <c r="F5" s="11"/>
      <c r="G5" s="26"/>
      <c r="H5" s="36"/>
      <c r="I5" s="88">
        <f>I6-I9-I7-I10</f>
        <v>-30.42063609444439</v>
      </c>
      <c r="J5" s="88">
        <f>J6-J9-J7-J10</f>
        <v>1144.5673095544457</v>
      </c>
      <c r="K5" s="88">
        <f>K6-K9-K7-K10</f>
        <v>1141.8250002676664</v>
      </c>
      <c r="L5" s="88"/>
      <c r="M5" s="12"/>
      <c r="N5" s="42">
        <f>+N6-N7-N9-N10</f>
        <v>844.26425348240411</v>
      </c>
      <c r="O5" s="42">
        <f>+O6-O7-O9-O10</f>
        <v>869.07599863722965</v>
      </c>
      <c r="P5" s="42"/>
      <c r="Q5" s="42"/>
      <c r="R5" s="3">
        <f>+R6-R9-R7-R10+R11</f>
        <v>3882.7560000000003</v>
      </c>
      <c r="S5" s="80"/>
      <c r="T5" s="80"/>
      <c r="U5" s="80"/>
      <c r="V5" s="80"/>
      <c r="W5" s="3">
        <f t="shared" ref="W5:AF5" si="0">+W6-W9-W7-W10+W11</f>
        <v>5279.5599999999995</v>
      </c>
      <c r="X5" s="80" t="e">
        <f t="shared" si="0"/>
        <v>#REF!</v>
      </c>
      <c r="Y5" s="80" t="e">
        <f t="shared" si="0"/>
        <v>#REF!</v>
      </c>
      <c r="Z5" s="80" t="e">
        <f t="shared" si="0"/>
        <v>#REF!</v>
      </c>
      <c r="AA5" s="80" t="e">
        <f t="shared" si="0"/>
        <v>#REF!</v>
      </c>
      <c r="AB5" s="3">
        <f t="shared" si="0"/>
        <v>7955.6649999999981</v>
      </c>
      <c r="AC5" s="89" t="e">
        <f t="shared" si="0"/>
        <v>#REF!</v>
      </c>
      <c r="AD5" s="89" t="e">
        <f t="shared" si="0"/>
        <v>#REF!</v>
      </c>
      <c r="AE5" s="89" t="e">
        <f t="shared" si="0"/>
        <v>#REF!</v>
      </c>
      <c r="AF5" s="89" t="e">
        <f t="shared" si="0"/>
        <v>#REF!</v>
      </c>
      <c r="AG5" s="3">
        <f>+AG6-AG9-AG7-AG10+AG11</f>
        <v>6419.6250000000009</v>
      </c>
      <c r="AH5" s="89" t="e">
        <f>+AH6-AH9-AH7-AH10+AH11</f>
        <v>#REF!</v>
      </c>
      <c r="AI5" s="89" t="e">
        <f>+AI6-AI9-AI7-AI10+AI11</f>
        <v>#REF!</v>
      </c>
      <c r="AJ5" s="89" t="e">
        <f>+AJ6-AJ9-AJ7-AJ10+AJ11</f>
        <v>#REF!</v>
      </c>
      <c r="AK5" s="89" t="e">
        <f>+AK6-AK9-AK7-AK10+AK11</f>
        <v>#REF!</v>
      </c>
      <c r="AL5" s="3"/>
      <c r="AM5" s="89" t="e">
        <f>+AM6-AM9-AM7-AM10+AM11</f>
        <v>#REF!</v>
      </c>
      <c r="AN5" s="89" t="e">
        <f>+AN6-AN9-AN7-AN10+AN11</f>
        <v>#REF!</v>
      </c>
      <c r="AO5" s="89">
        <f>+AO6-AO9-AO7-AO10+AO11</f>
        <v>2346.4971469536858</v>
      </c>
      <c r="AP5" s="89"/>
      <c r="AQ5" s="3"/>
      <c r="AR5" s="621">
        <f>AR16/AR12</f>
        <v>8.6465395048847982E-2</v>
      </c>
      <c r="AS5" s="621">
        <f>AS16/AS12</f>
        <v>3.7455733808674986E-2</v>
      </c>
      <c r="AT5" s="621">
        <f>AT16/AT12</f>
        <v>4.2638068327767793E-2</v>
      </c>
      <c r="AU5" s="621">
        <f>AU16/AU12</f>
        <v>5.8962068725130774E-2</v>
      </c>
      <c r="AV5" s="621">
        <f>AV16/AV12</f>
        <v>9.2613132429477635E-2</v>
      </c>
      <c r="AW5" s="621">
        <f>+AW6-AW9-AW7-AW10+AW11</f>
        <v>0</v>
      </c>
      <c r="AX5" s="621">
        <f>AX6-AX7-AX9-AX10+AX11</f>
        <v>3305.8532992472369</v>
      </c>
      <c r="AY5" s="621">
        <f>AY6-AY7-AY9-AY10+AY11</f>
        <v>3434.0273499999994</v>
      </c>
      <c r="AZ5" s="90" t="s">
        <v>614</v>
      </c>
      <c r="BA5" s="698">
        <f t="shared" ref="BA5:BI5" si="1">BA6-BA7-BA9-BA10+BA11</f>
        <v>3618.8898927999999</v>
      </c>
      <c r="BB5" s="698">
        <f t="shared" si="1"/>
        <v>3726.2912436000006</v>
      </c>
      <c r="BC5" s="690">
        <f t="shared" si="1"/>
        <v>4327.5109812000001</v>
      </c>
      <c r="BD5" s="698">
        <f t="shared" si="1"/>
        <v>4376.3160904000006</v>
      </c>
      <c r="BE5" s="90"/>
      <c r="BF5" s="698">
        <f t="shared" si="1"/>
        <v>5884.0601364000004</v>
      </c>
      <c r="BG5" s="698">
        <f t="shared" si="1"/>
        <v>5927.5393812800003</v>
      </c>
      <c r="BH5" s="698">
        <f t="shared" si="1"/>
        <v>6424.9360324288</v>
      </c>
      <c r="BI5" s="698">
        <f t="shared" si="1"/>
        <v>6934.0850200000004</v>
      </c>
      <c r="BJ5" s="90">
        <f>BJ12/BE12-1</f>
        <v>8.5668130423319111E-2</v>
      </c>
      <c r="BK5" s="698">
        <f>BK6-BK7-BK9-BK10+BK11</f>
        <v>5866.9015335256408</v>
      </c>
      <c r="BL5" s="698">
        <f t="shared" ref="BL5:BN5" si="2">BL6-BL7-BL9-BL10+BL11</f>
        <v>6558.2967894198337</v>
      </c>
      <c r="BM5" s="698">
        <f t="shared" si="2"/>
        <v>7536.563920277591</v>
      </c>
      <c r="BN5" s="698">
        <f t="shared" si="2"/>
        <v>7587.2498501999335</v>
      </c>
      <c r="BO5" s="698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0"/>
      <c r="CA5" s="90"/>
      <c r="CB5" s="90"/>
      <c r="CC5" s="90"/>
      <c r="CD5" s="90"/>
      <c r="CE5" s="90"/>
      <c r="CF5" s="269"/>
      <c r="CG5" s="269"/>
      <c r="CH5" s="269"/>
      <c r="CI5" s="269"/>
      <c r="CJ5" s="594"/>
      <c r="CK5" s="594"/>
      <c r="CL5" s="594"/>
      <c r="CM5" s="269"/>
      <c r="CN5" s="269"/>
      <c r="CO5" s="269"/>
      <c r="CP5" s="269"/>
      <c r="CQ5" s="269"/>
      <c r="CR5" s="269"/>
      <c r="CS5" s="269"/>
      <c r="CT5" s="269"/>
      <c r="CU5" s="269"/>
      <c r="CV5" s="269"/>
      <c r="CW5" s="269"/>
      <c r="CX5" s="269"/>
      <c r="CY5" s="269"/>
      <c r="CZ5" s="269"/>
      <c r="DA5" s="269"/>
      <c r="DB5" s="269"/>
      <c r="DC5" s="269"/>
      <c r="DD5" s="269"/>
    </row>
    <row r="6" spans="1:277">
      <c r="A6" s="1" t="s">
        <v>160</v>
      </c>
      <c r="C6" s="91">
        <v>2496.4290000000001</v>
      </c>
      <c r="D6" s="36">
        <v>2213.2130000000002</v>
      </c>
      <c r="E6" s="36">
        <v>3907.4679999999998</v>
      </c>
      <c r="F6" s="36">
        <f>4513.379+55.685+33.15</f>
        <v>4602.2139999999999</v>
      </c>
      <c r="G6" s="92">
        <v>4243.3670000000002</v>
      </c>
      <c r="H6" s="36">
        <v>4490.0379999999996</v>
      </c>
      <c r="I6" s="88">
        <f>Assumptions!I54*Assumptions!I33/1000000+I11</f>
        <v>0</v>
      </c>
      <c r="J6" s="88">
        <f>Assumptions!J54*Assumptions!J32/1000000+J11</f>
        <v>1359.6517200000001</v>
      </c>
      <c r="K6" s="88">
        <f>Assumptions!K54*Assumptions!K32/1000000+K11</f>
        <v>1155.5137</v>
      </c>
      <c r="L6" s="88">
        <f>+I6+J6+K6</f>
        <v>2515.1654200000003</v>
      </c>
      <c r="M6" s="36">
        <v>5082.1220000000003</v>
      </c>
      <c r="N6" s="88">
        <f>Assumptions!N54*Assumptions!N33/1000000+N11</f>
        <v>1276.5073500000001</v>
      </c>
      <c r="O6" s="88">
        <f>Assumptions!O54*Assumptions!O33/1000000+O11</f>
        <v>1276.4967749999998</v>
      </c>
      <c r="P6" s="88">
        <f>Assumptions!P54*Assumptions!P33/1000000+P11</f>
        <v>0</v>
      </c>
      <c r="Q6" s="88">
        <f>Assumptions!Q54*Assumptions!Q33/1000000+Q11</f>
        <v>0</v>
      </c>
      <c r="R6" s="36">
        <v>5392.393</v>
      </c>
      <c r="S6" s="88"/>
      <c r="T6" s="88"/>
      <c r="U6" s="88"/>
      <c r="V6" s="88"/>
      <c r="W6" s="36">
        <f>7372.107-W11</f>
        <v>6730.7560000000003</v>
      </c>
      <c r="X6" s="88">
        <f>+Assumptions!X33*Assumptions!X54/$A$1</f>
        <v>2327.47154</v>
      </c>
      <c r="Y6" s="88">
        <f>+Assumptions!Y33*Assumptions!Y54/$A$1</f>
        <v>2382.5982399999998</v>
      </c>
      <c r="Z6" s="88">
        <f>+Assumptions!Z33*Assumptions!Z54/$A$1</f>
        <v>2438.0830559999999</v>
      </c>
      <c r="AA6" s="88">
        <f>+AB6-Z6-Y6-X6</f>
        <v>3199.9661639999999</v>
      </c>
      <c r="AB6" s="36">
        <f>10955.936-AB11</f>
        <v>10348.118999999999</v>
      </c>
      <c r="AC6" s="88">
        <f>+Assumptions!AC33*Assumptions!AC54/$A$1</f>
        <v>2434.1823220000001</v>
      </c>
      <c r="AD6" s="88">
        <f>+Assumptions!AD33*Assumptions!AD54/$A$1</f>
        <v>2073.9060599999998</v>
      </c>
      <c r="AE6" s="88">
        <f>+Assumptions!AE33*Assumptions!AE54/$A$1</f>
        <v>2223.2746400000001</v>
      </c>
      <c r="AF6" s="88">
        <f>+Assumptions!AF33*Assumptions!AF54/$A$1</f>
        <v>2302.3670400000001</v>
      </c>
      <c r="AG6" s="36">
        <v>8887.3060000000005</v>
      </c>
      <c r="AH6" s="88">
        <f>+Assumptions!AH33*Assumptions!AH54/$A$1</f>
        <v>2938.311177</v>
      </c>
      <c r="AI6" s="88">
        <f>+Assumptions!AI33*Assumptions!AI54/$A$1</f>
        <v>3321.1897880000001</v>
      </c>
      <c r="AJ6" s="88">
        <f>+Assumptions!AJ33*Assumptions!AJ54/$A$1</f>
        <v>4165.0840559999997</v>
      </c>
      <c r="AK6" s="88">
        <f>+Assumptions!AK33*Assumptions!AK54/$A$1</f>
        <v>4652.5374000000002</v>
      </c>
      <c r="AL6" s="36">
        <v>14685.075000000001</v>
      </c>
      <c r="AM6" s="88">
        <f>+Assumptions!AM33*Assumptions!AM54/$A$1</f>
        <v>4204.0663800000002</v>
      </c>
      <c r="AN6" s="88">
        <f>Assumptions!AN54*Assumptions!AN33/$A$1</f>
        <v>3652.7480879999994</v>
      </c>
      <c r="AO6" s="88">
        <f>Assumptions!AO54*Assumptions!AO33/$A$1</f>
        <v>3334.2775877999998</v>
      </c>
      <c r="AP6" s="88">
        <f>Assumptions!AP54*Assumptions!AP33/$A$1</f>
        <v>3625.4053140000001</v>
      </c>
      <c r="AQ6" s="36">
        <v>17590.823</v>
      </c>
      <c r="AR6" s="11">
        <f>Assumptions!AS54*Assumptions!AS33/$A$1</f>
        <v>3247.8876983519999</v>
      </c>
      <c r="AS6" s="11">
        <f>Assumptions!AS54*Assumptions!AS33/$A$1</f>
        <v>3247.8876983519999</v>
      </c>
      <c r="AT6" s="11"/>
      <c r="AU6" s="11">
        <v>18337.945</v>
      </c>
      <c r="AV6" s="649">
        <f>AV16/AV12</f>
        <v>9.2613132429477635E-2</v>
      </c>
      <c r="AW6" s="622">
        <f>Assumptions!AV54*Assumptions!AV33/$A$1</f>
        <v>0</v>
      </c>
      <c r="AX6" s="622">
        <f>Assumptions!AW54*Assumptions!AW33/$A$1</f>
        <v>4568.3629402908673</v>
      </c>
      <c r="AY6" s="622">
        <f>Assumptions!AX54*Assumptions!AX33/$A$1</f>
        <v>4711.9709999999995</v>
      </c>
      <c r="AZ6" s="93">
        <v>16986.832999999999</v>
      </c>
      <c r="BA6" s="622">
        <f>Assumptions!AZ54*Assumptions!AZ33/$A$1</f>
        <v>4629.3364000000001</v>
      </c>
      <c r="BB6" s="622">
        <f>Assumptions!BA54*Assumptions!BA33/$A$1</f>
        <v>4780.3608000000004</v>
      </c>
      <c r="BC6" s="636">
        <f>Assumptions!BB54*Assumptions!BB33/$A$1</f>
        <v>5524.2726000000002</v>
      </c>
      <c r="BD6" s="622">
        <f>Assumptions!BC54*Assumptions!BC33/$A$1</f>
        <v>5588.7892000000002</v>
      </c>
      <c r="BE6" s="93">
        <v>20258.088</v>
      </c>
      <c r="BF6" s="622">
        <f>Assumptions!BE54*Assumptions!BE33/$A$1</f>
        <v>4757.7672000000002</v>
      </c>
      <c r="BG6" s="622">
        <f>Assumptions!BF54*Assumptions!BF33/$A$1</f>
        <v>5833.6127999999999</v>
      </c>
      <c r="BH6" s="622">
        <f>Assumptions!BG54*Assumptions!BG33/$A$1</f>
        <v>6063.8559999999998</v>
      </c>
      <c r="BI6" s="622">
        <f>Assumptions!BH54*Assumptions!BH33/$A$1</f>
        <v>6213.7759999999998</v>
      </c>
      <c r="BJ6" s="93">
        <v>22733.690999999999</v>
      </c>
      <c r="BK6" s="622">
        <f>Assumptions!BJ54*Assumptions!BJ33/$A$1</f>
        <v>5154.0177999999996</v>
      </c>
      <c r="BL6" s="622">
        <f>Assumptions!BK54*Assumptions!BK33/$A$1</f>
        <v>6422.7882</v>
      </c>
      <c r="BM6" s="622">
        <f>Assumptions!BL54*Assumptions!BL33/$A$1</f>
        <v>6788.0167680000004</v>
      </c>
      <c r="BN6" s="622">
        <f>BP6-SUM(BK6:BM6)</f>
        <v>7931.6652319999994</v>
      </c>
      <c r="BO6" s="622"/>
      <c r="BP6" s="93">
        <v>26296.488000000001</v>
      </c>
      <c r="BQ6" s="93">
        <f>Assumptions!BO54*Assumptions!BO33/$A$1</f>
        <v>6129.388521569469</v>
      </c>
      <c r="BR6" s="93"/>
      <c r="BS6" s="93">
        <f>Assumptions!BQ54*Assumptions!BQ33/$A$1</f>
        <v>7192.192643552572</v>
      </c>
      <c r="BT6" s="93"/>
      <c r="BU6" s="93">
        <f>Assumptions!BR54*Assumptions!BR33/$A$1</f>
        <v>28168.79794560001</v>
      </c>
      <c r="BV6" s="93">
        <f>Assumptions!BS54*Assumptions!BS33/$A$1</f>
        <v>30174.416359326729</v>
      </c>
      <c r="BW6" s="93">
        <f>Assumptions!BT54*Assumptions!BT33/$A$1</f>
        <v>31381.393013699802</v>
      </c>
      <c r="BX6" s="93">
        <f>Assumptions!BU54*Assumptions!BU33/$A$1</f>
        <v>32636.648734247789</v>
      </c>
      <c r="BY6" s="93">
        <f>Assumptions!BV54*Assumptions!BV33/$A$1</f>
        <v>33942.114683617699</v>
      </c>
      <c r="BZ6" s="93">
        <f>Assumptions!BW54*Assumptions!BW33/$A$1</f>
        <v>35299.799270962416</v>
      </c>
      <c r="CA6" s="93">
        <f>Assumptions!BX54*Assumptions!BX33/$A$1</f>
        <v>36711.791241800915</v>
      </c>
      <c r="CB6" s="93">
        <f>Assumptions!BY54*Assumptions!BY33/$A$1</f>
        <v>38180.26289147295</v>
      </c>
      <c r="CC6" s="93">
        <f>Assumptions!BZ54*Assumptions!BZ33/$A$1</f>
        <v>39707.473407131867</v>
      </c>
      <c r="CD6" s="93">
        <f>Assumptions!CA54*Assumptions!CA33/$A$1</f>
        <v>41295.772343417142</v>
      </c>
      <c r="CE6" s="93">
        <f>Assumptions!CB54*Assumptions!CB33/$A$1</f>
        <v>42947.603237153831</v>
      </c>
      <c r="CF6" s="269"/>
      <c r="CG6" s="213"/>
      <c r="CH6" s="269"/>
      <c r="CI6" s="269"/>
      <c r="CJ6" s="594"/>
      <c r="CK6" s="594"/>
      <c r="CL6" s="594"/>
      <c r="CM6" s="269"/>
      <c r="CN6" s="269"/>
      <c r="CO6" s="269"/>
      <c r="CP6" s="269"/>
      <c r="CQ6" s="269"/>
      <c r="CR6" s="269"/>
      <c r="CS6" s="269"/>
      <c r="CT6" s="269"/>
      <c r="CU6" s="269"/>
      <c r="CV6" s="269"/>
      <c r="CW6" s="269"/>
      <c r="CX6" s="269"/>
      <c r="CY6" s="269"/>
      <c r="CZ6" s="269"/>
      <c r="DA6" s="269"/>
      <c r="DB6" s="269"/>
      <c r="DC6" s="269"/>
      <c r="DD6" s="269"/>
    </row>
    <row r="7" spans="1:277">
      <c r="A7" s="1" t="s">
        <v>161</v>
      </c>
      <c r="C7" s="91">
        <v>359.096</v>
      </c>
      <c r="D7" s="36">
        <v>0</v>
      </c>
      <c r="E7" s="36">
        <v>0</v>
      </c>
      <c r="F7" s="36">
        <v>0</v>
      </c>
      <c r="G7" s="92">
        <v>473.42500000000001</v>
      </c>
      <c r="H7" s="36">
        <v>645.79700000000003</v>
      </c>
      <c r="I7" s="88">
        <f>13%*(I6)</f>
        <v>0</v>
      </c>
      <c r="J7" s="88">
        <f>14.5%*(J6)</f>
        <v>197.1494994</v>
      </c>
      <c r="K7" s="88">
        <f>+Assumptions!K55*Assumptions!K33/1000000</f>
        <v>0</v>
      </c>
      <c r="L7" s="88">
        <f>+I7+J7+K7</f>
        <v>197.1494994</v>
      </c>
      <c r="M7" s="36">
        <v>727.78499999999997</v>
      </c>
      <c r="N7" s="88">
        <f>+(N6-N11)-((N6-N11)/(1+N8))</f>
        <v>180.79288648068678</v>
      </c>
      <c r="O7" s="88">
        <f>+(O6-O11)-((O6-O11)/(1+O8))</f>
        <v>170.97197671673825</v>
      </c>
      <c r="P7" s="88">
        <f>+(P6-P11)-((P6-P11)/(1+P8))</f>
        <v>0</v>
      </c>
      <c r="Q7" s="88">
        <f>+(Q6-Q11)-((Q6-Q11)/(1+Q8))</f>
        <v>0</v>
      </c>
      <c r="R7" s="36">
        <v>766.49699999999996</v>
      </c>
      <c r="S7" s="88"/>
      <c r="T7" s="88"/>
      <c r="U7" s="88"/>
      <c r="V7" s="88"/>
      <c r="W7" s="36">
        <v>877.92399999999998</v>
      </c>
      <c r="X7" s="88">
        <f>+Assumptions!X33*Assumptions!X55/$A$1</f>
        <v>303.50228881599998</v>
      </c>
      <c r="Y7" s="88">
        <f>+Assumptions!Y33*Assumptions!Y55/$A$1</f>
        <v>310.69081049599993</v>
      </c>
      <c r="Z7" s="88">
        <f>+Assumptions!Z33*Assumptions!Z55/$A$1</f>
        <v>317.92603050239995</v>
      </c>
      <c r="AA7" s="88">
        <f>+AB7-Z7-Y7-X7</f>
        <v>417.63587018560025</v>
      </c>
      <c r="AB7" s="36">
        <v>1349.7550000000001</v>
      </c>
      <c r="AC7" s="88">
        <f>+Assumptions!AC33*Assumptions!AC55/$A$1</f>
        <v>317.66079302100002</v>
      </c>
      <c r="AD7" s="88">
        <f>+Assumptions!AD33*Assumptions!AD55/$A$1</f>
        <v>270.64474082999999</v>
      </c>
      <c r="AE7" s="88">
        <f>+Assumptions!AE33*Assumptions!AE55/$A$1</f>
        <v>290.13734052000007</v>
      </c>
      <c r="AF7" s="88">
        <f>+Assumptions!AF33*Assumptions!AF55/$A$1</f>
        <v>300.45889872000004</v>
      </c>
      <c r="AG7" s="36">
        <v>1159.2139999999999</v>
      </c>
      <c r="AH7" s="88">
        <f>+Assumptions!AH33*Assumptions!AH55/$A$1</f>
        <v>383.44960859849999</v>
      </c>
      <c r="AI7" s="88">
        <f>+Assumptions!AI33*Assumptions!AI55/$A$1</f>
        <v>433.41526733400008</v>
      </c>
      <c r="AJ7" s="88">
        <f>+Assumptions!AJ33*Assumptions!AJ55/$A$1</f>
        <v>543.543469308</v>
      </c>
      <c r="AK7" s="88">
        <f>+Assumptions!AK33*Assumptions!AK55/$A$1</f>
        <v>607.15613070000006</v>
      </c>
      <c r="AL7" s="36">
        <v>1902.653</v>
      </c>
      <c r="AM7" s="88">
        <f>+Assumptions!AM33*Assumptions!AM55/$A$1</f>
        <v>579.74075380200009</v>
      </c>
      <c r="AN7" s="88">
        <f>+Assumptions!AN33*Assumptions!AN55/$A$1</f>
        <v>503.71396133519994</v>
      </c>
      <c r="AO7" s="88">
        <f>+Assumptions!AO33*Assumptions!AO55/$A$1</f>
        <v>459.79687935761996</v>
      </c>
      <c r="AP7" s="88">
        <f>+Assumptions!AP33*Assumptions!AP55/$A$1</f>
        <v>499.94339280059995</v>
      </c>
      <c r="AQ7" s="36">
        <f>AQ6*0.1378</f>
        <v>2424.0154094</v>
      </c>
      <c r="AR7" s="11">
        <f>+Assumptions!AS33*Assumptions!AS55/$A$1</f>
        <v>447.88371360274078</v>
      </c>
      <c r="AS7" s="11">
        <f>+Assumptions!AS33*Assumptions!AS55/$A$1</f>
        <v>447.88371360274078</v>
      </c>
      <c r="AT7" s="11"/>
      <c r="AU7" s="11">
        <v>2526.9688209999999</v>
      </c>
      <c r="AV7" s="622"/>
      <c r="AW7" s="622">
        <f>AW6*AW8</f>
        <v>0</v>
      </c>
      <c r="AX7" s="622">
        <f>AX6*AX8</f>
        <v>685.2544410436301</v>
      </c>
      <c r="AY7" s="622">
        <f>AY6*AY8</f>
        <v>706.79564999999991</v>
      </c>
      <c r="AZ7" s="94">
        <v>2437.8009999999999</v>
      </c>
      <c r="BA7" s="622">
        <f>BA6*BA8</f>
        <v>638.84842320000007</v>
      </c>
      <c r="BB7" s="622">
        <f>BB6*BB8</f>
        <v>659.68979040000011</v>
      </c>
      <c r="BC7" s="636">
        <f>BC6*BC8</f>
        <v>762.34961880000014</v>
      </c>
      <c r="BD7" s="622">
        <f>BD6*BD8</f>
        <v>771.25290960000007</v>
      </c>
      <c r="BE7" s="93">
        <v>2792.0189999999998</v>
      </c>
      <c r="BF7" s="622">
        <f>BF6*BF8</f>
        <v>656.57187360000012</v>
      </c>
      <c r="BG7" s="622">
        <f>BG6*BG8</f>
        <v>805.03856640000004</v>
      </c>
      <c r="BH7" s="622">
        <f>BH6*BH8</f>
        <v>836.81212800000003</v>
      </c>
      <c r="BI7" s="622">
        <f>BI6*BI8</f>
        <v>857.5010880000001</v>
      </c>
      <c r="BJ7" s="93">
        <v>3170.835</v>
      </c>
      <c r="BK7" s="622">
        <f>Assumptions!BJ55*Assumptions!BJ33/Assumptions!$A$3</f>
        <v>866.16795897435895</v>
      </c>
      <c r="BL7" s="622">
        <f>Assumptions!BK55*Assumptions!BK33/Assumptions!$A$3</f>
        <v>1079.3935065801666</v>
      </c>
      <c r="BM7" s="622">
        <f>Assumptions!BL55*Assumptions!BL33/Assumptions!$A$3</f>
        <v>1140.7726666024093</v>
      </c>
      <c r="BN7" s="622">
        <f>Assumptions!BM55*Assumptions!BM33/Assumptions!$A$3</f>
        <v>1221.0926794000657</v>
      </c>
      <c r="BO7" s="622"/>
      <c r="BP7" s="93">
        <v>4296.7020000000002</v>
      </c>
      <c r="BQ7" s="94">
        <f>Assumptions!BO55*Assumptions!BO33/Assumptions!$A$3</f>
        <v>1030.0856829576123</v>
      </c>
      <c r="BR7" s="94"/>
      <c r="BS7" s="94">
        <f>Assumptions!BQ55*Assumptions!BQ33/Assumptions!$A$3</f>
        <v>1208.6971881657705</v>
      </c>
      <c r="BT7" s="93"/>
      <c r="BU7" s="94">
        <f>Assumptions!BR55*Assumptions!BR33/$A$1</f>
        <v>4733.959246959038</v>
      </c>
      <c r="BV7" s="94">
        <f>Assumptions!BS55*Assumptions!BS33/$A$1</f>
        <v>5071.017145342521</v>
      </c>
      <c r="BW7" s="94">
        <f>Assumptions!BT55*Assumptions!BT33/$A$1</f>
        <v>5273.8578311562214</v>
      </c>
      <c r="BX7" s="94">
        <f>Assumptions!BU55*Assumptions!BU33/$A$1</f>
        <v>5484.8121444024709</v>
      </c>
      <c r="BY7" s="94">
        <f>Assumptions!BV55*Assumptions!BV33/$A$1</f>
        <v>5704.2046301785695</v>
      </c>
      <c r="BZ7" s="94">
        <f>Assumptions!BW55*Assumptions!BW33/$A$1</f>
        <v>5932.3728153857137</v>
      </c>
      <c r="CA7" s="94">
        <f>Assumptions!BX55*Assumptions!BX33/$A$1</f>
        <v>6169.6677280011418</v>
      </c>
      <c r="CB7" s="94">
        <f>Assumptions!BY55*Assumptions!BY33/$A$1</f>
        <v>6416.4544371211878</v>
      </c>
      <c r="CC7" s="94">
        <f>Assumptions!BZ55*Assumptions!BZ33/$A$1</f>
        <v>6673.1126146060351</v>
      </c>
      <c r="CD7" s="94">
        <f>Assumptions!CA55*Assumptions!CA33/$A$1</f>
        <v>6940.0371191902768</v>
      </c>
      <c r="CE7" s="94">
        <f>Assumptions!CB55*Assumptions!CB33/$A$1</f>
        <v>7217.6386039578874</v>
      </c>
      <c r="CF7" s="269"/>
      <c r="CG7" s="213"/>
      <c r="CH7" s="269"/>
      <c r="CI7" s="269"/>
      <c r="CJ7" s="594"/>
      <c r="CK7" s="594"/>
      <c r="CL7" s="594"/>
      <c r="CM7" s="269"/>
      <c r="CN7" s="269"/>
      <c r="CO7" s="269"/>
      <c r="CP7" s="269"/>
      <c r="CQ7" s="269"/>
      <c r="CR7" s="269"/>
      <c r="CS7" s="269"/>
      <c r="CT7" s="269"/>
      <c r="CU7" s="269"/>
      <c r="CV7" s="269"/>
      <c r="CW7" s="269"/>
      <c r="CX7" s="269"/>
      <c r="CY7" s="269"/>
      <c r="CZ7" s="269"/>
      <c r="DA7" s="269"/>
      <c r="DB7" s="269"/>
      <c r="DC7" s="269"/>
      <c r="DD7" s="269"/>
    </row>
    <row r="8" spans="1:277">
      <c r="A8" s="95" t="s">
        <v>162</v>
      </c>
      <c r="B8" s="95"/>
      <c r="C8" s="96">
        <f>+C7/(C12-C11)</f>
        <v>0.26647194926661888</v>
      </c>
      <c r="D8" s="96">
        <f>+D7/(D12-D11)</f>
        <v>0</v>
      </c>
      <c r="E8" s="96">
        <f>+E7/(E12-E11)</f>
        <v>0</v>
      </c>
      <c r="F8" s="96">
        <f>+F7/(F12-F11)</f>
        <v>0</v>
      </c>
      <c r="G8" s="96">
        <f>+G7/(G12-G11)</f>
        <v>0.18552357678718662</v>
      </c>
      <c r="H8" s="96">
        <f t="shared" ref="H8:M8" si="3">+H7/(H6-H11)</f>
        <v>0.14422760821364189</v>
      </c>
      <c r="I8" s="97" t="e">
        <f t="shared" si="3"/>
        <v>#DIV/0!</v>
      </c>
      <c r="J8" s="97">
        <f t="shared" si="3"/>
        <v>0.14499999999999999</v>
      </c>
      <c r="K8" s="97">
        <f t="shared" si="3"/>
        <v>0</v>
      </c>
      <c r="L8" s="97">
        <f t="shared" si="3"/>
        <v>7.8384307382851973E-2</v>
      </c>
      <c r="M8" s="96">
        <f t="shared" si="3"/>
        <v>0.14513297948713039</v>
      </c>
      <c r="N8" s="97">
        <v>0.16500000000000001</v>
      </c>
      <c r="O8" s="97">
        <f>+N8</f>
        <v>0.16500000000000001</v>
      </c>
      <c r="P8" s="97">
        <f>+O8</f>
        <v>0.16500000000000001</v>
      </c>
      <c r="Q8" s="97">
        <f>+P8</f>
        <v>0.16500000000000001</v>
      </c>
      <c r="R8" s="96">
        <f>+R7/(R12+R10+R9)</f>
        <v>0.15544179204301203</v>
      </c>
      <c r="S8" s="97"/>
      <c r="T8" s="97"/>
      <c r="U8" s="97"/>
      <c r="V8" s="97"/>
      <c r="W8" s="96">
        <f t="shared" ref="W8:AQ8" si="4">+W7/(W6)</f>
        <v>0.1304346792544552</v>
      </c>
      <c r="X8" s="97">
        <f t="shared" si="4"/>
        <v>0.13039999999999999</v>
      </c>
      <c r="Y8" s="97">
        <f t="shared" si="4"/>
        <v>0.13039999999999999</v>
      </c>
      <c r="Z8" s="97">
        <f t="shared" si="4"/>
        <v>0.13039999999999999</v>
      </c>
      <c r="AA8" s="97">
        <f t="shared" si="4"/>
        <v>0.13051258944049268</v>
      </c>
      <c r="AB8" s="96">
        <f t="shared" si="4"/>
        <v>0.1304348162211896</v>
      </c>
      <c r="AC8" s="97">
        <f t="shared" si="4"/>
        <v>0.1305</v>
      </c>
      <c r="AD8" s="97">
        <f t="shared" si="4"/>
        <v>0.1305</v>
      </c>
      <c r="AE8" s="97">
        <f t="shared" si="4"/>
        <v>0.13050000000000003</v>
      </c>
      <c r="AF8" s="97">
        <f t="shared" si="4"/>
        <v>0.1305</v>
      </c>
      <c r="AG8" s="96">
        <f t="shared" si="4"/>
        <v>0.13043480217739772</v>
      </c>
      <c r="AH8" s="97">
        <f t="shared" si="4"/>
        <v>0.1305</v>
      </c>
      <c r="AI8" s="97">
        <f t="shared" si="4"/>
        <v>0.1305</v>
      </c>
      <c r="AJ8" s="97">
        <f t="shared" si="4"/>
        <v>0.1305</v>
      </c>
      <c r="AK8" s="97">
        <f t="shared" si="4"/>
        <v>0.1305</v>
      </c>
      <c r="AL8" s="96">
        <f t="shared" si="4"/>
        <v>0.12956372371268107</v>
      </c>
      <c r="AM8" s="97">
        <f t="shared" si="4"/>
        <v>0.13790000000000002</v>
      </c>
      <c r="AN8" s="97">
        <f t="shared" si="4"/>
        <v>0.13789999999999999</v>
      </c>
      <c r="AO8" s="97">
        <f t="shared" si="4"/>
        <v>0.13789999999999999</v>
      </c>
      <c r="AP8" s="97">
        <f t="shared" si="4"/>
        <v>0.13789999999999999</v>
      </c>
      <c r="AQ8" s="96">
        <f t="shared" si="4"/>
        <v>0.13780000000000001</v>
      </c>
      <c r="AR8" s="98">
        <f>+AR7/(AR6)</f>
        <v>0.13789999999999999</v>
      </c>
      <c r="AS8" s="98"/>
      <c r="AT8" s="98"/>
      <c r="AU8" s="96">
        <f>+AU7/(AU6)</f>
        <v>0.13780000000000001</v>
      </c>
      <c r="AV8" s="623"/>
      <c r="AW8" s="623">
        <v>0.15</v>
      </c>
      <c r="AX8" s="623">
        <v>0.15</v>
      </c>
      <c r="AY8" s="623">
        <v>0.15</v>
      </c>
      <c r="AZ8" s="96">
        <f>+AZ7/(AZ6)</f>
        <v>0.14351121247851203</v>
      </c>
      <c r="BA8" s="623">
        <v>0.13800000000000001</v>
      </c>
      <c r="BB8" s="623">
        <v>0.13800000000000001</v>
      </c>
      <c r="BC8" s="810">
        <v>0.13800000000000001</v>
      </c>
      <c r="BD8" s="623">
        <v>0.13800000000000001</v>
      </c>
      <c r="BE8" s="99">
        <f>BE7/BE6</f>
        <v>0.13782243418036291</v>
      </c>
      <c r="BF8" s="623">
        <v>0.13800000000000001</v>
      </c>
      <c r="BG8" s="623">
        <v>0.13800000000000001</v>
      </c>
      <c r="BH8" s="623">
        <v>0.13800000000000001</v>
      </c>
      <c r="BI8" s="623">
        <v>0.13800000000000001</v>
      </c>
      <c r="BJ8" s="99">
        <f>BJ7/BJ6</f>
        <v>0.13947735103815742</v>
      </c>
      <c r="BK8" s="623">
        <f>BK7/BK6</f>
        <v>0.16805684275563795</v>
      </c>
      <c r="BL8" s="623">
        <f t="shared" ref="BL8:BN8" si="5">BL7/BL6</f>
        <v>0.1680568427556379</v>
      </c>
      <c r="BM8" s="623">
        <f t="shared" si="5"/>
        <v>0.16805684275563787</v>
      </c>
      <c r="BN8" s="623">
        <f t="shared" si="5"/>
        <v>0.15395161591964499</v>
      </c>
      <c r="BO8" s="623"/>
      <c r="BP8" s="99">
        <f t="shared" ref="BP8:BS8" si="6">BP7/BP6</f>
        <v>0.16339451869010035</v>
      </c>
      <c r="BQ8" s="99">
        <f t="shared" si="6"/>
        <v>0.16805684275563793</v>
      </c>
      <c r="BR8" s="99"/>
      <c r="BS8" s="99">
        <f t="shared" si="6"/>
        <v>0.16805684275563793</v>
      </c>
      <c r="BT8" s="99"/>
      <c r="BU8" s="99">
        <f t="shared" ref="BU8" si="7">BU7/BU6</f>
        <v>0.16805684275563795</v>
      </c>
      <c r="BV8" s="99">
        <f t="shared" ref="BV8" si="8">BV7/BV6</f>
        <v>0.16805684275563793</v>
      </c>
      <c r="BW8" s="99">
        <f t="shared" ref="BW8" si="9">BW7/BW6</f>
        <v>0.1680568427556379</v>
      </c>
      <c r="BX8" s="99">
        <f t="shared" ref="BX8" si="10">BX7/BX6</f>
        <v>0.16805684275563795</v>
      </c>
      <c r="BY8" s="99">
        <f t="shared" ref="BY8" si="11">BY7/BY6</f>
        <v>0.16805684275563795</v>
      </c>
      <c r="BZ8" s="99">
        <f t="shared" ref="BZ8" si="12">BZ7/BZ6</f>
        <v>0.16805684275563795</v>
      </c>
      <c r="CA8" s="99">
        <f t="shared" ref="CA8" si="13">CA7/CA6</f>
        <v>0.16805684275563793</v>
      </c>
      <c r="CB8" s="99">
        <f t="shared" ref="CB8" si="14">CB7/CB6</f>
        <v>0.16805684275563793</v>
      </c>
      <c r="CC8" s="99">
        <f t="shared" ref="CC8" si="15">CC7/CC6</f>
        <v>0.16805684275563793</v>
      </c>
      <c r="CD8" s="99">
        <f t="shared" ref="CD8" si="16">CD7/CD6</f>
        <v>0.16805684275563795</v>
      </c>
      <c r="CE8" s="99">
        <f t="shared" ref="CE8" si="17">CE7/CE6</f>
        <v>0.16805684275563793</v>
      </c>
      <c r="CF8" s="743"/>
      <c r="CG8" s="743"/>
      <c r="CH8" s="743"/>
      <c r="CI8" s="743"/>
      <c r="CJ8" s="744"/>
      <c r="CK8" s="744"/>
      <c r="CL8" s="744"/>
      <c r="CM8" s="743"/>
      <c r="CN8" s="743"/>
      <c r="CO8" s="743"/>
      <c r="CP8" s="743"/>
      <c r="CQ8" s="743"/>
      <c r="CR8" s="743"/>
      <c r="CS8" s="743"/>
      <c r="CT8" s="743"/>
      <c r="CU8" s="743"/>
      <c r="CV8" s="743"/>
      <c r="CW8" s="743"/>
      <c r="CX8" s="743"/>
      <c r="CY8" s="743"/>
      <c r="CZ8" s="743"/>
      <c r="DA8" s="743"/>
      <c r="DB8" s="743"/>
      <c r="DC8" s="743"/>
      <c r="DD8" s="743"/>
      <c r="DE8" s="96"/>
      <c r="DF8" s="96"/>
      <c r="DG8" s="96"/>
      <c r="DH8" s="96"/>
      <c r="DI8" s="96"/>
      <c r="DJ8" s="96"/>
      <c r="DK8" s="96"/>
      <c r="DL8" s="96"/>
      <c r="DM8" s="96"/>
      <c r="DN8" s="96"/>
      <c r="DO8" s="96"/>
      <c r="DP8" s="96"/>
      <c r="DQ8" s="96"/>
      <c r="DR8" s="96"/>
      <c r="DS8" s="96"/>
      <c r="DT8" s="96"/>
      <c r="DU8" s="96"/>
      <c r="DV8" s="96"/>
      <c r="DW8" s="96"/>
      <c r="DX8" s="96"/>
      <c r="DY8" s="96"/>
      <c r="DZ8" s="96"/>
      <c r="EA8" s="96"/>
      <c r="EB8" s="96"/>
      <c r="EC8" s="96"/>
      <c r="ED8" s="96"/>
      <c r="EE8" s="96"/>
      <c r="EF8" s="96"/>
      <c r="EG8" s="96"/>
      <c r="EH8" s="96"/>
      <c r="EI8" s="96"/>
      <c r="EJ8" s="96"/>
      <c r="EK8" s="96"/>
      <c r="EL8" s="96"/>
      <c r="EM8" s="96"/>
      <c r="EN8" s="96"/>
      <c r="EO8" s="96"/>
      <c r="EP8" s="96"/>
      <c r="EQ8" s="96"/>
      <c r="ER8" s="96"/>
      <c r="ES8" s="96"/>
      <c r="ET8" s="96"/>
      <c r="EU8" s="96"/>
      <c r="EV8" s="96"/>
      <c r="EW8" s="96"/>
      <c r="EX8" s="96"/>
      <c r="EY8" s="96"/>
      <c r="EZ8" s="96"/>
      <c r="FA8" s="96"/>
      <c r="FB8" s="96"/>
      <c r="FC8" s="96"/>
      <c r="FD8" s="96"/>
      <c r="FE8" s="96"/>
      <c r="FF8" s="96"/>
      <c r="FG8" s="96"/>
      <c r="FH8" s="96"/>
      <c r="FI8" s="96"/>
      <c r="FJ8" s="96"/>
      <c r="FK8" s="96"/>
      <c r="FL8" s="96"/>
      <c r="FM8" s="96"/>
      <c r="FN8" s="96"/>
      <c r="FO8" s="96"/>
      <c r="FP8" s="96"/>
      <c r="FQ8" s="96"/>
      <c r="FR8" s="96"/>
      <c r="FS8" s="96"/>
      <c r="FT8" s="96"/>
      <c r="FU8" s="96"/>
      <c r="FV8" s="96"/>
      <c r="FW8" s="96"/>
      <c r="FX8" s="96"/>
      <c r="FY8" s="96"/>
      <c r="FZ8" s="96"/>
      <c r="GA8" s="96"/>
      <c r="GB8" s="96"/>
      <c r="GC8" s="96"/>
      <c r="GD8" s="96"/>
      <c r="GE8" s="96"/>
      <c r="GF8" s="96"/>
      <c r="GG8" s="96"/>
      <c r="GH8" s="96"/>
      <c r="GI8" s="96"/>
      <c r="GJ8" s="96"/>
      <c r="GK8" s="96"/>
      <c r="GL8" s="96"/>
      <c r="GM8" s="96"/>
      <c r="GN8" s="96"/>
      <c r="GO8" s="96"/>
      <c r="GP8" s="96"/>
      <c r="GQ8" s="96"/>
      <c r="GR8" s="96"/>
      <c r="GS8" s="96"/>
      <c r="GT8" s="96"/>
      <c r="GU8" s="96"/>
      <c r="GV8" s="96"/>
      <c r="GW8" s="96"/>
      <c r="GX8" s="96"/>
      <c r="GY8" s="96"/>
      <c r="GZ8" s="96"/>
      <c r="HA8" s="96"/>
      <c r="HB8" s="96"/>
      <c r="HC8" s="96"/>
      <c r="HD8" s="96"/>
      <c r="HE8" s="96"/>
      <c r="HF8" s="96"/>
      <c r="HG8" s="96"/>
      <c r="HH8" s="96"/>
      <c r="HI8" s="96"/>
      <c r="HJ8" s="96"/>
      <c r="HK8" s="96"/>
      <c r="HL8" s="96"/>
      <c r="HM8" s="96"/>
      <c r="HN8" s="96"/>
      <c r="HO8" s="96"/>
      <c r="HP8" s="96"/>
      <c r="HQ8" s="96"/>
      <c r="HR8" s="96"/>
      <c r="HS8" s="96"/>
      <c r="HT8" s="96"/>
      <c r="HU8" s="96"/>
      <c r="HV8" s="96"/>
      <c r="HW8" s="96"/>
      <c r="HX8" s="96"/>
      <c r="HY8" s="96"/>
      <c r="HZ8" s="96"/>
      <c r="IA8" s="96"/>
      <c r="IB8" s="96"/>
      <c r="IC8" s="96"/>
      <c r="ID8" s="96"/>
      <c r="IE8" s="96"/>
      <c r="IF8" s="96"/>
      <c r="IG8" s="96"/>
      <c r="IH8" s="96"/>
      <c r="II8" s="96"/>
      <c r="IJ8" s="96"/>
      <c r="IK8" s="96"/>
      <c r="IL8" s="96"/>
      <c r="IM8" s="96"/>
      <c r="IN8" s="96"/>
      <c r="IO8" s="96"/>
      <c r="IP8" s="96"/>
      <c r="IQ8" s="96"/>
      <c r="IR8" s="96"/>
      <c r="IS8" s="96"/>
      <c r="IT8" s="96"/>
      <c r="IU8" s="96"/>
      <c r="IV8" s="96"/>
      <c r="IW8" s="96"/>
      <c r="IX8" s="96"/>
      <c r="IY8" s="96"/>
      <c r="IZ8" s="96"/>
      <c r="JA8" s="96"/>
      <c r="JB8" s="96"/>
      <c r="JC8" s="96"/>
      <c r="JD8" s="96"/>
      <c r="JE8" s="96"/>
      <c r="JF8" s="96"/>
      <c r="JG8" s="96"/>
      <c r="JH8" s="96"/>
      <c r="JI8" s="96"/>
      <c r="JJ8" s="96"/>
      <c r="JK8" s="96"/>
      <c r="JL8" s="96"/>
      <c r="JM8" s="96"/>
      <c r="JN8" s="96"/>
      <c r="JO8" s="96"/>
      <c r="JP8" s="96"/>
      <c r="JQ8" s="96"/>
    </row>
    <row r="9" spans="1:277">
      <c r="A9" s="1" t="s">
        <v>163</v>
      </c>
      <c r="C9" s="91">
        <v>781.90200000000004</v>
      </c>
      <c r="D9" s="36">
        <v>952.04</v>
      </c>
      <c r="E9" s="36">
        <v>1617.778</v>
      </c>
      <c r="F9" s="36">
        <v>1616.5709999999999</v>
      </c>
      <c r="G9" s="92">
        <v>1173.748</v>
      </c>
      <c r="H9" s="36">
        <v>1091.5630000000001</v>
      </c>
      <c r="I9" s="88">
        <f>Assumptions!I57*Assumptions!I33/1000000</f>
        <v>0</v>
      </c>
      <c r="J9" s="88">
        <f>Assumptions!J57*Assumptions!J33/1000000</f>
        <v>0</v>
      </c>
      <c r="K9" s="88">
        <f>Assumptions!K57*Assumptions!K33/1000000</f>
        <v>0</v>
      </c>
      <c r="L9" s="88">
        <f t="shared" ref="L9:L29" si="18">+I9+J9+K9</f>
        <v>0</v>
      </c>
      <c r="M9" s="36">
        <v>1370.944</v>
      </c>
      <c r="N9" s="88">
        <f>Assumptions!N57*Assumptions!N33/1000000</f>
        <v>236.39025000000001</v>
      </c>
      <c r="O9" s="88">
        <f>Assumptions!O57*Assumptions!O33/1000000</f>
        <v>222.17775</v>
      </c>
      <c r="P9" s="88">
        <f>Assumptions!P57*Assumptions!P33/1000000</f>
        <v>0</v>
      </c>
      <c r="Q9" s="88">
        <f>Assumptions!Q57*Assumptions!Q33/1000000</f>
        <v>0</v>
      </c>
      <c r="R9" s="36">
        <v>990.12400000000002</v>
      </c>
      <c r="S9" s="88"/>
      <c r="T9" s="88"/>
      <c r="U9" s="88"/>
      <c r="V9" s="88"/>
      <c r="W9" s="36">
        <v>1141.7560000000001</v>
      </c>
      <c r="X9" s="88">
        <f>+Assumptions!X33*Assumptions!X57/$A$1</f>
        <v>347.03857598790285</v>
      </c>
      <c r="Y9" s="88">
        <f>+Assumptions!Y33*Assumptions!Y57/$A$1</f>
        <v>350.10757665989416</v>
      </c>
      <c r="Z9" s="88">
        <f>+Assumptions!Z33*Assumptions!Z57/$A$1</f>
        <v>361.09057906474305</v>
      </c>
      <c r="AA9" s="88">
        <f>+AB9-Z9-Y9-X9</f>
        <v>451.21226828746001</v>
      </c>
      <c r="AB9" s="36">
        <v>1509.4490000000001</v>
      </c>
      <c r="AC9" s="88">
        <f>+Assumptions!AC33*Assumptions!AC57/$A$1</f>
        <v>387.27974999999998</v>
      </c>
      <c r="AD9" s="88">
        <f>+Assumptions!AD33*Assumptions!AD57/$A$1</f>
        <v>424.98075</v>
      </c>
      <c r="AE9" s="88">
        <f>+Assumptions!AE33*Assumptions!AE57/$A$1</f>
        <v>439.96199999999999</v>
      </c>
      <c r="AF9" s="88">
        <f>+Assumptions!AF33*Assumptions!AF57/$A$1</f>
        <v>499.06799999999998</v>
      </c>
      <c r="AG9" s="36">
        <v>1679.829</v>
      </c>
      <c r="AH9" s="88">
        <f>+Assumptions!AH33*Assumptions!AH57/$A$1</f>
        <v>622.34775000000002</v>
      </c>
      <c r="AI9" s="88">
        <f>+Assumptions!AI33*Assumptions!AI57/$A$1</f>
        <v>648.50099999999998</v>
      </c>
      <c r="AJ9" s="88">
        <f>+Assumptions!AJ33*Assumptions!AJ57/$A$1</f>
        <v>754.36199999999997</v>
      </c>
      <c r="AK9" s="88">
        <f>+Assumptions!AK33*Assumptions!AK57/$A$1</f>
        <v>646.18574999999998</v>
      </c>
      <c r="AL9" s="36">
        <f>2727.232+99.556</f>
        <v>2826.788</v>
      </c>
      <c r="AM9" s="88">
        <f>+Assumptions!AM33*Assumptions!AM57/$A$1</f>
        <v>589.35509999999999</v>
      </c>
      <c r="AN9" s="88">
        <f>Assumptions!AN57*Assumptions!AN33/$A$1</f>
        <v>498.10201199999995</v>
      </c>
      <c r="AO9" s="88">
        <f>Assumptions!AO57*Assumptions!AO33/$A$1</f>
        <v>482.45174100000003</v>
      </c>
      <c r="AP9" s="88">
        <f>Assumptions!AP57*Assumptions!AP33/$A$1</f>
        <v>534.89586599999996</v>
      </c>
      <c r="AQ9" s="36">
        <v>2622.7370000000001</v>
      </c>
      <c r="AR9" s="11">
        <f>Assumptions!AS57*Assumptions!AS33/$A$1</f>
        <v>421.02247941599995</v>
      </c>
      <c r="AS9" s="11"/>
      <c r="AT9" s="11"/>
      <c r="AU9" s="11">
        <v>2392.3449999999998</v>
      </c>
      <c r="AV9" s="622"/>
      <c r="AW9" s="622">
        <f>Assumptions!AV57*Assumptions!AV33/$A$1</f>
        <v>0</v>
      </c>
      <c r="AX9" s="622">
        <f>Assumptions!AW57*Assumptions!AW33/$A$1</f>
        <v>505.09829999999999</v>
      </c>
      <c r="AY9" s="622">
        <f>Assumptions!AX57*Assumptions!AX33/$A$1</f>
        <v>499.75450000000001</v>
      </c>
      <c r="AZ9" s="93">
        <v>2184.194</v>
      </c>
      <c r="BA9" s="622">
        <f>Assumptions!AZ57*Assumptions!AZ33/$A$1</f>
        <v>312.79300000000001</v>
      </c>
      <c r="BB9" s="622">
        <f>Assumptions!BA57*Assumptions!BA33/$A$1</f>
        <v>331.96949999999998</v>
      </c>
      <c r="BC9" s="636">
        <f>Assumptions!BB57*Assumptions!BB33/$A$1</f>
        <v>362.01</v>
      </c>
      <c r="BD9" s="622">
        <f>Assumptions!BC57*Assumptions!BC33/$A$1</f>
        <v>367.68349999999998</v>
      </c>
      <c r="BE9" s="93">
        <v>1385.54</v>
      </c>
      <c r="BF9" s="622">
        <f>Assumptions!BE57*Assumptions!BE33/$A$1</f>
        <v>250.40880000000001</v>
      </c>
      <c r="BG9" s="622">
        <f>Assumptions!BF57*Assumptions!BF33/$A$1</f>
        <v>295.37279999999998</v>
      </c>
      <c r="BH9" s="622">
        <f>Assumptions!BG57*Assumptions!BG33/$A$1</f>
        <v>303.19279999999998</v>
      </c>
      <c r="BI9" s="622">
        <f>Assumptions!BH57*Assumptions!BH33/$A$1</f>
        <v>310.68880000000001</v>
      </c>
      <c r="BJ9" s="93">
        <v>1157.2550000000001</v>
      </c>
      <c r="BK9" s="622">
        <f>Assumptions!BJ57*Assumptions!BJ33/$A$1</f>
        <v>248.38640000000001</v>
      </c>
      <c r="BL9" s="622">
        <f>Assumptions!BK57*Assumptions!BK33/$A$1</f>
        <v>293.27800000000002</v>
      </c>
      <c r="BM9" s="622">
        <f>Assumptions!BL57*Assumptions!BL33/$A$1</f>
        <v>307.15008</v>
      </c>
      <c r="BN9" s="622">
        <f>Assumptions!BM57*Assumptions!BM33/$A$1</f>
        <v>328.37880000000001</v>
      </c>
      <c r="BO9" s="622"/>
      <c r="BP9" s="93">
        <v>1182.021</v>
      </c>
      <c r="BQ9" s="622">
        <f>Assumptions!BO57*Assumptions!BO33/$A$1</f>
        <v>273.8904</v>
      </c>
      <c r="BR9" s="622"/>
      <c r="BS9" s="622">
        <f>Assumptions!BQ57*Assumptions!BQ33/$A$1</f>
        <v>322.00200000000001</v>
      </c>
      <c r="BT9" s="93"/>
      <c r="BU9" s="93">
        <f>Assumptions!BR57*Assumptions!BR33/$A$1</f>
        <v>1212.5090784000001</v>
      </c>
      <c r="BV9" s="93">
        <f>Assumptions!BS57*Assumptions!BS33/$A$1</f>
        <v>1248.884350752</v>
      </c>
      <c r="BW9" s="93">
        <f>Assumptions!BT57*Assumptions!BT33/$A$1</f>
        <v>1248.884350752</v>
      </c>
      <c r="BX9" s="93">
        <f>Assumptions!BU57*Assumptions!BU33/$A$1</f>
        <v>1248.884350752</v>
      </c>
      <c r="BY9" s="93">
        <f>Assumptions!BV57*Assumptions!BV33/$A$1</f>
        <v>1248.884350752</v>
      </c>
      <c r="BZ9" s="93">
        <f>Assumptions!BW57*Assumptions!BW33/$A$1</f>
        <v>1248.884350752</v>
      </c>
      <c r="CA9" s="93">
        <f>Assumptions!BX57*Assumptions!BX33/$A$1</f>
        <v>1248.884350752</v>
      </c>
      <c r="CB9" s="93">
        <f>Assumptions!BY57*Assumptions!BY33/$A$1</f>
        <v>1248.884350752</v>
      </c>
      <c r="CC9" s="93">
        <f>Assumptions!BZ57*Assumptions!BZ33/$A$1</f>
        <v>1248.884350752</v>
      </c>
      <c r="CD9" s="93">
        <f>Assumptions!CA57*Assumptions!CA33/$A$1</f>
        <v>1248.884350752</v>
      </c>
      <c r="CE9" s="93">
        <f>Assumptions!CB57*Assumptions!CB33/$A$1</f>
        <v>1248.884350752</v>
      </c>
      <c r="CF9" s="269"/>
      <c r="CG9" s="213"/>
      <c r="CH9" s="269"/>
      <c r="CI9" s="269"/>
      <c r="CJ9" s="594"/>
      <c r="CK9" s="594"/>
      <c r="CL9" s="594"/>
      <c r="CM9" s="269"/>
      <c r="CN9" s="269"/>
      <c r="CO9" s="269"/>
      <c r="CP9" s="269"/>
      <c r="CQ9" s="269"/>
      <c r="CR9" s="269"/>
      <c r="CS9" s="269"/>
      <c r="CT9" s="269"/>
      <c r="CU9" s="269"/>
      <c r="CV9" s="269"/>
      <c r="CW9" s="269"/>
      <c r="CX9" s="269"/>
      <c r="CY9" s="269"/>
      <c r="CZ9" s="269"/>
      <c r="DA9" s="269"/>
      <c r="DB9" s="269"/>
      <c r="DC9" s="269"/>
      <c r="DD9" s="269"/>
    </row>
    <row r="10" spans="1:277">
      <c r="A10" s="1" t="s">
        <v>66</v>
      </c>
      <c r="C10" s="36">
        <v>7.8369999999999997</v>
      </c>
      <c r="D10" s="36">
        <v>22.19</v>
      </c>
      <c r="E10" s="36">
        <v>29.876000000000001</v>
      </c>
      <c r="F10" s="36">
        <v>42.628999999999998</v>
      </c>
      <c r="G10" s="92">
        <v>44.362000000000002</v>
      </c>
      <c r="H10" s="36">
        <v>46.438000000000002</v>
      </c>
      <c r="I10" s="88">
        <f>Assumptions!I58*Assumptions!I32/1000000</f>
        <v>30.42063609444439</v>
      </c>
      <c r="J10" s="88">
        <f>Assumptions!J58*Assumptions!J32/1000000</f>
        <v>17.934911045554315</v>
      </c>
      <c r="K10" s="88">
        <f>Assumptions!K58*Assumptions!K32/1000000</f>
        <v>13.68869973233358</v>
      </c>
      <c r="L10" s="88">
        <f t="shared" si="18"/>
        <v>62.044246872332288</v>
      </c>
      <c r="M10" s="36">
        <v>58.901000000000003</v>
      </c>
      <c r="N10" s="88">
        <f>Assumptions!N58*Assumptions!N32/1000000</f>
        <v>15.059960036909194</v>
      </c>
      <c r="O10" s="88">
        <f>Assumptions!O58*Assumptions!O32/1000000</f>
        <v>14.271049646031866</v>
      </c>
      <c r="P10" s="88">
        <f>Assumptions!P58*Assumptions!P32/1000000</f>
        <v>15.991507672735784</v>
      </c>
      <c r="Q10" s="88">
        <f>Assumptions!Q58*Assumptions!Q32/1000000</f>
        <v>18.126165263890744</v>
      </c>
      <c r="R10" s="36">
        <v>58.207000000000001</v>
      </c>
      <c r="S10" s="88"/>
      <c r="T10" s="88"/>
      <c r="U10" s="88"/>
      <c r="V10" s="88"/>
      <c r="W10" s="36">
        <v>72.867000000000004</v>
      </c>
      <c r="X10" s="88">
        <f>+Assumptions!X32*Assumptions!X58/$A$1</f>
        <v>28.402274999999999</v>
      </c>
      <c r="Y10" s="88">
        <f>+Assumptions!Y32*Assumptions!Y58/$A$1</f>
        <v>35.070210000000003</v>
      </c>
      <c r="Z10" s="88">
        <f>+Assumptions!Z32*Assumptions!Z58/$A$1</f>
        <v>36.582210000000003</v>
      </c>
      <c r="AA10" s="88">
        <f>+AB10-Z10-Y10-X10</f>
        <v>41.012304999999998</v>
      </c>
      <c r="AB10" s="36">
        <v>141.06700000000001</v>
      </c>
      <c r="AC10" s="88">
        <f>+Assumptions!AC33*Assumptions!AC58/$A$1</f>
        <v>39.244348000000002</v>
      </c>
      <c r="AD10" s="88">
        <f>+Assumptions!AD33*Assumptions!AD58/$A$1</f>
        <v>45.33128</v>
      </c>
      <c r="AE10" s="88">
        <f>+Assumptions!AE33*Assumptions!AE58/$A$1</f>
        <v>49.862360000000002</v>
      </c>
      <c r="AF10" s="88">
        <f>+Assumptions!AF33*Assumptions!AF58/$A$1</f>
        <v>59.888159999999999</v>
      </c>
      <c r="AG10" s="36">
        <v>140.464</v>
      </c>
      <c r="AH10" s="88">
        <f>+Assumptions!AH33*Assumptions!AH58/$A$1</f>
        <v>74.681730000000002</v>
      </c>
      <c r="AI10" s="88">
        <f>+Assumptions!AI33*Assumptions!AI58/$A$1</f>
        <v>77.820120000000003</v>
      </c>
      <c r="AJ10" s="88">
        <f>+Assumptions!AJ33*Assumptions!AJ58/$A$1</f>
        <v>85.49436</v>
      </c>
      <c r="AK10" s="88">
        <f>+Assumptions!AK33*Assumptions!AK58/$A$1</f>
        <v>172.31620000000001</v>
      </c>
      <c r="AL10" s="36">
        <v>250.749</v>
      </c>
      <c r="AM10" s="88">
        <f>+Assumptions!AM33*Assumptions!AM58/$A$1</f>
        <v>50.564474474549549</v>
      </c>
      <c r="AN10" s="88">
        <f>+Assumptions!AN33*Assumptions!AN58/$A$1</f>
        <v>42.735299094715174</v>
      </c>
      <c r="AO10" s="88">
        <f>+Assumptions!AO33*Assumptions!AO58/$A$1</f>
        <v>45.531820488693732</v>
      </c>
      <c r="AP10" s="88">
        <f>+Assumptions!AP33*Assumptions!AP58/$A$1</f>
        <v>50.481282335876934</v>
      </c>
      <c r="AQ10" s="36">
        <v>307.851</v>
      </c>
      <c r="AR10" s="11">
        <f>+Assumptions!AS33*Assumptions!AS58/$A$1</f>
        <v>56.70663407353728</v>
      </c>
      <c r="AS10" s="11"/>
      <c r="AT10" s="11"/>
      <c r="AU10" s="11">
        <v>251.922</v>
      </c>
      <c r="AV10" s="622"/>
      <c r="AW10" s="622">
        <f>Assumptions!AV33*Assumptions!AV58/$A$1</f>
        <v>0</v>
      </c>
      <c r="AX10" s="622">
        <f>Assumptions!AW33*Assumptions!AW58/$A$1</f>
        <v>72.156899999999993</v>
      </c>
      <c r="AY10" s="622">
        <f>Assumptions!AX33*Assumptions!AX58/$A$1</f>
        <v>71.393500000000003</v>
      </c>
      <c r="AZ10" s="93">
        <v>274.34100000000001</v>
      </c>
      <c r="BA10" s="622">
        <f>Assumptions!AZ33*Assumptions!AZ58/$A$1</f>
        <v>58.805084000000001</v>
      </c>
      <c r="BB10" s="622">
        <f>Assumptions!BA33*Assumptions!BA58/$A$1</f>
        <v>62.410266</v>
      </c>
      <c r="BC10" s="636">
        <f>Assumptions!BB33*Assumptions!BB58/$A$1</f>
        <v>72.402000000000001</v>
      </c>
      <c r="BD10" s="622">
        <f>Assumptions!BC33*Assumptions!BC58/$A$1</f>
        <v>73.536699999999996</v>
      </c>
      <c r="BE10" s="93">
        <v>277.19900000000001</v>
      </c>
      <c r="BF10" s="622">
        <f>Assumptions!BE33*Assumptions!BE58/$A$1</f>
        <v>62.602200000000003</v>
      </c>
      <c r="BG10" s="622">
        <f>Assumptions!BF33*Assumptions!BF58/$A$1</f>
        <v>73.843199999999996</v>
      </c>
      <c r="BH10" s="622">
        <f>Assumptions!BG33*Assumptions!BG58/$A$1</f>
        <v>75.798199999999994</v>
      </c>
      <c r="BI10" s="622">
        <f>Assumptions!BH33*Assumptions!BH58/$A$1</f>
        <v>77.672200000000004</v>
      </c>
      <c r="BJ10" s="93">
        <v>355.86900000000003</v>
      </c>
      <c r="BK10" s="622">
        <f>Assumptions!BJ33*Assumptions!BJ58/$A$1</f>
        <v>62.096600000000002</v>
      </c>
      <c r="BL10" s="622">
        <f>Assumptions!BK33*Assumptions!BK58/$A$1</f>
        <v>73.319500000000005</v>
      </c>
      <c r="BM10" s="622">
        <f>Assumptions!BL33*Assumptions!BL58/$A$1</f>
        <v>76.787520000000001</v>
      </c>
      <c r="BN10" s="622">
        <f>Assumptions!BM33*Assumptions!BM58/$A$1</f>
        <v>82.094700000000003</v>
      </c>
      <c r="BO10" s="622"/>
      <c r="BP10" s="93">
        <v>323.76400000000001</v>
      </c>
      <c r="BQ10" s="622">
        <f>Assumptions!BO33*Assumptions!BO58/$A$1</f>
        <v>68.4726</v>
      </c>
      <c r="BR10" s="622"/>
      <c r="BS10" s="622">
        <f>Assumptions!BQ33*Assumptions!BQ58/$A$1</f>
        <v>80.500500000000002</v>
      </c>
      <c r="BT10" s="93"/>
      <c r="BU10" s="93">
        <f>+Assumptions!BR33*Assumptions!BR58/$A$1</f>
        <v>418.07578288529061</v>
      </c>
      <c r="BV10" s="93">
        <f>+Assumptions!BS33*Assumptions!BS58/$A$1</f>
        <v>456.45513975416026</v>
      </c>
      <c r="BW10" s="93">
        <f>+Assumptions!BT33*Assumptions!BT58/$A$1</f>
        <v>483.8424481394099</v>
      </c>
      <c r="BX10" s="93">
        <f>+Assumptions!BU33*Assumptions!BU58/$A$1</f>
        <v>512.87299502777455</v>
      </c>
      <c r="BY10" s="93">
        <f>+Assumptions!BV33*Assumptions!BV58/$A$1</f>
        <v>543.64537472944107</v>
      </c>
      <c r="BZ10" s="93">
        <f>+Assumptions!BW33*Assumptions!BW58/$A$1</f>
        <v>576.26409721320761</v>
      </c>
      <c r="CA10" s="93">
        <f>+Assumptions!BX33*Assumptions!BX58/$A$1</f>
        <v>610.83994304600003</v>
      </c>
      <c r="CB10" s="93">
        <f>+Assumptions!BY33*Assumptions!BY58/$A$1</f>
        <v>647.49033962876013</v>
      </c>
      <c r="CC10" s="93">
        <f>+Assumptions!BZ33*Assumptions!BZ58/$A$1</f>
        <v>686.33976000648579</v>
      </c>
      <c r="CD10" s="93">
        <f>+Assumptions!CA33*Assumptions!CA58/$A$1</f>
        <v>727.52014560687496</v>
      </c>
      <c r="CE10" s="93">
        <f>+Assumptions!CB33*Assumptions!CB58/$A$1</f>
        <v>771.17135434328748</v>
      </c>
      <c r="CF10" s="269"/>
      <c r="CG10" s="213"/>
      <c r="CH10" s="269"/>
      <c r="CI10" s="269"/>
      <c r="CJ10" s="594"/>
      <c r="CK10" s="594"/>
      <c r="CL10" s="594"/>
      <c r="CM10" s="269"/>
      <c r="CN10" s="269"/>
      <c r="CO10" s="269"/>
      <c r="CP10" s="269"/>
      <c r="CQ10" s="269"/>
      <c r="CR10" s="269"/>
      <c r="CS10" s="269"/>
      <c r="CT10" s="269"/>
      <c r="CU10" s="269"/>
      <c r="CV10" s="269"/>
      <c r="CW10" s="269"/>
      <c r="CX10" s="269"/>
      <c r="CY10" s="269"/>
      <c r="CZ10" s="269"/>
      <c r="DA10" s="269"/>
      <c r="DB10" s="269"/>
      <c r="DC10" s="269"/>
      <c r="DD10" s="269"/>
    </row>
    <row r="11" spans="1:277">
      <c r="A11" s="1" t="s">
        <v>323</v>
      </c>
      <c r="C11" s="36"/>
      <c r="D11" s="36"/>
      <c r="E11" s="36"/>
      <c r="F11" s="36"/>
      <c r="G11" s="92"/>
      <c r="H11" s="36">
        <v>12.414</v>
      </c>
      <c r="I11" s="88">
        <f>Assumptions!I42*Assumptions!I34/1000000</f>
        <v>0</v>
      </c>
      <c r="J11" s="88">
        <f>Assumptions!J42*Assumptions!J34/1000000</f>
        <v>0</v>
      </c>
      <c r="K11" s="88">
        <f>Assumptions!K42*Assumptions!K34/1000000</f>
        <v>0</v>
      </c>
      <c r="L11" s="88">
        <f t="shared" si="18"/>
        <v>0</v>
      </c>
      <c r="M11" s="36">
        <v>67.513999999999996</v>
      </c>
      <c r="N11" s="88">
        <f>Assumptions!N42*Assumptions!N34/1000000</f>
        <v>0</v>
      </c>
      <c r="O11" s="88">
        <v>69.331000000000003</v>
      </c>
      <c r="P11" s="88">
        <f>Assumptions!P42*Assumptions!P34/1000000</f>
        <v>0</v>
      </c>
      <c r="Q11" s="88">
        <f>Assumptions!Q42*Assumptions!Q34/1000000</f>
        <v>0</v>
      </c>
      <c r="R11" s="36">
        <v>305.19099999999997</v>
      </c>
      <c r="S11" s="74"/>
      <c r="T11" s="74"/>
      <c r="U11" s="74"/>
      <c r="V11" s="74"/>
      <c r="W11" s="36">
        <v>641.351</v>
      </c>
      <c r="X11" s="74" t="e">
        <f>+Assumptions!#REF!</f>
        <v>#REF!</v>
      </c>
      <c r="Y11" s="74" t="e">
        <f>+Assumptions!#REF!</f>
        <v>#REF!</v>
      </c>
      <c r="Z11" s="74" t="e">
        <f>+Assumptions!#REF!</f>
        <v>#REF!</v>
      </c>
      <c r="AA11" s="74" t="e">
        <f>+AB11-Z11-Y11-X11</f>
        <v>#REF!</v>
      </c>
      <c r="AB11" s="36">
        <v>607.81700000000001</v>
      </c>
      <c r="AC11" s="74" t="e">
        <f>+Assumptions!#REF!</f>
        <v>#REF!</v>
      </c>
      <c r="AD11" s="74" t="e">
        <f>+Assumptions!#REF!</f>
        <v>#REF!</v>
      </c>
      <c r="AE11" s="74" t="e">
        <f>+Assumptions!#REF!</f>
        <v>#REF!</v>
      </c>
      <c r="AF11" s="74" t="e">
        <f>+Assumptions!#REF!</f>
        <v>#REF!</v>
      </c>
      <c r="AG11" s="36">
        <v>511.82600000000002</v>
      </c>
      <c r="AH11" s="74" t="e">
        <f>+Assumptions!#REF!+0.15305</f>
        <v>#REF!</v>
      </c>
      <c r="AI11" s="74" t="e">
        <f>+Assumptions!#REF!</f>
        <v>#REF!</v>
      </c>
      <c r="AJ11" s="74" t="e">
        <f>+Assumptions!#REF!</f>
        <v>#REF!</v>
      </c>
      <c r="AK11" s="74" t="e">
        <f>+Assumptions!#REF!</f>
        <v>#REF!</v>
      </c>
      <c r="AL11" s="36">
        <v>2741.1109999999999</v>
      </c>
      <c r="AM11" s="74" t="e">
        <f>+Assumptions!#REF!</f>
        <v>#REF!</v>
      </c>
      <c r="AN11" s="74" t="e">
        <f>+Assumptions!#REF!</f>
        <v>#REF!</v>
      </c>
      <c r="AO11" s="74">
        <f>Assumptions!AO42*Assumptions!AO34/$A$1</f>
        <v>0</v>
      </c>
      <c r="AP11" s="74">
        <f>Assumptions!AP42*Assumptions!AP34/$A$1</f>
        <v>0</v>
      </c>
      <c r="AQ11" s="36">
        <v>5801.9939999999997</v>
      </c>
      <c r="AR11" s="11">
        <f>Assumptions!AS42*Assumptions!AS34/$A$1</f>
        <v>0</v>
      </c>
      <c r="AS11" s="32"/>
      <c r="AT11" s="11"/>
      <c r="AU11" s="11">
        <v>3698.6759999999999</v>
      </c>
      <c r="AV11" s="622">
        <f>Assumptions!AU42*Assumptions!AU34/$A$1</f>
        <v>0</v>
      </c>
      <c r="AW11" s="622">
        <f>Assumptions!AV42*Assumptions!AV34/$A$1</f>
        <v>0</v>
      </c>
      <c r="AX11" s="622">
        <f>Assumptions!AW42*Assumptions!AW34/$A$1</f>
        <v>0</v>
      </c>
      <c r="AY11" s="622">
        <f>Assumptions!AX42*Assumptions!AX34/$A$1</f>
        <v>0</v>
      </c>
      <c r="AZ11" s="93">
        <v>6486.701</v>
      </c>
      <c r="BA11" s="622">
        <f>Assumptions!AZ42*Assumptions!AZ34/$A$1</f>
        <v>0</v>
      </c>
      <c r="BB11" s="622">
        <f>Assumptions!BA42*Assumptions!BA34/$A$1</f>
        <v>0</v>
      </c>
      <c r="BC11" s="636">
        <f>Assumptions!BB42*Assumptions!BB34/$A$1</f>
        <v>0</v>
      </c>
      <c r="BD11" s="622">
        <f>Assumptions!BC42*Assumptions!BC34/$A$1</f>
        <v>0</v>
      </c>
      <c r="BE11" s="93">
        <v>7146.5230000000001</v>
      </c>
      <c r="BF11" s="622">
        <f>Assumptions!BE45*Assumptions!BE34/$A$1</f>
        <v>2095.87581</v>
      </c>
      <c r="BG11" s="622">
        <f>Assumptions!BF45*Assumptions!BF34/$A$1</f>
        <v>1268.1811476800001</v>
      </c>
      <c r="BH11" s="622">
        <f>Assumptions!BG45*Assumptions!BG34/$A$1</f>
        <v>1576.8831604288</v>
      </c>
      <c r="BI11" s="622">
        <f>Assumptions!BH45*Assumptions!BH34/$A$1</f>
        <v>1966.171108</v>
      </c>
      <c r="BJ11" s="93">
        <v>6866.192</v>
      </c>
      <c r="BK11" s="622">
        <f>Assumptions!BJ45*Assumptions!BJ34/$A$1</f>
        <v>1889.5346924999999</v>
      </c>
      <c r="BL11" s="622">
        <f>Assumptions!BK45*Assumptions!BK34/$A$1</f>
        <v>1581.4995960000001</v>
      </c>
      <c r="BM11" s="622">
        <f>Assumptions!BL45*Assumptions!BL34/$A$1</f>
        <v>2273.2574188799999</v>
      </c>
      <c r="BN11" s="622">
        <f>Assumptions!BM45*Assumptions!BM34/$A$1</f>
        <v>1287.1507976</v>
      </c>
      <c r="BO11" s="622"/>
      <c r="BP11" s="93">
        <v>6048.5079999999998</v>
      </c>
      <c r="BQ11" s="622">
        <f>Assumptions!BO45*Assumptions!BO34/$A$1</f>
        <v>1448.73966</v>
      </c>
      <c r="BR11" s="622"/>
      <c r="BS11" s="622">
        <f>Assumptions!BQ45*Assumptions!BQ34/$A$1</f>
        <v>1381.04889</v>
      </c>
      <c r="BT11" s="93"/>
      <c r="BU11" s="93">
        <f>Assumptions!BR45*Assumptions!BR34/$A$1</f>
        <v>7343.7056788095006</v>
      </c>
      <c r="BV11" s="93">
        <f>Assumptions!BS45*Assumptions!BS34/$A$1</f>
        <v>7865.1087820049752</v>
      </c>
      <c r="BW11" s="93">
        <f>Assumptions!BT45*Assumptions!BT34/$A$1</f>
        <v>8340.947863316278</v>
      </c>
      <c r="BX11" s="93">
        <f>Assumptions!BU45*Assumptions!BU34/$A$1</f>
        <v>8757.9952564820924</v>
      </c>
      <c r="BY11" s="93">
        <f>Assumptions!BV45*Assumptions!BV34/$A$1</f>
        <v>9195.8950193061955</v>
      </c>
      <c r="BZ11" s="93">
        <f>Assumptions!BW45*Assumptions!BW34/$A$1</f>
        <v>9655.689770271505</v>
      </c>
      <c r="CA11" s="93">
        <f>Assumptions!BX45*Assumptions!BX34/$A$1</f>
        <v>10138.474258785081</v>
      </c>
      <c r="CB11" s="93">
        <f>Assumptions!BY45*Assumptions!BY34/$A$1</f>
        <v>10645.397971724335</v>
      </c>
      <c r="CC11" s="93">
        <f>Assumptions!BZ45*Assumptions!BZ34/$A$1</f>
        <v>11177.667870310552</v>
      </c>
      <c r="CD11" s="93">
        <f>Assumptions!CA45*Assumptions!CA34/$A$1</f>
        <v>11736.551263826081</v>
      </c>
      <c r="CE11" s="93">
        <f>Assumptions!CB45*Assumptions!CB34/$A$1</f>
        <v>12323.378827017386</v>
      </c>
      <c r="CF11" s="269"/>
      <c r="CG11" s="593"/>
      <c r="CH11" s="269"/>
      <c r="CI11" s="269"/>
      <c r="CJ11" s="594"/>
      <c r="CK11" s="594"/>
      <c r="CL11" s="594"/>
      <c r="CM11" s="269"/>
      <c r="CN11" s="269"/>
      <c r="CO11" s="269"/>
      <c r="CP11" s="269"/>
      <c r="CQ11" s="269"/>
      <c r="CR11" s="269"/>
      <c r="CS11" s="269"/>
      <c r="CT11" s="269"/>
      <c r="CU11" s="269"/>
      <c r="CV11" s="269"/>
      <c r="CW11" s="269"/>
      <c r="CX11" s="269"/>
      <c r="CY11" s="269"/>
      <c r="CZ11" s="269"/>
      <c r="DA11" s="269"/>
      <c r="DB11" s="269"/>
      <c r="DC11" s="269"/>
      <c r="DD11" s="269"/>
    </row>
    <row r="12" spans="1:277" s="2" customFormat="1">
      <c r="A12" s="2" t="s">
        <v>164</v>
      </c>
      <c r="C12" s="100">
        <f>C6-C9-C7-C10</f>
        <v>1347.5940000000001</v>
      </c>
      <c r="D12" s="100">
        <f>D6-D9-D7-D10</f>
        <v>1238.9830000000002</v>
      </c>
      <c r="E12" s="100">
        <f>E6-E9-E7-E10</f>
        <v>2259.8139999999994</v>
      </c>
      <c r="F12" s="100">
        <f>F6-F9-F7-F10</f>
        <v>2943.0140000000001</v>
      </c>
      <c r="G12" s="101">
        <f>G6-G9-G7-G10</f>
        <v>2551.8319999999999</v>
      </c>
      <c r="H12" s="102">
        <f>H6-H9-H7-H10+H11</f>
        <v>2718.6539999999995</v>
      </c>
      <c r="I12" s="103">
        <v>1587.2639999999999</v>
      </c>
      <c r="J12" s="103">
        <v>732.61699999999996</v>
      </c>
      <c r="K12" s="103">
        <f>+(Assumptions!K59*Assumptions!K33)/1000000+IS!K11</f>
        <v>0</v>
      </c>
      <c r="L12" s="103">
        <f t="shared" si="18"/>
        <v>2319.8809999999999</v>
      </c>
      <c r="M12" s="104">
        <f>+M6+M11-M7-M9-M10</f>
        <v>2992.0060000000008</v>
      </c>
      <c r="N12" s="105">
        <f>+Assumptions!N59*Assumptions!N33/1000000+IS!N11</f>
        <v>905.62700000000007</v>
      </c>
      <c r="O12" s="106">
        <f>+Assumptions!O59*Assumptions!O33/1000000+IS!O11</f>
        <v>861.80899999999986</v>
      </c>
      <c r="P12" s="107">
        <v>962.798</v>
      </c>
      <c r="Q12" s="38">
        <f>+R12-P12-O12-N12</f>
        <v>1152.5219999999999</v>
      </c>
      <c r="R12" s="104">
        <v>3882.7559999999999</v>
      </c>
      <c r="S12" s="38"/>
      <c r="T12" s="38"/>
      <c r="U12" s="38"/>
      <c r="V12" s="80"/>
      <c r="W12" s="104">
        <v>5279.56</v>
      </c>
      <c r="X12" s="38">
        <v>1840.047</v>
      </c>
      <c r="Y12" s="38">
        <v>1846.509</v>
      </c>
      <c r="Z12" s="38">
        <v>1894.0340000000001</v>
      </c>
      <c r="AA12" s="80">
        <f>+AB12-Z12-Y12-X12</f>
        <v>2375.0749999999994</v>
      </c>
      <c r="AB12" s="104">
        <v>7955.665</v>
      </c>
      <c r="AC12" s="106">
        <v>1849.9770000000001</v>
      </c>
      <c r="AD12" s="38">
        <v>1397.53</v>
      </c>
      <c r="AE12" s="38">
        <v>1553.636</v>
      </c>
      <c r="AF12" s="38">
        <f>+AG12-AE12-AD12-AC12</f>
        <v>1618.4819999999997</v>
      </c>
      <c r="AG12" s="104">
        <v>6419.625</v>
      </c>
      <c r="AH12" s="105">
        <v>2233.183</v>
      </c>
      <c r="AI12" s="105">
        <v>2589.5259999999998</v>
      </c>
      <c r="AJ12" s="105">
        <v>3514.9090000000001</v>
      </c>
      <c r="AK12" s="38">
        <f>AL12-SUM(AH12:AJ12)</f>
        <v>4108.3779999999988</v>
      </c>
      <c r="AL12" s="104">
        <f>+AL6-AL9-AL7-AL10+AL11</f>
        <v>12445.995999999999</v>
      </c>
      <c r="AM12" s="38">
        <v>4337.4319999999998</v>
      </c>
      <c r="AN12" s="38">
        <v>4314.96</v>
      </c>
      <c r="AO12" s="38">
        <v>4514.0529999999999</v>
      </c>
      <c r="AP12" s="38">
        <f>+AP6-AP9-AP7-AP10+AP11</f>
        <v>2540.0847728635231</v>
      </c>
      <c r="AQ12" s="104">
        <f>+AQ6-AQ9-AQ7-AQ10+AQ11</f>
        <v>18038.2135906</v>
      </c>
      <c r="AR12" s="104">
        <v>4592.1030000000001</v>
      </c>
      <c r="AS12" s="104">
        <v>3366</v>
      </c>
      <c r="AT12" s="104">
        <v>3893</v>
      </c>
      <c r="AU12" s="104">
        <f>+AU6-AU9-AU7-AU10+AU11</f>
        <v>16865.385179000001</v>
      </c>
      <c r="AV12" s="624">
        <v>3527.9229999999998</v>
      </c>
      <c r="AW12" s="624">
        <v>4646.74</v>
      </c>
      <c r="AX12" s="624">
        <v>4903.5510000000004</v>
      </c>
      <c r="AY12" s="624">
        <f>AZ12-SUM(AV12:AX12)</f>
        <v>5498.9840000000004</v>
      </c>
      <c r="AZ12" s="108">
        <f>AZ6-AZ7-AZ9-AZ10+AZ11</f>
        <v>18577.198</v>
      </c>
      <c r="BA12" s="624">
        <v>5088.0129999999999</v>
      </c>
      <c r="BB12" s="624">
        <v>5613.3959999999997</v>
      </c>
      <c r="BC12" s="802">
        <v>6002.7160000000003</v>
      </c>
      <c r="BD12" s="624">
        <f>BE12-SUM(BA12:BC12)</f>
        <v>6245.7279999999992</v>
      </c>
      <c r="BE12" s="108">
        <f>BE6-BE7-BE9-BE10+BE11</f>
        <v>22949.852999999999</v>
      </c>
      <c r="BF12" s="624">
        <v>5874.0379999999996</v>
      </c>
      <c r="BG12" s="624">
        <v>5951.7830000000004</v>
      </c>
      <c r="BH12" s="624">
        <v>6306.1719999999996</v>
      </c>
      <c r="BI12" s="624">
        <f>+BI6-BI9-BI7-BI10+BI11</f>
        <v>6934.0850200000004</v>
      </c>
      <c r="BJ12" s="108">
        <f>+BJ6-BJ9-BJ7-BJ10+BJ11</f>
        <v>24915.923999999999</v>
      </c>
      <c r="BK12" s="624">
        <v>5854.0730000000003</v>
      </c>
      <c r="BL12" s="624">
        <v>6549.15</v>
      </c>
      <c r="BM12" s="624">
        <v>7202.8729999999996</v>
      </c>
      <c r="BN12" s="624">
        <f>+BN6-BN9-BN7-BN10+BN11</f>
        <v>7587.2498501999335</v>
      </c>
      <c r="BO12" s="624">
        <f>BP12-BK12-BL12-BM12</f>
        <v>6936.4129999999986</v>
      </c>
      <c r="BP12" s="108">
        <f>BP6-BP7-BP9-BP10+BP11</f>
        <v>26542.508999999998</v>
      </c>
      <c r="BQ12" s="624">
        <f>+BQ6-BQ9-BQ7-BQ10+BQ11</f>
        <v>6205.6794986118566</v>
      </c>
      <c r="BR12" s="624">
        <v>5811.5450000000001</v>
      </c>
      <c r="BS12" s="624">
        <f>+BS6-BS9-BS7-BS10+BS11</f>
        <v>6962.0418453868006</v>
      </c>
      <c r="BT12" s="108"/>
      <c r="BU12" s="108">
        <f t="shared" ref="BU12:CE12" si="19">+BU6-BU9-BU7-BU10+BU11</f>
        <v>29147.959516165181</v>
      </c>
      <c r="BV12" s="108">
        <f t="shared" si="19"/>
        <v>31263.168505483023</v>
      </c>
      <c r="BW12" s="108">
        <f t="shared" si="19"/>
        <v>32715.756246968449</v>
      </c>
      <c r="BX12" s="108">
        <f t="shared" si="19"/>
        <v>34148.074500547635</v>
      </c>
      <c r="BY12" s="108">
        <f t="shared" si="19"/>
        <v>35641.275347263887</v>
      </c>
      <c r="BZ12" s="108">
        <f t="shared" si="19"/>
        <v>37197.967777883001</v>
      </c>
      <c r="CA12" s="108">
        <f t="shared" si="19"/>
        <v>38820.873478786853</v>
      </c>
      <c r="CB12" s="108">
        <f t="shared" si="19"/>
        <v>40512.831735695334</v>
      </c>
      <c r="CC12" s="108">
        <f t="shared" si="19"/>
        <v>42276.804552077898</v>
      </c>
      <c r="CD12" s="108">
        <f t="shared" si="19"/>
        <v>44115.88199169407</v>
      </c>
      <c r="CE12" s="108">
        <f t="shared" si="19"/>
        <v>46033.287755118043</v>
      </c>
      <c r="CF12" s="741"/>
      <c r="CG12" s="593"/>
      <c r="CH12" s="741"/>
      <c r="CI12" s="588"/>
      <c r="CJ12" s="745"/>
      <c r="CK12" s="745"/>
      <c r="CL12" s="745"/>
      <c r="CM12" s="745"/>
      <c r="CN12" s="588"/>
      <c r="CO12" s="588"/>
      <c r="CP12" s="588"/>
      <c r="CQ12" s="588"/>
      <c r="CR12" s="588"/>
      <c r="CS12" s="588"/>
      <c r="CT12" s="588"/>
      <c r="CU12" s="588"/>
      <c r="CV12" s="588"/>
      <c r="CW12" s="588"/>
      <c r="CX12" s="588"/>
      <c r="CY12" s="588"/>
      <c r="CZ12" s="588"/>
      <c r="DA12" s="588"/>
      <c r="DB12" s="588"/>
      <c r="DC12" s="588"/>
      <c r="DD12" s="588"/>
    </row>
    <row r="13" spans="1:277" s="115" customFormat="1" ht="15">
      <c r="A13" s="1" t="s">
        <v>165</v>
      </c>
      <c r="B13" s="1"/>
      <c r="C13" s="109">
        <f>Assumptions!C140</f>
        <v>1072.9019999999996</v>
      </c>
      <c r="D13" s="109">
        <f>Assumptions!D140</f>
        <v>1097.8720000000001</v>
      </c>
      <c r="E13" s="109">
        <f>Assumptions!E140</f>
        <v>2317.4339999999993</v>
      </c>
      <c r="F13" s="36">
        <f>Assumptions!F140</f>
        <v>2494.2529999999997</v>
      </c>
      <c r="G13" s="110">
        <f>Assumptions!G140</f>
        <v>2526.9340000000002</v>
      </c>
      <c r="H13" s="109">
        <v>1947.7950000000001</v>
      </c>
      <c r="I13" s="111">
        <f>Assumptions!I140</f>
        <v>1214.546</v>
      </c>
      <c r="J13" s="111">
        <f>Assumptions!J140</f>
        <v>606.06899999999985</v>
      </c>
      <c r="K13" s="111">
        <f>Assumptions!K140</f>
        <v>493.71500000000015</v>
      </c>
      <c r="L13" s="88">
        <f t="shared" si="18"/>
        <v>2314.33</v>
      </c>
      <c r="M13" s="109">
        <f>+L13</f>
        <v>2314.33</v>
      </c>
      <c r="N13" s="111">
        <v>567.02200000000005</v>
      </c>
      <c r="O13" s="111">
        <f>Assumptions!O140</f>
        <v>544.09500000000003</v>
      </c>
      <c r="P13" s="111">
        <v>616.58199999999999</v>
      </c>
      <c r="Q13" s="111">
        <f>+R13-P13-O13-N13</f>
        <v>769.56300000000022</v>
      </c>
      <c r="R13" s="109">
        <v>2497.2620000000002</v>
      </c>
      <c r="S13" s="111"/>
      <c r="T13" s="111"/>
      <c r="U13" s="111"/>
      <c r="V13" s="111"/>
      <c r="W13" s="109">
        <v>3330.7689999999998</v>
      </c>
      <c r="X13" s="111">
        <v>976.07799999999997</v>
      </c>
      <c r="Y13" s="111">
        <v>888.84900000000005</v>
      </c>
      <c r="Z13" s="111">
        <v>977.06299999999999</v>
      </c>
      <c r="AA13" s="111">
        <f>+AB13-Z13-Y13-X13</f>
        <v>1150.8319999999999</v>
      </c>
      <c r="AB13" s="109">
        <v>3992.8220000000001</v>
      </c>
      <c r="AC13" s="111">
        <v>1031.9590000000001</v>
      </c>
      <c r="AD13" s="111">
        <v>1027.3689999999999</v>
      </c>
      <c r="AE13" s="111">
        <v>1091.47</v>
      </c>
      <c r="AF13" s="111">
        <f>+AG13-AE13-AD13-AC13</f>
        <v>1236.8420000000003</v>
      </c>
      <c r="AG13" s="109">
        <v>4387.6400000000003</v>
      </c>
      <c r="AH13" s="111">
        <v>1859.52</v>
      </c>
      <c r="AI13" s="111">
        <v>2202.2539999999999</v>
      </c>
      <c r="AJ13" s="111">
        <v>3198.3829999999998</v>
      </c>
      <c r="AK13" s="38">
        <f>AL13-SUM(AH13:AJ13)</f>
        <v>3270.5660000000007</v>
      </c>
      <c r="AL13" s="109">
        <f>Assumptions!AL140</f>
        <v>10530.723</v>
      </c>
      <c r="AM13" s="111">
        <v>3037.3220000000001</v>
      </c>
      <c r="AN13" s="112">
        <v>3021.5050000000001</v>
      </c>
      <c r="AO13" s="112">
        <f>Assumptions!AO140</f>
        <v>3374.3980000000001</v>
      </c>
      <c r="AP13" s="112">
        <f>Assumptions!AP140</f>
        <v>3399.583073705161</v>
      </c>
      <c r="AQ13" s="109">
        <f>Assumptions!AQ140</f>
        <v>12358.479000000001</v>
      </c>
      <c r="AR13" s="113">
        <v>3275.0619999999999</v>
      </c>
      <c r="AS13" s="113">
        <v>2978</v>
      </c>
      <c r="AT13" s="113">
        <v>3485.52</v>
      </c>
      <c r="AU13" s="109">
        <f>Assumptions!AT140</f>
        <v>13569.993999999999</v>
      </c>
      <c r="AV13" s="625">
        <v>2849.4839999999999</v>
      </c>
      <c r="AW13" s="627">
        <f>Assumptions!AV140</f>
        <v>3639.1019999999994</v>
      </c>
      <c r="AX13" s="627">
        <f>Assumptions!AW140</f>
        <v>3642.8800000000006</v>
      </c>
      <c r="AY13" s="624">
        <f>AZ13-SUM(AV13:AX13)</f>
        <v>4060.762999999999</v>
      </c>
      <c r="AZ13" s="114">
        <v>14192.228999999999</v>
      </c>
      <c r="BA13" s="627">
        <v>3556.8159999999998</v>
      </c>
      <c r="BB13" s="627">
        <v>3667.7190000000001</v>
      </c>
      <c r="BC13" s="625">
        <v>3967.433</v>
      </c>
      <c r="BD13" s="627">
        <f>BE13-SUM(BA13:BC13)</f>
        <v>4251.1299999999992</v>
      </c>
      <c r="BE13" s="93">
        <v>15443.098</v>
      </c>
      <c r="BF13" s="627">
        <v>3661.1579999999999</v>
      </c>
      <c r="BG13" s="627">
        <f>Assumptions!BF140</f>
        <v>3548.0630000000001</v>
      </c>
      <c r="BH13" s="627">
        <f>Assumptions!BG140</f>
        <v>4095.6620000000003</v>
      </c>
      <c r="BI13" s="627">
        <f>Assumptions!BH140</f>
        <v>4539.0000000000018</v>
      </c>
      <c r="BJ13" s="114">
        <f>Assumptions!BI140</f>
        <v>15589.917000000001</v>
      </c>
      <c r="BK13" s="627">
        <f>Assumptions!BJ140</f>
        <v>3859.4029999999998</v>
      </c>
      <c r="BL13" s="627">
        <f>Assumptions!BK140</f>
        <v>4338.6510000000007</v>
      </c>
      <c r="BM13" s="627">
        <v>5035.2449999999999</v>
      </c>
      <c r="BN13" s="627">
        <f>Assumptions!BM140</f>
        <v>4274.7686952294316</v>
      </c>
      <c r="BO13" s="627">
        <f>BP13-BK13-BL13-BM13</f>
        <v>4051.6419999999989</v>
      </c>
      <c r="BP13" s="114">
        <f>Assumptions!BN140</f>
        <v>17284.940999999999</v>
      </c>
      <c r="BQ13" s="627">
        <f>Assumptions!BO140</f>
        <v>3948.6490910517364</v>
      </c>
      <c r="BR13" s="627">
        <v>3985.511</v>
      </c>
      <c r="BS13" s="627">
        <f>Assumptions!BQ140</f>
        <v>4274.638888172959</v>
      </c>
      <c r="BT13" s="93"/>
      <c r="BU13" s="114">
        <f>Assumptions!BR140</f>
        <v>17805.063261011779</v>
      </c>
      <c r="BV13" s="114">
        <f>Assumptions!BS140</f>
        <v>18950.035714977766</v>
      </c>
      <c r="BW13" s="114">
        <f>Assumptions!BT140</f>
        <v>20073.367629784214</v>
      </c>
      <c r="BX13" s="114">
        <f>Assumptions!BU140</f>
        <v>21289.484385163945</v>
      </c>
      <c r="BY13" s="114">
        <f>Assumptions!BV140</f>
        <v>22611.792681737072</v>
      </c>
      <c r="BZ13" s="114">
        <f>Assumptions!BW140</f>
        <v>23916.446167300212</v>
      </c>
      <c r="CA13" s="114">
        <f>Assumptions!BX140</f>
        <v>25244.869052711347</v>
      </c>
      <c r="CB13" s="114">
        <f>Assumptions!BY140</f>
        <v>26584.474255108609</v>
      </c>
      <c r="CC13" s="114">
        <f>Assumptions!BZ140</f>
        <v>27921.575078084439</v>
      </c>
      <c r="CD13" s="114">
        <f>Assumptions!CA140</f>
        <v>29242.309531932893</v>
      </c>
      <c r="CE13" s="114">
        <f>Assumptions!CB140</f>
        <v>28398.099624248811</v>
      </c>
      <c r="CF13" s="741"/>
      <c r="CG13" s="746"/>
      <c r="CH13" s="741"/>
      <c r="CI13" s="747"/>
      <c r="CJ13" s="748"/>
      <c r="CK13" s="748"/>
      <c r="CL13" s="748"/>
      <c r="CM13" s="745"/>
      <c r="CN13" s="747"/>
      <c r="CO13" s="747"/>
      <c r="CP13" s="747"/>
      <c r="CQ13" s="747"/>
      <c r="CR13" s="747"/>
      <c r="CS13" s="747"/>
      <c r="CT13" s="747"/>
      <c r="CU13" s="747"/>
      <c r="CV13" s="747"/>
      <c r="CW13" s="747"/>
      <c r="CX13" s="747"/>
      <c r="CY13" s="747"/>
      <c r="CZ13" s="747"/>
      <c r="DA13" s="747"/>
      <c r="DB13" s="747"/>
      <c r="DC13" s="747"/>
      <c r="DD13" s="747"/>
    </row>
    <row r="14" spans="1:277" s="2" customFormat="1">
      <c r="A14" s="2" t="s">
        <v>11</v>
      </c>
      <c r="C14" s="100">
        <f t="shared" ref="C14:H14" si="20">C12-C13</f>
        <v>274.69200000000046</v>
      </c>
      <c r="D14" s="100">
        <f t="shared" si="20"/>
        <v>141.1110000000001</v>
      </c>
      <c r="E14" s="100">
        <f t="shared" si="20"/>
        <v>-57.619999999999891</v>
      </c>
      <c r="F14" s="100">
        <f t="shared" si="20"/>
        <v>448.76100000000042</v>
      </c>
      <c r="G14" s="101">
        <f>G12-G13</f>
        <v>24.897999999999683</v>
      </c>
      <c r="H14" s="100">
        <f t="shared" si="20"/>
        <v>770.85899999999947</v>
      </c>
      <c r="I14" s="39">
        <f>I12-I13</f>
        <v>372.71799999999985</v>
      </c>
      <c r="J14" s="39">
        <f>J12-J13</f>
        <v>126.54800000000012</v>
      </c>
      <c r="K14" s="39">
        <f>K12-K13</f>
        <v>-493.71500000000015</v>
      </c>
      <c r="L14" s="39">
        <f t="shared" si="18"/>
        <v>5.5509999999998172</v>
      </c>
      <c r="M14" s="100">
        <f t="shared" ref="M14:R14" si="21">M12-M13</f>
        <v>677.67600000000084</v>
      </c>
      <c r="N14" s="39">
        <f t="shared" si="21"/>
        <v>338.60500000000002</v>
      </c>
      <c r="O14" s="39">
        <f t="shared" si="21"/>
        <v>317.71399999999983</v>
      </c>
      <c r="P14" s="39">
        <f t="shared" si="21"/>
        <v>346.21600000000001</v>
      </c>
      <c r="Q14" s="39">
        <f t="shared" si="21"/>
        <v>382.95899999999972</v>
      </c>
      <c r="R14" s="100">
        <f t="shared" si="21"/>
        <v>1385.4939999999997</v>
      </c>
      <c r="S14" s="39"/>
      <c r="T14" s="39"/>
      <c r="U14" s="39"/>
      <c r="V14" s="39"/>
      <c r="W14" s="100">
        <f t="shared" ref="W14:BS14" si="22">W12-W13</f>
        <v>1948.7910000000006</v>
      </c>
      <c r="X14" s="39">
        <f t="shared" si="22"/>
        <v>863.96900000000005</v>
      </c>
      <c r="Y14" s="39">
        <f t="shared" si="22"/>
        <v>957.66</v>
      </c>
      <c r="Z14" s="39">
        <f t="shared" si="22"/>
        <v>916.97100000000012</v>
      </c>
      <c r="AA14" s="39">
        <f t="shared" si="22"/>
        <v>1224.2429999999995</v>
      </c>
      <c r="AB14" s="100">
        <f t="shared" si="22"/>
        <v>3962.8429999999998</v>
      </c>
      <c r="AC14" s="39">
        <f t="shared" si="22"/>
        <v>818.01800000000003</v>
      </c>
      <c r="AD14" s="39">
        <f t="shared" si="22"/>
        <v>370.16100000000006</v>
      </c>
      <c r="AE14" s="39">
        <f t="shared" si="22"/>
        <v>462.16599999999994</v>
      </c>
      <c r="AF14" s="39">
        <f t="shared" si="22"/>
        <v>381.63999999999942</v>
      </c>
      <c r="AG14" s="100">
        <f t="shared" si="22"/>
        <v>2031.9849999999997</v>
      </c>
      <c r="AH14" s="39">
        <f t="shared" si="22"/>
        <v>373.66300000000001</v>
      </c>
      <c r="AI14" s="39">
        <f t="shared" si="22"/>
        <v>387.27199999999993</v>
      </c>
      <c r="AJ14" s="39">
        <f t="shared" si="22"/>
        <v>316.52600000000029</v>
      </c>
      <c r="AK14" s="39">
        <f t="shared" si="22"/>
        <v>837.81199999999808</v>
      </c>
      <c r="AL14" s="100">
        <f t="shared" si="22"/>
        <v>1915.2729999999992</v>
      </c>
      <c r="AM14" s="39">
        <f t="shared" si="22"/>
        <v>1300.1099999999997</v>
      </c>
      <c r="AN14" s="39">
        <f t="shared" si="22"/>
        <v>1293.4549999999999</v>
      </c>
      <c r="AO14" s="39">
        <f t="shared" si="22"/>
        <v>1139.6549999999997</v>
      </c>
      <c r="AP14" s="39">
        <f t="shared" si="22"/>
        <v>-859.49830084163796</v>
      </c>
      <c r="AQ14" s="100">
        <f t="shared" si="22"/>
        <v>5679.7345905999991</v>
      </c>
      <c r="AR14" s="18">
        <f>AR12-AR13</f>
        <v>1317.0410000000002</v>
      </c>
      <c r="AS14" s="18">
        <f>AS12-AS13</f>
        <v>388</v>
      </c>
      <c r="AT14" s="18">
        <f>AT12-AT13</f>
        <v>407.48</v>
      </c>
      <c r="AU14" s="18">
        <f t="shared" si="22"/>
        <v>3295.391179000002</v>
      </c>
      <c r="AV14" s="626">
        <f>+AV12-AV13</f>
        <v>678.43899999999985</v>
      </c>
      <c r="AW14" s="626">
        <f>AW12-AW13</f>
        <v>1007.6380000000004</v>
      </c>
      <c r="AX14" s="626">
        <f>AX12-AX13</f>
        <v>1260.6709999999998</v>
      </c>
      <c r="AY14" s="626">
        <f>AY12-AY13</f>
        <v>1438.2210000000014</v>
      </c>
      <c r="AZ14" s="116">
        <f t="shared" si="22"/>
        <v>4384.969000000001</v>
      </c>
      <c r="BA14" s="626">
        <f t="shared" si="22"/>
        <v>1531.1970000000001</v>
      </c>
      <c r="BB14" s="626">
        <f>BB12-BB13</f>
        <v>1945.6769999999997</v>
      </c>
      <c r="BC14" s="690">
        <f>BC12-BC13</f>
        <v>2035.2830000000004</v>
      </c>
      <c r="BD14" s="626">
        <f>BD12-BD13</f>
        <v>1994.598</v>
      </c>
      <c r="BE14" s="116">
        <f t="shared" si="22"/>
        <v>7506.7549999999992</v>
      </c>
      <c r="BF14" s="626">
        <f t="shared" si="22"/>
        <v>2212.8799999999997</v>
      </c>
      <c r="BG14" s="626">
        <f>BG12-BG13</f>
        <v>2403.7200000000003</v>
      </c>
      <c r="BH14" s="626">
        <f>BH12-BH13</f>
        <v>2210.5099999999993</v>
      </c>
      <c r="BI14" s="626">
        <f>BI12-BI13</f>
        <v>2395.0850199999986</v>
      </c>
      <c r="BJ14" s="116">
        <f t="shared" si="22"/>
        <v>9326.0069999999978</v>
      </c>
      <c r="BK14" s="626">
        <f>BK12-BK13</f>
        <v>1994.6700000000005</v>
      </c>
      <c r="BL14" s="626">
        <f>BL12-BL13</f>
        <v>2210.4989999999989</v>
      </c>
      <c r="BM14" s="626">
        <f>BM12-BM13</f>
        <v>2167.6279999999997</v>
      </c>
      <c r="BN14" s="626">
        <f>BN12-BN13</f>
        <v>3312.4811549705018</v>
      </c>
      <c r="BO14" s="626">
        <f>BO12-BO13</f>
        <v>2884.7709999999997</v>
      </c>
      <c r="BP14" s="116">
        <f t="shared" si="22"/>
        <v>9257.5679999999993</v>
      </c>
      <c r="BQ14" s="116">
        <f t="shared" si="22"/>
        <v>2257.0304075601202</v>
      </c>
      <c r="BR14" s="116">
        <f t="shared" si="22"/>
        <v>1826.0340000000001</v>
      </c>
      <c r="BS14" s="116">
        <f t="shared" si="22"/>
        <v>2687.4029572138415</v>
      </c>
      <c r="BT14" s="116"/>
      <c r="BU14" s="116">
        <f t="shared" ref="BU14:CE14" si="23">BU12-BU13</f>
        <v>11342.896255153402</v>
      </c>
      <c r="BV14" s="116">
        <f t="shared" si="23"/>
        <v>12313.132790505257</v>
      </c>
      <c r="BW14" s="116">
        <f t="shared" si="23"/>
        <v>12642.388617184235</v>
      </c>
      <c r="BX14" s="116">
        <f t="shared" si="23"/>
        <v>12858.590115383689</v>
      </c>
      <c r="BY14" s="116">
        <f t="shared" si="23"/>
        <v>13029.482665526815</v>
      </c>
      <c r="BZ14" s="116">
        <f t="shared" si="23"/>
        <v>13281.521610582789</v>
      </c>
      <c r="CA14" s="116">
        <f t="shared" si="23"/>
        <v>13576.004426075506</v>
      </c>
      <c r="CB14" s="116">
        <f t="shared" si="23"/>
        <v>13928.357480586725</v>
      </c>
      <c r="CC14" s="116">
        <f t="shared" si="23"/>
        <v>14355.229473993459</v>
      </c>
      <c r="CD14" s="116">
        <f t="shared" si="23"/>
        <v>14873.572459761177</v>
      </c>
      <c r="CE14" s="116">
        <f t="shared" si="23"/>
        <v>17635.188130869232</v>
      </c>
      <c r="CF14" s="741"/>
      <c r="CG14" s="749"/>
      <c r="CH14" s="741"/>
      <c r="CI14" s="588"/>
      <c r="CJ14" s="745"/>
      <c r="CK14" s="745"/>
      <c r="CL14" s="745"/>
      <c r="CM14" s="745"/>
      <c r="CN14" s="588"/>
      <c r="CO14" s="588"/>
      <c r="CP14" s="588"/>
      <c r="CQ14" s="588"/>
      <c r="CR14" s="588"/>
      <c r="CS14" s="588"/>
      <c r="CT14" s="588"/>
      <c r="CU14" s="588"/>
      <c r="CV14" s="588"/>
      <c r="CW14" s="588"/>
      <c r="CX14" s="588"/>
      <c r="CY14" s="588"/>
      <c r="CZ14" s="588"/>
      <c r="DA14" s="588"/>
      <c r="DB14" s="588"/>
      <c r="DC14" s="588"/>
      <c r="DD14" s="588"/>
    </row>
    <row r="15" spans="1:277">
      <c r="A15" s="1" t="s">
        <v>166</v>
      </c>
      <c r="C15" s="109" t="e">
        <f>#REF!</f>
        <v>#REF!</v>
      </c>
      <c r="D15" s="109" t="e">
        <f>#REF!</f>
        <v>#REF!</v>
      </c>
      <c r="E15" s="109" t="e">
        <f>#REF!</f>
        <v>#REF!</v>
      </c>
      <c r="F15" s="36">
        <v>35.220999999999997</v>
      </c>
      <c r="G15" s="110">
        <v>38.173000000000002</v>
      </c>
      <c r="H15" s="109">
        <v>40.593000000000004</v>
      </c>
      <c r="I15" s="111">
        <v>26.509</v>
      </c>
      <c r="J15" s="111">
        <v>14.865</v>
      </c>
      <c r="K15" s="111">
        <f>J15*(1+Assumptions!K$5)</f>
        <v>15.01365</v>
      </c>
      <c r="L15" s="88">
        <f t="shared" si="18"/>
        <v>56.387650000000001</v>
      </c>
      <c r="M15" s="109">
        <v>57.023000000000003</v>
      </c>
      <c r="N15" s="111">
        <v>14.241</v>
      </c>
      <c r="O15" s="111">
        <v>13.048</v>
      </c>
      <c r="P15" s="111">
        <v>14.507</v>
      </c>
      <c r="Q15" s="111">
        <f>+R15-P15-O15-N15</f>
        <v>26.848999999999997</v>
      </c>
      <c r="R15" s="109">
        <v>68.644999999999996</v>
      </c>
      <c r="S15" s="111"/>
      <c r="T15" s="111"/>
      <c r="U15" s="111"/>
      <c r="V15" s="111"/>
      <c r="W15" s="109">
        <v>76.48</v>
      </c>
      <c r="X15" s="111">
        <v>17.643999999999998</v>
      </c>
      <c r="Y15" s="111">
        <v>20.643999999999998</v>
      </c>
      <c r="Z15" s="111">
        <v>23.265999999999998</v>
      </c>
      <c r="AA15" s="111">
        <f>+AB15-Z15-Y15-X15</f>
        <v>60.399000000000008</v>
      </c>
      <c r="AB15" s="109">
        <v>121.953</v>
      </c>
      <c r="AC15" s="111">
        <v>21.315999999999999</v>
      </c>
      <c r="AD15" s="111">
        <v>28.893000000000001</v>
      </c>
      <c r="AE15" s="111">
        <v>23.242999999999999</v>
      </c>
      <c r="AF15" s="111">
        <f>+AG15-AE15-AD15-AC15</f>
        <v>30.717000000000002</v>
      </c>
      <c r="AG15" s="109">
        <v>104.169</v>
      </c>
      <c r="AH15" s="111">
        <v>24.992999999999999</v>
      </c>
      <c r="AI15" s="111">
        <v>27.712</v>
      </c>
      <c r="AJ15" s="111">
        <v>23.687000000000001</v>
      </c>
      <c r="AK15" s="38">
        <f t="shared" ref="AK15:AK31" si="24">AL15-SUM(AH15:AJ15)</f>
        <v>35.266000000000005</v>
      </c>
      <c r="AL15" s="109">
        <v>111.658</v>
      </c>
      <c r="AM15" s="111">
        <v>31.466999999999999</v>
      </c>
      <c r="AN15" s="111">
        <v>34.402999999999999</v>
      </c>
      <c r="AO15" s="111">
        <v>33.889000000000003</v>
      </c>
      <c r="AP15" s="111">
        <f>AVERAGE(AM15:AO15)</f>
        <v>33.253000000000007</v>
      </c>
      <c r="AQ15" s="109">
        <v>141.852</v>
      </c>
      <c r="AR15" s="113">
        <v>35.759</v>
      </c>
      <c r="AS15" s="113">
        <v>45.197000000000003</v>
      </c>
      <c r="AT15" s="113">
        <v>42.685000000000002</v>
      </c>
      <c r="AU15" s="113">
        <v>172.43600000000001</v>
      </c>
      <c r="AV15" s="627">
        <v>41.96</v>
      </c>
      <c r="AW15" s="627">
        <v>56.588000000000001</v>
      </c>
      <c r="AX15" s="627">
        <v>50.982999999999997</v>
      </c>
      <c r="AY15" s="624">
        <f>AZ15-SUM(AV15:AX15)</f>
        <v>61.830999999999989</v>
      </c>
      <c r="AZ15" s="114">
        <v>211.36199999999999</v>
      </c>
      <c r="BA15" s="627">
        <v>51.37</v>
      </c>
      <c r="BB15" s="627">
        <v>68.822999999999993</v>
      </c>
      <c r="BC15" s="625">
        <v>60.210999999999999</v>
      </c>
      <c r="BD15" s="627">
        <f>BE15-SUM(BA15:BC15)</f>
        <v>87.300999999999988</v>
      </c>
      <c r="BE15" s="93">
        <v>267.70499999999998</v>
      </c>
      <c r="BF15" s="636">
        <v>73.944000000000003</v>
      </c>
      <c r="BG15" s="636">
        <v>113.905</v>
      </c>
      <c r="BH15" s="636">
        <v>101.911</v>
      </c>
      <c r="BI15" s="636">
        <f>BJ15-SUM(BF15:BH15)</f>
        <v>115.81900000000002</v>
      </c>
      <c r="BJ15" s="114">
        <v>405.57900000000001</v>
      </c>
      <c r="BK15" s="636">
        <v>107.232</v>
      </c>
      <c r="BL15" s="636">
        <v>117.245</v>
      </c>
      <c r="BM15" s="636">
        <v>119.011</v>
      </c>
      <c r="BN15" s="636">
        <f t="shared" ref="BN15" si="25">BM15*1.025</f>
        <v>121.98627499999999</v>
      </c>
      <c r="BO15" s="627">
        <f t="shared" ref="BO15:BO19" si="26">BP15-BK15-BL15-BM15</f>
        <v>136.97999999999999</v>
      </c>
      <c r="BP15" s="93">
        <v>480.46800000000002</v>
      </c>
      <c r="BQ15" s="93">
        <f>BO15*1.05</f>
        <v>143.82900000000001</v>
      </c>
      <c r="BR15" s="93">
        <v>119.40300000000001</v>
      </c>
      <c r="BS15" s="93">
        <f>BR15*1.05</f>
        <v>125.37315000000001</v>
      </c>
      <c r="BT15" s="93"/>
      <c r="BU15" s="114">
        <f>+Assumptions!BR158</f>
        <v>527.63142372158006</v>
      </c>
      <c r="BV15" s="114">
        <f>+Assumptions!BS158</f>
        <v>565.92057840094992</v>
      </c>
      <c r="BW15" s="114">
        <f>+Assumptions!BT158</f>
        <v>592.21507554046366</v>
      </c>
      <c r="BX15" s="114">
        <f>+Assumptions!BU158</f>
        <v>618.14265784478482</v>
      </c>
      <c r="BY15" s="114">
        <f>+Assumptions!BV158</f>
        <v>645.17232653285282</v>
      </c>
      <c r="BZ15" s="114">
        <f>+Assumptions!BW158</f>
        <v>673.35130911338831</v>
      </c>
      <c r="CA15" s="114">
        <f>+Assumptions!BX158</f>
        <v>702.72887309205623</v>
      </c>
      <c r="CB15" s="114">
        <f>+Assumptions!BY158</f>
        <v>733.35641473781038</v>
      </c>
      <c r="CC15" s="114">
        <f>+Assumptions!BZ158</f>
        <v>765.28755173551087</v>
      </c>
      <c r="CD15" s="114">
        <f>+Assumptions!CA158</f>
        <v>798.57821989568754</v>
      </c>
      <c r="CE15" s="114">
        <f>+Assumptions!CB158</f>
        <v>833.28677409984323</v>
      </c>
      <c r="CF15" s="741"/>
      <c r="CG15" s="750"/>
      <c r="CH15" s="741"/>
      <c r="CI15" s="269"/>
      <c r="CJ15" s="594"/>
      <c r="CK15" s="594"/>
      <c r="CL15" s="594"/>
      <c r="CM15" s="745"/>
      <c r="CN15" s="269"/>
      <c r="CO15" s="269"/>
      <c r="CP15" s="269"/>
      <c r="CQ15" s="269"/>
      <c r="CR15" s="269"/>
      <c r="CS15" s="269"/>
      <c r="CT15" s="269"/>
      <c r="CU15" s="269"/>
      <c r="CV15" s="269"/>
      <c r="CW15" s="269"/>
      <c r="CX15" s="269"/>
      <c r="CY15" s="269"/>
      <c r="CZ15" s="269"/>
      <c r="DA15" s="269"/>
      <c r="DB15" s="269"/>
      <c r="DC15" s="269"/>
      <c r="DD15" s="269"/>
    </row>
    <row r="16" spans="1:277" s="115" customFormat="1" ht="15">
      <c r="A16" s="1" t="s">
        <v>167</v>
      </c>
      <c r="B16" s="1"/>
      <c r="C16" s="109" t="e">
        <f>#REF!</f>
        <v>#REF!</v>
      </c>
      <c r="D16" s="109" t="e">
        <f>#REF!</f>
        <v>#REF!</v>
      </c>
      <c r="E16" s="109" t="e">
        <f>#REF!</f>
        <v>#REF!</v>
      </c>
      <c r="F16" s="36">
        <v>71.631</v>
      </c>
      <c r="G16" s="110">
        <v>20.411000000000001</v>
      </c>
      <c r="H16" s="109">
        <v>22.597999999999999</v>
      </c>
      <c r="I16" s="111">
        <v>10.353</v>
      </c>
      <c r="J16" s="111">
        <v>4.6870000000000003</v>
      </c>
      <c r="K16" s="111">
        <f>J16*(1+Assumptions!K$5)</f>
        <v>4.7338700000000005</v>
      </c>
      <c r="L16" s="88">
        <f t="shared" si="18"/>
        <v>19.773869999999999</v>
      </c>
      <c r="M16" s="109">
        <v>21.622</v>
      </c>
      <c r="N16" s="111">
        <v>5.8730000000000002</v>
      </c>
      <c r="O16" s="111">
        <v>10.948</v>
      </c>
      <c r="P16" s="111">
        <v>8.4390000000000001</v>
      </c>
      <c r="Q16" s="111">
        <f>+R16-P16-O16-N16</f>
        <v>13.3</v>
      </c>
      <c r="R16" s="109">
        <v>38.56</v>
      </c>
      <c r="S16" s="111"/>
      <c r="T16" s="111"/>
      <c r="U16" s="111"/>
      <c r="V16" s="111"/>
      <c r="W16" s="109">
        <v>60.905000000000001</v>
      </c>
      <c r="X16" s="111">
        <v>7.335</v>
      </c>
      <c r="Y16" s="111">
        <v>7.23</v>
      </c>
      <c r="Z16" s="111">
        <v>8.1010000000000009</v>
      </c>
      <c r="AA16" s="111">
        <f>+AB16-Z16-Y16-X16</f>
        <v>11.685999999999996</v>
      </c>
      <c r="AB16" s="109">
        <v>34.351999999999997</v>
      </c>
      <c r="AC16" s="111">
        <v>14.010999999999999</v>
      </c>
      <c r="AD16" s="111">
        <v>10.712</v>
      </c>
      <c r="AE16" s="111">
        <v>13.792999999999999</v>
      </c>
      <c r="AF16" s="111">
        <f>+AG16-AE16-AD16-AC16</f>
        <v>26.606000000000005</v>
      </c>
      <c r="AG16" s="109">
        <v>65.122</v>
      </c>
      <c r="AH16" s="111">
        <v>46.167999999999999</v>
      </c>
      <c r="AI16" s="111">
        <v>72.980999999999995</v>
      </c>
      <c r="AJ16" s="111">
        <v>127.339</v>
      </c>
      <c r="AK16" s="38">
        <f t="shared" si="24"/>
        <v>314.97700000000003</v>
      </c>
      <c r="AL16" s="109">
        <v>561.46500000000003</v>
      </c>
      <c r="AM16" s="111">
        <v>428.17899999999997</v>
      </c>
      <c r="AN16" s="111">
        <v>661.98599999999999</v>
      </c>
      <c r="AO16" s="111">
        <v>280.25400000000002</v>
      </c>
      <c r="AP16" s="111">
        <f>AVERAGE(AM16:AO16)</f>
        <v>456.80633333333327</v>
      </c>
      <c r="AQ16" s="109">
        <v>1871.5170000000001</v>
      </c>
      <c r="AR16" s="113">
        <v>397.05799999999999</v>
      </c>
      <c r="AS16" s="113">
        <v>126.07599999999999</v>
      </c>
      <c r="AT16" s="113">
        <v>165.99</v>
      </c>
      <c r="AU16" s="113">
        <v>994.41800000000001</v>
      </c>
      <c r="AV16" s="627">
        <v>326.73200000000003</v>
      </c>
      <c r="AW16" s="627">
        <v>442.37299999999999</v>
      </c>
      <c r="AX16" s="627">
        <v>753.81899999999996</v>
      </c>
      <c r="AY16" s="624">
        <f>AZ16-SUM(AV16:AX16)</f>
        <v>947.67500000000018</v>
      </c>
      <c r="AZ16" s="117">
        <v>2470.5990000000002</v>
      </c>
      <c r="BA16" s="627">
        <v>635.68799999999999</v>
      </c>
      <c r="BB16" s="699">
        <v>602.20000000000005</v>
      </c>
      <c r="BC16" s="662">
        <v>584.803</v>
      </c>
      <c r="BD16" s="662">
        <f>BE16-SUM(BA16:BC16)</f>
        <v>380.21000000000004</v>
      </c>
      <c r="BE16" s="93">
        <v>2202.9009999999998</v>
      </c>
      <c r="BF16" s="636">
        <v>575.01099999999997</v>
      </c>
      <c r="BG16" s="636">
        <v>312.69900000000001</v>
      </c>
      <c r="BH16" s="636">
        <v>393.88299999999998</v>
      </c>
      <c r="BI16" s="636">
        <f>BJ16-SUM(BF16:BH16)</f>
        <v>469.5809999999999</v>
      </c>
      <c r="BJ16" s="117">
        <v>1751.174</v>
      </c>
      <c r="BK16" s="636">
        <v>320.96499999999997</v>
      </c>
      <c r="BL16" s="636">
        <v>419.55200000000002</v>
      </c>
      <c r="BM16" s="636">
        <v>449.76900000000001</v>
      </c>
      <c r="BN16" s="636">
        <f ca="1">Assumptions!BM162</f>
        <v>269.87457281641122</v>
      </c>
      <c r="BO16" s="627">
        <f t="shared" si="26"/>
        <v>254.93899999999996</v>
      </c>
      <c r="BP16" s="93">
        <v>1445.2249999999999</v>
      </c>
      <c r="BQ16" s="636">
        <f ca="1">Assumptions!BO162</f>
        <v>297.08</v>
      </c>
      <c r="BR16" s="636">
        <v>208.97200000000001</v>
      </c>
      <c r="BS16" s="636">
        <f ca="1">Assumptions!BQ162</f>
        <v>283.1945323896793</v>
      </c>
      <c r="BT16" s="93"/>
      <c r="BU16" s="117">
        <f>Assumptions!BR162</f>
        <v>1488.5817500000003</v>
      </c>
      <c r="BV16" s="117">
        <f>Assumptions!BS162</f>
        <v>1533.2392025000001</v>
      </c>
      <c r="BW16" s="117">
        <f>Assumptions!BT162</f>
        <v>1579.2363785750001</v>
      </c>
      <c r="BX16" s="117">
        <f>Assumptions!BU162</f>
        <v>1626.6134699322502</v>
      </c>
      <c r="BY16" s="117">
        <f>Assumptions!BV162</f>
        <v>1675.4118740302176</v>
      </c>
      <c r="BZ16" s="117">
        <f>Assumptions!BW162</f>
        <v>1725.6742302511243</v>
      </c>
      <c r="CA16" s="117">
        <f>Assumptions!BX162</f>
        <v>1777.444457158658</v>
      </c>
      <c r="CB16" s="117">
        <f>Assumptions!BY162</f>
        <v>1830.7677908734179</v>
      </c>
      <c r="CC16" s="117">
        <f>Assumptions!BZ162</f>
        <v>1885.6908245996203</v>
      </c>
      <c r="CD16" s="117">
        <f>Assumptions!CA162</f>
        <v>1942.261549337609</v>
      </c>
      <c r="CE16" s="117">
        <f>Assumptions!CB162</f>
        <v>2000.5293958177376</v>
      </c>
      <c r="CF16" s="741"/>
      <c r="CG16" s="746"/>
      <c r="CH16" s="741"/>
      <c r="CI16" s="747"/>
      <c r="CJ16" s="748"/>
      <c r="CK16" s="748"/>
      <c r="CL16" s="748"/>
      <c r="CM16" s="745"/>
      <c r="CN16" s="747"/>
      <c r="CO16" s="747"/>
      <c r="CP16" s="747"/>
      <c r="CQ16" s="747"/>
      <c r="CR16" s="747"/>
      <c r="CS16" s="747"/>
      <c r="CT16" s="747"/>
      <c r="CU16" s="747"/>
      <c r="CV16" s="747"/>
      <c r="CW16" s="747"/>
      <c r="CX16" s="747"/>
      <c r="CY16" s="747"/>
      <c r="CZ16" s="747"/>
      <c r="DA16" s="747"/>
      <c r="DB16" s="747"/>
      <c r="DC16" s="747"/>
      <c r="DD16" s="747"/>
    </row>
    <row r="17" spans="1:108">
      <c r="A17" s="1" t="s">
        <v>14</v>
      </c>
      <c r="C17" s="109" t="e">
        <f t="shared" ref="C17:K17" si="27">C14-C15-C16</f>
        <v>#REF!</v>
      </c>
      <c r="D17" s="36" t="e">
        <f t="shared" si="27"/>
        <v>#REF!</v>
      </c>
      <c r="E17" s="36" t="e">
        <f t="shared" si="27"/>
        <v>#REF!</v>
      </c>
      <c r="F17" s="36">
        <f t="shared" si="27"/>
        <v>341.90900000000045</v>
      </c>
      <c r="G17" s="92">
        <f t="shared" si="27"/>
        <v>-33.68600000000032</v>
      </c>
      <c r="H17" s="36">
        <f t="shared" si="27"/>
        <v>707.66799999999955</v>
      </c>
      <c r="I17" s="88">
        <f t="shared" si="27"/>
        <v>335.85599999999982</v>
      </c>
      <c r="J17" s="88">
        <f t="shared" si="27"/>
        <v>106.99600000000012</v>
      </c>
      <c r="K17" s="88">
        <f t="shared" si="27"/>
        <v>-513.46252000000015</v>
      </c>
      <c r="L17" s="88">
        <f t="shared" si="18"/>
        <v>-70.610520000000179</v>
      </c>
      <c r="M17" s="36">
        <f t="shared" ref="M17:R17" si="28">M14-M15-M16</f>
        <v>599.03100000000086</v>
      </c>
      <c r="N17" s="88">
        <f t="shared" si="28"/>
        <v>318.49100000000004</v>
      </c>
      <c r="O17" s="88">
        <f t="shared" si="28"/>
        <v>293.71799999999985</v>
      </c>
      <c r="P17" s="88">
        <f t="shared" si="28"/>
        <v>323.27</v>
      </c>
      <c r="Q17" s="88">
        <f t="shared" si="28"/>
        <v>342.80999999999972</v>
      </c>
      <c r="R17" s="36">
        <f t="shared" si="28"/>
        <v>1278.2889999999998</v>
      </c>
      <c r="S17" s="88"/>
      <c r="T17" s="88"/>
      <c r="U17" s="88"/>
      <c r="V17" s="88"/>
      <c r="W17" s="36">
        <f t="shared" ref="W17:AB17" si="29">W14-W15-W16</f>
        <v>1811.4060000000006</v>
      </c>
      <c r="X17" s="88">
        <f t="shared" si="29"/>
        <v>838.99</v>
      </c>
      <c r="Y17" s="88">
        <f t="shared" si="29"/>
        <v>929.78599999999994</v>
      </c>
      <c r="Z17" s="88">
        <f t="shared" si="29"/>
        <v>885.60400000000016</v>
      </c>
      <c r="AA17" s="88">
        <f t="shared" si="29"/>
        <v>1152.1579999999994</v>
      </c>
      <c r="AB17" s="11">
        <f t="shared" si="29"/>
        <v>3806.538</v>
      </c>
      <c r="AC17" s="74">
        <f t="shared" ref="AC17:AJ17" si="30">AC14-AC15-AC16</f>
        <v>782.69100000000003</v>
      </c>
      <c r="AD17" s="74">
        <f t="shared" si="30"/>
        <v>330.55600000000004</v>
      </c>
      <c r="AE17" s="74">
        <f t="shared" si="30"/>
        <v>425.12999999999994</v>
      </c>
      <c r="AF17" s="74">
        <f t="shared" si="30"/>
        <v>324.31699999999944</v>
      </c>
      <c r="AG17" s="11">
        <f t="shared" si="30"/>
        <v>1862.6939999999995</v>
      </c>
      <c r="AH17" s="74">
        <f t="shared" si="30"/>
        <v>302.50200000000001</v>
      </c>
      <c r="AI17" s="74">
        <f t="shared" si="30"/>
        <v>286.57899999999995</v>
      </c>
      <c r="AJ17" s="74">
        <f t="shared" si="30"/>
        <v>165.50000000000028</v>
      </c>
      <c r="AK17" s="38">
        <f t="shared" si="24"/>
        <v>487.56899999999905</v>
      </c>
      <c r="AL17" s="11">
        <f t="shared" ref="AL17:AX17" si="31">AL14-AL15-AL16</f>
        <v>1242.1499999999992</v>
      </c>
      <c r="AM17" s="74">
        <f t="shared" si="31"/>
        <v>840.4639999999996</v>
      </c>
      <c r="AN17" s="74">
        <f t="shared" si="31"/>
        <v>597.06599999999992</v>
      </c>
      <c r="AO17" s="74">
        <f t="shared" si="31"/>
        <v>825.51199999999983</v>
      </c>
      <c r="AP17" s="74">
        <f t="shared" si="31"/>
        <v>-1349.5576341749713</v>
      </c>
      <c r="AQ17" s="36">
        <f t="shared" si="31"/>
        <v>3666.3655905999995</v>
      </c>
      <c r="AR17" s="11">
        <f t="shared" si="31"/>
        <v>884.22400000000016</v>
      </c>
      <c r="AS17" s="11">
        <f t="shared" si="31"/>
        <v>216.727</v>
      </c>
      <c r="AT17" s="11">
        <f t="shared" si="31"/>
        <v>198.80500000000001</v>
      </c>
      <c r="AU17" s="11">
        <f t="shared" si="31"/>
        <v>2128.5371790000017</v>
      </c>
      <c r="AV17" s="622">
        <f t="shared" si="31"/>
        <v>309.74699999999979</v>
      </c>
      <c r="AW17" s="622">
        <f t="shared" si="31"/>
        <v>508.67700000000042</v>
      </c>
      <c r="AX17" s="622">
        <f t="shared" si="31"/>
        <v>455.86899999999991</v>
      </c>
      <c r="AY17" s="624">
        <f>AZ17-SUM(AV17:AX17)</f>
        <v>428.7150000000006</v>
      </c>
      <c r="AZ17" s="93">
        <f t="shared" ref="AZ17:BS17" si="32">AZ14-AZ15-AZ16</f>
        <v>1703.0080000000007</v>
      </c>
      <c r="BA17" s="627">
        <f t="shared" si="32"/>
        <v>844.13900000000024</v>
      </c>
      <c r="BB17" s="627">
        <f t="shared" si="32"/>
        <v>1274.6539999999995</v>
      </c>
      <c r="BC17" s="625">
        <f t="shared" si="32"/>
        <v>1390.2690000000002</v>
      </c>
      <c r="BD17" s="627">
        <f t="shared" si="32"/>
        <v>1527.087</v>
      </c>
      <c r="BE17" s="93">
        <f t="shared" si="32"/>
        <v>5036.1489999999994</v>
      </c>
      <c r="BF17" s="636">
        <f t="shared" si="32"/>
        <v>1563.9249999999997</v>
      </c>
      <c r="BG17" s="636">
        <f t="shared" si="32"/>
        <v>1977.116</v>
      </c>
      <c r="BH17" s="636">
        <f t="shared" si="32"/>
        <v>1714.7159999999992</v>
      </c>
      <c r="BI17" s="636">
        <f t="shared" si="32"/>
        <v>1809.6850199999988</v>
      </c>
      <c r="BJ17" s="93">
        <f t="shared" si="32"/>
        <v>7169.2539999999981</v>
      </c>
      <c r="BK17" s="636">
        <f t="shared" ref="BK17:BN17" si="33">BK14-BK15-BK16</f>
        <v>1566.4730000000006</v>
      </c>
      <c r="BL17" s="636">
        <f t="shared" si="33"/>
        <v>1673.7019999999989</v>
      </c>
      <c r="BM17" s="636">
        <f t="shared" si="33"/>
        <v>1598.8479999999997</v>
      </c>
      <c r="BN17" s="636">
        <f t="shared" ca="1" si="33"/>
        <v>2920.6203071540904</v>
      </c>
      <c r="BO17" s="627">
        <f t="shared" si="26"/>
        <v>2492.851999999999</v>
      </c>
      <c r="BP17" s="93">
        <f t="shared" si="32"/>
        <v>7331.8749999999982</v>
      </c>
      <c r="BQ17" s="636">
        <f t="shared" ca="1" si="32"/>
        <v>1816.1214075601201</v>
      </c>
      <c r="BR17" s="636">
        <f t="shared" si="32"/>
        <v>1497.6590000000001</v>
      </c>
      <c r="BS17" s="636">
        <f t="shared" ca="1" si="32"/>
        <v>2278.8352748241623</v>
      </c>
      <c r="BT17" s="93"/>
      <c r="BU17" s="93">
        <f t="shared" ref="BU17:CE17" si="34">BU14-BU15-BU16</f>
        <v>9326.6830814318237</v>
      </c>
      <c r="BV17" s="93">
        <f t="shared" si="34"/>
        <v>10213.973009604306</v>
      </c>
      <c r="BW17" s="93">
        <f t="shared" si="34"/>
        <v>10470.937163068771</v>
      </c>
      <c r="BX17" s="93">
        <f t="shared" si="34"/>
        <v>10613.833987606655</v>
      </c>
      <c r="BY17" s="93">
        <f t="shared" si="34"/>
        <v>10708.898464963744</v>
      </c>
      <c r="BZ17" s="93">
        <f t="shared" si="34"/>
        <v>10882.496071218276</v>
      </c>
      <c r="CA17" s="93">
        <f t="shared" si="34"/>
        <v>11095.831095824793</v>
      </c>
      <c r="CB17" s="93">
        <f t="shared" si="34"/>
        <v>11364.233274975495</v>
      </c>
      <c r="CC17" s="93">
        <f t="shared" si="34"/>
        <v>11704.251097658327</v>
      </c>
      <c r="CD17" s="93">
        <f t="shared" si="34"/>
        <v>12132.732690527881</v>
      </c>
      <c r="CE17" s="93">
        <f t="shared" si="34"/>
        <v>14801.37196095165</v>
      </c>
      <c r="CF17" s="741"/>
      <c r="CG17" s="213"/>
      <c r="CH17" s="741"/>
      <c r="CI17" s="269"/>
      <c r="CJ17" s="594"/>
      <c r="CK17" s="594"/>
      <c r="CL17" s="594"/>
      <c r="CM17" s="745"/>
      <c r="CN17" s="269"/>
      <c r="CO17" s="269"/>
      <c r="CP17" s="269"/>
      <c r="CQ17" s="269"/>
      <c r="CR17" s="269"/>
      <c r="CS17" s="269"/>
      <c r="CT17" s="269"/>
      <c r="CU17" s="269"/>
      <c r="CV17" s="269"/>
      <c r="CW17" s="269"/>
      <c r="CX17" s="269"/>
      <c r="CY17" s="269"/>
      <c r="CZ17" s="269"/>
      <c r="DA17" s="269"/>
      <c r="DB17" s="269"/>
      <c r="DC17" s="269"/>
      <c r="DD17" s="269"/>
    </row>
    <row r="18" spans="1:108">
      <c r="A18" s="1" t="s">
        <v>16</v>
      </c>
      <c r="C18" s="109">
        <v>47.37</v>
      </c>
      <c r="D18" s="36">
        <v>37.213000000000001</v>
      </c>
      <c r="E18" s="36">
        <v>99.549000000000007</v>
      </c>
      <c r="F18" s="36">
        <v>65.206999999999994</v>
      </c>
      <c r="G18" s="92" t="e">
        <f>#REF!</f>
        <v>#REF!</v>
      </c>
      <c r="H18" s="36">
        <v>117.113</v>
      </c>
      <c r="I18" s="88">
        <v>73.703999999999994</v>
      </c>
      <c r="J18" s="88">
        <v>21.061</v>
      </c>
      <c r="K18" s="88">
        <f>+M18-J18-I18</f>
        <v>90.439000000000007</v>
      </c>
      <c r="L18" s="88">
        <f t="shared" si="18"/>
        <v>185.20400000000001</v>
      </c>
      <c r="M18" s="36">
        <v>185.20400000000001</v>
      </c>
      <c r="N18" s="88">
        <v>1.0860000000000001</v>
      </c>
      <c r="O18" s="88">
        <v>83.918999999999997</v>
      </c>
      <c r="P18" s="88">
        <v>1.109</v>
      </c>
      <c r="Q18" s="88">
        <f>+R18-P18-O18-N18</f>
        <v>42.347999999999999</v>
      </c>
      <c r="R18" s="36">
        <v>128.46199999999999</v>
      </c>
      <c r="S18" s="88"/>
      <c r="T18" s="88"/>
      <c r="U18" s="88"/>
      <c r="V18" s="88"/>
      <c r="W18" s="36">
        <v>707.69200000000001</v>
      </c>
      <c r="X18" s="88">
        <v>3.4060000000000001</v>
      </c>
      <c r="Y18" s="88">
        <v>128.69800000000001</v>
      </c>
      <c r="Z18" s="88">
        <v>48.19</v>
      </c>
      <c r="AA18" s="88">
        <f>+AB18-Z18-Y18-X18</f>
        <v>113.81999999999996</v>
      </c>
      <c r="AB18" s="36">
        <v>294.11399999999998</v>
      </c>
      <c r="AC18" s="88">
        <v>6.4610000000000003</v>
      </c>
      <c r="AD18" s="88">
        <v>242.005</v>
      </c>
      <c r="AE18" s="88">
        <v>77.576999999999998</v>
      </c>
      <c r="AF18" s="88">
        <f>+AG18-AE18-AD18-AC18</f>
        <v>153.37700000000001</v>
      </c>
      <c r="AG18" s="109">
        <v>479.42</v>
      </c>
      <c r="AH18" s="88">
        <f>198.363+0.156</f>
        <v>198.51900000000001</v>
      </c>
      <c r="AI18" s="88">
        <v>169.38399999999999</v>
      </c>
      <c r="AJ18" s="88">
        <f>294.928-1.798</f>
        <v>293.13</v>
      </c>
      <c r="AK18" s="38">
        <f t="shared" si="24"/>
        <v>186.31100000000004</v>
      </c>
      <c r="AL18" s="36">
        <v>847.34400000000005</v>
      </c>
      <c r="AM18" s="88">
        <v>192.584</v>
      </c>
      <c r="AN18" s="88">
        <v>239.816</v>
      </c>
      <c r="AO18" s="88">
        <v>157.75200000000001</v>
      </c>
      <c r="AP18" s="88">
        <f>+Assumptions!AP188</f>
        <v>21.206731473750001</v>
      </c>
      <c r="AQ18" s="36">
        <v>770.13699999999994</v>
      </c>
      <c r="AR18" s="11">
        <v>167.38800000000001</v>
      </c>
      <c r="AS18" s="11">
        <v>303.33800000000002</v>
      </c>
      <c r="AT18" s="11">
        <v>232.14</v>
      </c>
      <c r="AU18" s="11">
        <v>911.67200000000003</v>
      </c>
      <c r="AV18" s="622">
        <v>233.41399999999999</v>
      </c>
      <c r="AW18" s="622">
        <v>312.423</v>
      </c>
      <c r="AX18" s="622">
        <v>232.10900000000001</v>
      </c>
      <c r="AY18" s="624">
        <f>AZ18-SUM(AV18:AX18)</f>
        <v>328.71600000000001</v>
      </c>
      <c r="AZ18" s="93">
        <v>1106.662</v>
      </c>
      <c r="BA18" s="627">
        <v>261.43</v>
      </c>
      <c r="BB18" s="627">
        <v>388.762</v>
      </c>
      <c r="BC18" s="625">
        <v>239.732</v>
      </c>
      <c r="BD18" s="627">
        <f>BE18-SUM(BA18:BC18)</f>
        <v>298.01199999999994</v>
      </c>
      <c r="BE18" s="93">
        <v>1187.9359999999999</v>
      </c>
      <c r="BF18" s="636">
        <v>355.74299999999999</v>
      </c>
      <c r="BG18" s="636">
        <v>416.82299999999998</v>
      </c>
      <c r="BH18" s="636">
        <v>312.62599999999998</v>
      </c>
      <c r="BI18" s="636">
        <f>BJ18-SUM(BF18:BH18)</f>
        <v>381.09699999999998</v>
      </c>
      <c r="BJ18" s="93">
        <v>1466.289</v>
      </c>
      <c r="BK18" s="636">
        <v>365.209</v>
      </c>
      <c r="BL18" s="636">
        <v>598.10500000000002</v>
      </c>
      <c r="BM18" s="636">
        <v>319.73399999999998</v>
      </c>
      <c r="BN18" s="636">
        <f>92.979304*3+60</f>
        <v>338.93791199999998</v>
      </c>
      <c r="BO18" s="627">
        <f t="shared" si="26"/>
        <v>364.07799999999992</v>
      </c>
      <c r="BP18" s="93">
        <v>1647.126</v>
      </c>
      <c r="BQ18" s="636">
        <f>92.979304*3.15+30</f>
        <v>322.88480759999999</v>
      </c>
      <c r="BR18" s="636">
        <v>436.85700000000003</v>
      </c>
      <c r="BS18" s="636">
        <f>Investments!B24+Investments!B25+Investments!B26+Investments!B27+30+(0.189654*(2.5*0.9))+Investments!B28</f>
        <v>448.50390733213499</v>
      </c>
      <c r="BT18" s="93"/>
      <c r="BU18" s="93">
        <f>Investments!L13</f>
        <v>1732.0255509603001</v>
      </c>
      <c r="BV18" s="93">
        <f>Investments!M13</f>
        <v>1816.52436265236</v>
      </c>
      <c r="BW18" s="93">
        <f>Investments!N13</f>
        <v>1885.8784238444198</v>
      </c>
      <c r="BX18" s="93">
        <f>Investments!O13</f>
        <v>1955.2324850364801</v>
      </c>
      <c r="BY18" s="93">
        <f>Investments!P13</f>
        <v>1874.5865462285401</v>
      </c>
      <c r="BZ18" s="93">
        <f>Investments!Q13</f>
        <v>1943.9406074206001</v>
      </c>
      <c r="CA18" s="93">
        <f>Investments!R13</f>
        <v>2013.29466861266</v>
      </c>
      <c r="CB18" s="93">
        <f>Investments!S13</f>
        <v>2082.64872980472</v>
      </c>
      <c r="CC18" s="93">
        <f>Investments!T13</f>
        <v>2152.0027909967798</v>
      </c>
      <c r="CD18" s="93">
        <f>Investments!U13</f>
        <v>2221.3568521888401</v>
      </c>
      <c r="CE18" s="93">
        <f>Investments!V13</f>
        <v>2290.7109133808999</v>
      </c>
      <c r="CF18" s="741"/>
      <c r="CG18" s="213"/>
      <c r="CH18" s="741"/>
      <c r="CI18" s="269"/>
      <c r="CJ18" s="594"/>
      <c r="CK18" s="594"/>
      <c r="CL18" s="594"/>
      <c r="CM18" s="745"/>
      <c r="CN18" s="269"/>
      <c r="CO18" s="269"/>
      <c r="CP18" s="269"/>
      <c r="CQ18" s="269"/>
      <c r="CR18" s="269"/>
      <c r="CS18" s="269"/>
      <c r="CT18" s="269"/>
      <c r="CU18" s="269"/>
      <c r="CV18" s="269"/>
      <c r="CW18" s="269"/>
      <c r="CX18" s="269"/>
      <c r="CY18" s="269"/>
      <c r="CZ18" s="269"/>
      <c r="DA18" s="269"/>
      <c r="DB18" s="269"/>
      <c r="DC18" s="269"/>
      <c r="DD18" s="269"/>
    </row>
    <row r="19" spans="1:108" s="115" customFormat="1" ht="15">
      <c r="A19" s="1" t="s">
        <v>170</v>
      </c>
      <c r="B19" s="1"/>
      <c r="C19" s="109">
        <v>16.629000000000001</v>
      </c>
      <c r="D19" s="109">
        <v>75.063999999999993</v>
      </c>
      <c r="E19" s="109">
        <v>-10.291</v>
      </c>
      <c r="F19" s="36">
        <v>-70.281000000000006</v>
      </c>
      <c r="G19" s="110">
        <v>2.1560000000000001</v>
      </c>
      <c r="H19" s="109">
        <v>15.483000000000001</v>
      </c>
      <c r="I19" s="111">
        <v>9.8659999999999997</v>
      </c>
      <c r="J19" s="111">
        <v>1.5349999999999999</v>
      </c>
      <c r="K19" s="111">
        <f>+M19-J19-I19</f>
        <v>7.3099999999999987</v>
      </c>
      <c r="L19" s="88">
        <f>+I19+J19+K19</f>
        <v>18.710999999999999</v>
      </c>
      <c r="M19" s="109">
        <v>18.710999999999999</v>
      </c>
      <c r="N19" s="111">
        <v>13.195</v>
      </c>
      <c r="O19" s="111">
        <v>16.988</v>
      </c>
      <c r="P19" s="111">
        <v>13.933</v>
      </c>
      <c r="Q19" s="111">
        <f>+R19-P19-O19-N19</f>
        <v>17.619</v>
      </c>
      <c r="R19" s="109">
        <v>61.734999999999999</v>
      </c>
      <c r="S19" s="111"/>
      <c r="T19" s="111"/>
      <c r="U19" s="111"/>
      <c r="V19" s="111"/>
      <c r="W19" s="109">
        <v>93.786000000000001</v>
      </c>
      <c r="X19" s="111">
        <v>37.463999999999999</v>
      </c>
      <c r="Y19" s="111">
        <v>54.573999999999998</v>
      </c>
      <c r="Z19" s="111">
        <v>41.084000000000003</v>
      </c>
      <c r="AA19" s="111">
        <f>+AB19-Z19-Y19-X19</f>
        <v>58.727999999999994</v>
      </c>
      <c r="AB19" s="109">
        <v>191.85</v>
      </c>
      <c r="AC19" s="111">
        <v>38.512</v>
      </c>
      <c r="AD19" s="111">
        <v>43.786000000000001</v>
      </c>
      <c r="AE19" s="111">
        <v>28.782</v>
      </c>
      <c r="AF19" s="111">
        <f>+AG19-AE19-AD19-AC19</f>
        <v>28.22699999999999</v>
      </c>
      <c r="AG19" s="109">
        <v>139.30699999999999</v>
      </c>
      <c r="AH19" s="111">
        <v>17.478999999999999</v>
      </c>
      <c r="AI19" s="111">
        <v>3.5369999999999999</v>
      </c>
      <c r="AJ19" s="111">
        <v>-3.4169999999999998</v>
      </c>
      <c r="AK19" s="38">
        <f t="shared" si="24"/>
        <v>564.31399999999996</v>
      </c>
      <c r="AL19" s="109">
        <v>581.91300000000001</v>
      </c>
      <c r="AM19" s="111">
        <v>6.0979999999999999</v>
      </c>
      <c r="AN19" s="111">
        <v>37.883000000000003</v>
      </c>
      <c r="AO19" s="111">
        <f>53.886+154.723</f>
        <v>208.60900000000001</v>
      </c>
      <c r="AP19" s="111">
        <f>AO19</f>
        <v>208.60900000000001</v>
      </c>
      <c r="AQ19" s="109">
        <f>795.854+257.386</f>
        <v>1053.24</v>
      </c>
      <c r="AR19" s="113">
        <v>93.623999999999995</v>
      </c>
      <c r="AS19" s="113">
        <v>46.158000000000001</v>
      </c>
      <c r="AT19" s="113">
        <v>3.11</v>
      </c>
      <c r="AU19" s="113">
        <v>189.01499999999999</v>
      </c>
      <c r="AV19" s="627">
        <v>29.382000000000001</v>
      </c>
      <c r="AW19" s="627">
        <v>20.004999999999999</v>
      </c>
      <c r="AX19" s="627">
        <v>24.087</v>
      </c>
      <c r="AY19" s="624">
        <f>AZ19-SUM(AV19:AX19)</f>
        <v>-35.510000000000005</v>
      </c>
      <c r="AZ19" s="114">
        <v>37.963999999999999</v>
      </c>
      <c r="BA19" s="627">
        <v>95.424999999999997</v>
      </c>
      <c r="BB19" s="627">
        <v>144.86099999999999</v>
      </c>
      <c r="BC19" s="625">
        <v>79.697000000000003</v>
      </c>
      <c r="BD19" s="627">
        <f>BE19-SUM(BA19:BC19)</f>
        <v>180.85199999999998</v>
      </c>
      <c r="BE19" s="93">
        <v>500.83499999999998</v>
      </c>
      <c r="BF19" s="636">
        <v>103.014</v>
      </c>
      <c r="BG19" s="636">
        <v>178.60499999999999</v>
      </c>
      <c r="BH19" s="636">
        <v>127.88500000000001</v>
      </c>
      <c r="BI19" s="636">
        <f>BJ19-SUM(BF19:BH19)</f>
        <v>135.30200000000008</v>
      </c>
      <c r="BJ19" s="114">
        <v>544.80600000000004</v>
      </c>
      <c r="BK19" s="636">
        <v>172.11600000000001</v>
      </c>
      <c r="BL19" s="636">
        <v>180.65700000000001</v>
      </c>
      <c r="BM19" s="636">
        <v>-43.795000000000002</v>
      </c>
      <c r="BN19" s="636">
        <f>Assumptions!BM248</f>
        <v>197.26849610519827</v>
      </c>
      <c r="BO19" s="627">
        <f t="shared" si="26"/>
        <v>209.767</v>
      </c>
      <c r="BP19" s="93">
        <v>518.745</v>
      </c>
      <c r="BQ19" s="636">
        <f>Assumptions!BO248</f>
        <v>179.96470545974384</v>
      </c>
      <c r="BR19" s="636">
        <v>226.01599999999999</v>
      </c>
      <c r="BS19" s="636">
        <f>Assumptions!BQ248</f>
        <v>201.89921351621723</v>
      </c>
      <c r="BT19" s="93"/>
      <c r="BU19" s="114">
        <f>+Assumptions!BR248</f>
        <v>641.25510935563398</v>
      </c>
      <c r="BV19" s="114">
        <f>+Assumptions!BS248</f>
        <v>687.78970712062642</v>
      </c>
      <c r="BW19" s="114">
        <f>+Assumptions!BT248</f>
        <v>719.74663743330598</v>
      </c>
      <c r="BX19" s="114">
        <f>+Assumptions!BU248</f>
        <v>749.72980268137758</v>
      </c>
      <c r="BY19" s="114">
        <f>+Assumptions!BV248</f>
        <v>791.68627827969863</v>
      </c>
      <c r="BZ19" s="114">
        <f>+Assumptions!BW248</f>
        <v>826.2645032398118</v>
      </c>
      <c r="CA19" s="114">
        <f>+Assumptions!BX248</f>
        <v>864.05040313361303</v>
      </c>
      <c r="CB19" s="114">
        <f>+Assumptions!BY248</f>
        <v>891.28229818529746</v>
      </c>
      <c r="CC19" s="114">
        <f>+Assumptions!BZ248</f>
        <v>929.45919082335763</v>
      </c>
      <c r="CD19" s="114">
        <f>+Assumptions!CA248</f>
        <v>973.01817765009832</v>
      </c>
      <c r="CE19" s="114">
        <f>+Assumptions!CB248</f>
        <v>1018.5710114934518</v>
      </c>
      <c r="CF19" s="741"/>
      <c r="CG19" s="746"/>
      <c r="CH19" s="741"/>
      <c r="CI19" s="747"/>
      <c r="CJ19" s="748"/>
      <c r="CK19" s="748"/>
      <c r="CL19" s="748"/>
      <c r="CM19" s="745"/>
      <c r="CN19" s="747"/>
      <c r="CO19" s="747"/>
      <c r="CP19" s="747"/>
      <c r="CQ19" s="269"/>
      <c r="CR19" s="213"/>
      <c r="CS19" s="213"/>
      <c r="CT19" s="269"/>
      <c r="CU19" s="269"/>
      <c r="CV19" s="752"/>
      <c r="CW19" s="592"/>
      <c r="CX19" s="747"/>
      <c r="CY19" s="592"/>
      <c r="CZ19" s="751"/>
      <c r="DA19" s="747"/>
      <c r="DB19" s="747"/>
      <c r="DC19" s="747"/>
      <c r="DD19" s="747"/>
    </row>
    <row r="20" spans="1:108">
      <c r="A20" s="63" t="s">
        <v>168</v>
      </c>
      <c r="B20" s="118"/>
      <c r="C20" s="109" t="e">
        <f>C17+C18-C19</f>
        <v>#REF!</v>
      </c>
      <c r="D20" s="109" t="e">
        <f>D17+D18-D19</f>
        <v>#REF!</v>
      </c>
      <c r="E20" s="109" t="e">
        <f t="shared" ref="E20:AC20" si="35">E17+E18-E19</f>
        <v>#REF!</v>
      </c>
      <c r="F20" s="36">
        <f t="shared" si="35"/>
        <v>477.39700000000045</v>
      </c>
      <c r="G20" s="110" t="e">
        <f t="shared" si="35"/>
        <v>#REF!</v>
      </c>
      <c r="H20" s="109">
        <f t="shared" si="35"/>
        <v>809.29799999999955</v>
      </c>
      <c r="I20" s="111">
        <f t="shared" si="35"/>
        <v>399.69399999999985</v>
      </c>
      <c r="J20" s="111">
        <f t="shared" si="35"/>
        <v>126.52200000000013</v>
      </c>
      <c r="K20" s="111">
        <f t="shared" si="35"/>
        <v>-430.33352000000014</v>
      </c>
      <c r="L20" s="88">
        <f t="shared" si="35"/>
        <v>95.882479999999831</v>
      </c>
      <c r="M20" s="109">
        <f t="shared" si="35"/>
        <v>765.5240000000008</v>
      </c>
      <c r="N20" s="111">
        <f t="shared" si="35"/>
        <v>306.38200000000006</v>
      </c>
      <c r="O20" s="111">
        <f t="shared" si="35"/>
        <v>360.64899999999983</v>
      </c>
      <c r="P20" s="111">
        <f t="shared" si="35"/>
        <v>310.44599999999997</v>
      </c>
      <c r="Q20" s="111">
        <f t="shared" si="35"/>
        <v>367.53899999999976</v>
      </c>
      <c r="R20" s="109">
        <f t="shared" si="35"/>
        <v>1345.0159999999998</v>
      </c>
      <c r="S20" s="111">
        <f t="shared" si="35"/>
        <v>0</v>
      </c>
      <c r="T20" s="111">
        <f t="shared" si="35"/>
        <v>0</v>
      </c>
      <c r="U20" s="111">
        <f t="shared" si="35"/>
        <v>0</v>
      </c>
      <c r="V20" s="111">
        <f t="shared" si="35"/>
        <v>0</v>
      </c>
      <c r="W20" s="109">
        <f t="shared" si="35"/>
        <v>2425.3120000000008</v>
      </c>
      <c r="X20" s="111">
        <f t="shared" si="35"/>
        <v>804.93200000000002</v>
      </c>
      <c r="Y20" s="111">
        <f t="shared" si="35"/>
        <v>1003.91</v>
      </c>
      <c r="Z20" s="111">
        <f t="shared" si="35"/>
        <v>892.71</v>
      </c>
      <c r="AA20" s="111">
        <f t="shared" si="35"/>
        <v>1207.2499999999993</v>
      </c>
      <c r="AB20" s="109">
        <f t="shared" si="35"/>
        <v>3908.8020000000001</v>
      </c>
      <c r="AC20" s="111">
        <f t="shared" si="35"/>
        <v>750.6400000000001</v>
      </c>
      <c r="AD20" s="111">
        <f t="shared" ref="AD20:AL20" si="36">AD17+AD18-AD19</f>
        <v>528.77500000000009</v>
      </c>
      <c r="AE20" s="111">
        <f t="shared" si="36"/>
        <v>473.92499999999995</v>
      </c>
      <c r="AF20" s="111">
        <f t="shared" si="36"/>
        <v>449.46699999999947</v>
      </c>
      <c r="AG20" s="109">
        <f t="shared" si="36"/>
        <v>2202.8069999999998</v>
      </c>
      <c r="AH20" s="111">
        <f t="shared" si="36"/>
        <v>483.54200000000003</v>
      </c>
      <c r="AI20" s="111">
        <f t="shared" si="36"/>
        <v>452.42599999999999</v>
      </c>
      <c r="AJ20" s="111">
        <f>AJ17+AJ18-AJ19</f>
        <v>462.04700000000025</v>
      </c>
      <c r="AK20" s="38">
        <f t="shared" si="24"/>
        <v>109.56599999999889</v>
      </c>
      <c r="AL20" s="109">
        <f t="shared" si="36"/>
        <v>1507.5809999999992</v>
      </c>
      <c r="AM20" s="111">
        <f t="shared" ref="AM20:BP20" si="37">AM17+AM18-AM19</f>
        <v>1026.9499999999996</v>
      </c>
      <c r="AN20" s="111">
        <f t="shared" si="37"/>
        <v>798.99899999999991</v>
      </c>
      <c r="AO20" s="111">
        <f t="shared" si="37"/>
        <v>774.65499999999986</v>
      </c>
      <c r="AP20" s="111">
        <f t="shared" si="37"/>
        <v>-1536.9599027012212</v>
      </c>
      <c r="AQ20" s="109">
        <f t="shared" si="37"/>
        <v>3383.2625905999994</v>
      </c>
      <c r="AR20" s="113">
        <f t="shared" si="37"/>
        <v>957.98800000000006</v>
      </c>
      <c r="AS20" s="113">
        <f t="shared" si="37"/>
        <v>473.90700000000004</v>
      </c>
      <c r="AT20" s="113">
        <f t="shared" si="37"/>
        <v>427.83499999999998</v>
      </c>
      <c r="AU20" s="113">
        <f t="shared" si="37"/>
        <v>2851.1941790000019</v>
      </c>
      <c r="AV20" s="627">
        <f t="shared" si="37"/>
        <v>513.77899999999988</v>
      </c>
      <c r="AW20" s="627">
        <f t="shared" si="37"/>
        <v>801.09500000000037</v>
      </c>
      <c r="AX20" s="627">
        <f t="shared" si="37"/>
        <v>663.89099999999996</v>
      </c>
      <c r="AY20" s="627">
        <f t="shared" si="37"/>
        <v>792.9410000000006</v>
      </c>
      <c r="AZ20" s="114">
        <f t="shared" si="37"/>
        <v>2771.706000000001</v>
      </c>
      <c r="BA20" s="627">
        <f t="shared" si="37"/>
        <v>1010.1440000000002</v>
      </c>
      <c r="BB20" s="627">
        <f t="shared" si="37"/>
        <v>1518.5549999999994</v>
      </c>
      <c r="BC20" s="625">
        <f t="shared" si="37"/>
        <v>1550.3040000000001</v>
      </c>
      <c r="BD20" s="627">
        <f t="shared" si="37"/>
        <v>1644.2469999999998</v>
      </c>
      <c r="BE20" s="114">
        <f t="shared" si="37"/>
        <v>5723.2499999999991</v>
      </c>
      <c r="BF20" s="625">
        <f t="shared" si="37"/>
        <v>1816.6539999999998</v>
      </c>
      <c r="BG20" s="625">
        <f t="shared" si="37"/>
        <v>2215.3339999999998</v>
      </c>
      <c r="BH20" s="625">
        <f t="shared" si="37"/>
        <v>1899.4569999999992</v>
      </c>
      <c r="BI20" s="625">
        <f t="shared" si="37"/>
        <v>2055.4800199999986</v>
      </c>
      <c r="BJ20" s="114">
        <f t="shared" si="37"/>
        <v>8090.7369999999974</v>
      </c>
      <c r="BK20" s="625">
        <f t="shared" ref="BK20:BS20" si="38">BK17+BK18-BK19</f>
        <v>1759.5660000000007</v>
      </c>
      <c r="BL20" s="625">
        <f t="shared" si="38"/>
        <v>2091.1499999999987</v>
      </c>
      <c r="BM20" s="625">
        <f t="shared" si="38"/>
        <v>1962.3769999999997</v>
      </c>
      <c r="BN20" s="625">
        <f t="shared" ca="1" si="38"/>
        <v>3062.289723048892</v>
      </c>
      <c r="BO20" s="625">
        <f t="shared" si="38"/>
        <v>2647.1629999999991</v>
      </c>
      <c r="BP20" s="114">
        <f t="shared" si="37"/>
        <v>8460.2559999999976</v>
      </c>
      <c r="BQ20" s="625">
        <f t="shared" ca="1" si="38"/>
        <v>1959.0415097003763</v>
      </c>
      <c r="BR20" s="625">
        <f t="shared" si="38"/>
        <v>1708.5</v>
      </c>
      <c r="BS20" s="625">
        <f t="shared" ca="1" si="38"/>
        <v>2525.4399686400802</v>
      </c>
      <c r="BT20" s="114"/>
      <c r="BU20" s="114">
        <f t="shared" ref="BU20:CE20" si="39">BU17+BU18-BU19</f>
        <v>10417.453523036489</v>
      </c>
      <c r="BV20" s="114">
        <f t="shared" si="39"/>
        <v>11342.70766513604</v>
      </c>
      <c r="BW20" s="114">
        <f t="shared" si="39"/>
        <v>11637.068949479886</v>
      </c>
      <c r="BX20" s="114">
        <f t="shared" si="39"/>
        <v>11819.336669961758</v>
      </c>
      <c r="BY20" s="114">
        <f t="shared" si="39"/>
        <v>11791.798732912586</v>
      </c>
      <c r="BZ20" s="114">
        <f t="shared" si="39"/>
        <v>12000.172175399064</v>
      </c>
      <c r="CA20" s="114">
        <f t="shared" si="39"/>
        <v>12245.07536130384</v>
      </c>
      <c r="CB20" s="114">
        <f t="shared" si="39"/>
        <v>12555.599706594918</v>
      </c>
      <c r="CC20" s="114">
        <f t="shared" si="39"/>
        <v>12926.794697831749</v>
      </c>
      <c r="CD20" s="114">
        <f t="shared" si="39"/>
        <v>13381.071365066622</v>
      </c>
      <c r="CE20" s="114">
        <f t="shared" si="39"/>
        <v>16073.511862839099</v>
      </c>
      <c r="CF20" s="741"/>
      <c r="CG20" s="750"/>
      <c r="CH20" s="741"/>
      <c r="CI20" s="269"/>
      <c r="CJ20" s="594"/>
      <c r="CK20" s="594"/>
      <c r="CL20" s="594"/>
      <c r="CM20" s="745"/>
      <c r="CN20" s="269"/>
      <c r="CO20" s="269"/>
      <c r="CP20" s="269"/>
      <c r="CQ20" s="269"/>
      <c r="CR20" s="753"/>
      <c r="CS20" s="753"/>
      <c r="CT20" s="753"/>
      <c r="CU20" s="269"/>
      <c r="CV20" s="753"/>
      <c r="CW20" s="269"/>
      <c r="CX20" s="269"/>
      <c r="CY20" s="269"/>
      <c r="CZ20" s="269"/>
      <c r="DA20" s="269"/>
      <c r="DB20" s="269"/>
      <c r="DC20" s="269"/>
      <c r="DD20" s="269"/>
    </row>
    <row r="21" spans="1:108">
      <c r="A21" s="73" t="s">
        <v>459</v>
      </c>
      <c r="B21" s="118"/>
      <c r="C21" s="109">
        <f>+CFS!L8+CFS!L10</f>
        <v>494.20499999999998</v>
      </c>
      <c r="D21" s="109">
        <f>+CFS!M8+CFS!M10</f>
        <v>1363.037</v>
      </c>
      <c r="E21" s="109">
        <f>+CFS!N8+CFS!N10</f>
        <v>1368.954</v>
      </c>
      <c r="F21" s="36"/>
      <c r="G21" s="110"/>
      <c r="H21" s="109"/>
      <c r="I21" s="111"/>
      <c r="J21" s="111"/>
      <c r="K21" s="111"/>
      <c r="L21" s="88"/>
      <c r="M21" s="109">
        <f>+CFS!H8+CFS!H10</f>
        <v>313.29300000000001</v>
      </c>
      <c r="N21" s="111"/>
      <c r="O21" s="111"/>
      <c r="P21" s="111"/>
      <c r="Q21" s="111"/>
      <c r="R21" s="109">
        <f>+CFS!I8+CFS!I10</f>
        <v>338.87300000000005</v>
      </c>
      <c r="S21" s="111"/>
      <c r="T21" s="111"/>
      <c r="U21" s="111"/>
      <c r="V21" s="111"/>
      <c r="W21" s="109">
        <f>+CFS!J8+CFS!J10</f>
        <v>357.08299999999997</v>
      </c>
      <c r="X21" s="111">
        <f>84.697+4.134</f>
        <v>88.831000000000003</v>
      </c>
      <c r="Y21" s="111">
        <f>170.111+7.274-X21</f>
        <v>88.553999999999988</v>
      </c>
      <c r="Z21" s="111"/>
      <c r="AA21" s="111"/>
      <c r="AB21" s="109">
        <f>+CFS!K8+CFS!K10</f>
        <v>363.94099999999997</v>
      </c>
      <c r="AC21" s="111">
        <f>95.968+3.469</f>
        <v>99.436999999999998</v>
      </c>
      <c r="AD21" s="111">
        <f>194.5+6.938-AC21</f>
        <v>102.00099999999999</v>
      </c>
      <c r="AE21" s="111">
        <f>299.874+11.674-AD21-AC21</f>
        <v>110.11000000000003</v>
      </c>
      <c r="AF21" s="111"/>
      <c r="AG21" s="109">
        <f>+CFS!L8+CFS!L10</f>
        <v>494.20499999999998</v>
      </c>
      <c r="AH21" s="111">
        <f>+Assumptions!AH126</f>
        <v>327.04999999999995</v>
      </c>
      <c r="AI21" s="111">
        <f>+Assumptions!AI126</f>
        <v>338.01</v>
      </c>
      <c r="AJ21" s="111">
        <f>+Assumptions!AJ126</f>
        <v>339.80200000000002</v>
      </c>
      <c r="AK21" s="38">
        <f t="shared" si="24"/>
        <v>358.17500000000007</v>
      </c>
      <c r="AL21" s="109">
        <f>+CFS!M8+CFS!M10</f>
        <v>1363.037</v>
      </c>
      <c r="AM21" s="109">
        <f>+CFS!N8+CFS!N10</f>
        <v>1368.954</v>
      </c>
      <c r="AN21" s="109">
        <f>+CFS!O8+CFS!O10</f>
        <v>1392.5640000000001</v>
      </c>
      <c r="AO21" s="109">
        <f>+CFS!P8+CFS!P10</f>
        <v>1430.41</v>
      </c>
      <c r="AP21" s="109">
        <f>+CFS!Q8+CFS!Q10</f>
        <v>1466.164</v>
      </c>
      <c r="AQ21" s="109">
        <f>+CFS!N8+CFS!N10</f>
        <v>1368.954</v>
      </c>
      <c r="AR21" s="625">
        <f>AR19/AR17</f>
        <v>0.10588267226404166</v>
      </c>
      <c r="AS21" s="625">
        <f>AS19/AS17</f>
        <v>0.21297761700203482</v>
      </c>
      <c r="AT21" s="625">
        <f>AT19/AT17</f>
        <v>1.5643469731646587E-2</v>
      </c>
      <c r="AU21" s="625">
        <f>AU19/AU17</f>
        <v>8.8800422123141043E-2</v>
      </c>
      <c r="AV21" s="625">
        <f>AV19/AV17</f>
        <v>9.4858061579288971E-2</v>
      </c>
      <c r="AW21" s="625"/>
      <c r="AX21" s="625"/>
      <c r="AY21" s="625"/>
      <c r="AZ21" s="114">
        <f>+CFS!P8+CFS!P10</f>
        <v>1430.41</v>
      </c>
      <c r="BA21" s="625">
        <f>BA19/BA14</f>
        <v>6.2320524400191479E-2</v>
      </c>
      <c r="BB21" s="625">
        <f t="shared" ref="BB21:BI21" si="40">BB19/BB14</f>
        <v>7.4452748323591236E-2</v>
      </c>
      <c r="BC21" s="625">
        <f t="shared" si="40"/>
        <v>3.9157699445236852E-2</v>
      </c>
      <c r="BD21" s="625">
        <f t="shared" si="40"/>
        <v>9.0670902106589887E-2</v>
      </c>
      <c r="BE21" s="114"/>
      <c r="BF21" s="625">
        <f t="shared" si="40"/>
        <v>4.6552004627453819E-2</v>
      </c>
      <c r="BG21" s="625">
        <f t="shared" si="40"/>
        <v>7.4303579451849622E-2</v>
      </c>
      <c r="BH21" s="625">
        <f t="shared" si="40"/>
        <v>5.7853165106694852E-2</v>
      </c>
      <c r="BI21" s="625">
        <f t="shared" si="40"/>
        <v>5.6491522793625154E-2</v>
      </c>
      <c r="BJ21" s="114">
        <f>CFS!R8+CFS!R10</f>
        <v>1577.7550000000001</v>
      </c>
      <c r="BK21" s="625"/>
      <c r="BL21" s="625"/>
      <c r="BM21" s="625"/>
      <c r="BN21" s="625"/>
      <c r="BO21" s="625"/>
      <c r="BP21" s="114">
        <f>+CFS!S8+CFS!S10</f>
        <v>1808.454</v>
      </c>
      <c r="BQ21" s="114"/>
      <c r="BR21" s="114">
        <f>461.199+4.613</f>
        <v>465.81200000000001</v>
      </c>
      <c r="BS21" s="114"/>
      <c r="BT21" s="114"/>
      <c r="BU21" s="114">
        <f>+CFS!T8+CFS!T10</f>
        <v>1749.9402957853522</v>
      </c>
      <c r="BV21" s="114">
        <f>+CFS!U8+CFS!U10</f>
        <v>1784.9481344642295</v>
      </c>
      <c r="BW21" s="114">
        <f>+CFS!V8+CFS!V10</f>
        <v>1820.6563106185727</v>
      </c>
      <c r="BX21" s="114">
        <f>+CFS!W8+CFS!W10</f>
        <v>1857.0788346128613</v>
      </c>
      <c r="BY21" s="114">
        <f>+CFS!X8+CFS!X10</f>
        <v>1894.2299970911833</v>
      </c>
      <c r="BZ21" s="114">
        <f>+CFS!Y8+CFS!Y10</f>
        <v>1932.1243745842723</v>
      </c>
      <c r="CA21" s="114">
        <f>+CFS!Z8+CFS!Z10</f>
        <v>1970.776835228718</v>
      </c>
      <c r="CB21" s="114">
        <f>+CFS!AA8+CFS!AA10</f>
        <v>2010.2025446005869</v>
      </c>
      <c r="CC21" s="114">
        <f>+CFS!AB8+CFS!AB10</f>
        <v>2050.4169716657475</v>
      </c>
      <c r="CD21" s="114">
        <f>+CFS!AC8+CFS!AC10</f>
        <v>2091.435894849234</v>
      </c>
      <c r="CE21" s="114">
        <f>+CFS!AD8+CFS!AD10</f>
        <v>2133.275408226024</v>
      </c>
      <c r="CF21" s="741"/>
      <c r="CG21" s="750"/>
      <c r="CH21" s="741"/>
      <c r="CI21" s="269"/>
      <c r="CJ21" s="594"/>
      <c r="CK21" s="594"/>
      <c r="CL21" s="594"/>
      <c r="CM21" s="745"/>
      <c r="CN21" s="269"/>
      <c r="CO21" s="269"/>
      <c r="CP21" s="269"/>
      <c r="CQ21" s="269"/>
      <c r="CR21" s="753"/>
      <c r="CS21" s="753"/>
      <c r="CT21" s="753"/>
      <c r="CU21" s="269"/>
      <c r="CV21" s="753"/>
      <c r="CW21" s="269"/>
      <c r="CX21" s="269"/>
      <c r="CY21" s="269"/>
      <c r="CZ21" s="269"/>
      <c r="DA21" s="269"/>
      <c r="DB21" s="269"/>
      <c r="DC21" s="269"/>
      <c r="DD21" s="269"/>
    </row>
    <row r="22" spans="1:108">
      <c r="A22" s="73" t="s">
        <v>15</v>
      </c>
      <c r="B22" s="118"/>
      <c r="C22" s="109" t="e">
        <f>+C20+C21</f>
        <v>#REF!</v>
      </c>
      <c r="D22" s="109" t="e">
        <f>+D20+D21</f>
        <v>#REF!</v>
      </c>
      <c r="E22" s="109" t="e">
        <f t="shared" ref="E22:AB22" si="41">+E20+E21</f>
        <v>#REF!</v>
      </c>
      <c r="F22" s="36">
        <f t="shared" si="41"/>
        <v>477.39700000000045</v>
      </c>
      <c r="G22" s="110" t="e">
        <f t="shared" si="41"/>
        <v>#REF!</v>
      </c>
      <c r="H22" s="109">
        <f t="shared" si="41"/>
        <v>809.29799999999955</v>
      </c>
      <c r="I22" s="111">
        <f t="shared" si="41"/>
        <v>399.69399999999985</v>
      </c>
      <c r="J22" s="111">
        <f t="shared" si="41"/>
        <v>126.52200000000013</v>
      </c>
      <c r="K22" s="111">
        <f t="shared" si="41"/>
        <v>-430.33352000000014</v>
      </c>
      <c r="L22" s="88">
        <f t="shared" si="41"/>
        <v>95.882479999999831</v>
      </c>
      <c r="M22" s="109">
        <f t="shared" si="41"/>
        <v>1078.8170000000009</v>
      </c>
      <c r="N22" s="111">
        <f t="shared" si="41"/>
        <v>306.38200000000006</v>
      </c>
      <c r="O22" s="111">
        <f t="shared" si="41"/>
        <v>360.64899999999983</v>
      </c>
      <c r="P22" s="111">
        <f t="shared" si="41"/>
        <v>310.44599999999997</v>
      </c>
      <c r="Q22" s="111">
        <f t="shared" si="41"/>
        <v>367.53899999999976</v>
      </c>
      <c r="R22" s="109">
        <f t="shared" si="41"/>
        <v>1683.8889999999999</v>
      </c>
      <c r="S22" s="111">
        <f t="shared" si="41"/>
        <v>0</v>
      </c>
      <c r="T22" s="111">
        <f t="shared" si="41"/>
        <v>0</v>
      </c>
      <c r="U22" s="111">
        <f t="shared" si="41"/>
        <v>0</v>
      </c>
      <c r="V22" s="111">
        <f t="shared" si="41"/>
        <v>0</v>
      </c>
      <c r="W22" s="109">
        <f t="shared" si="41"/>
        <v>2782.3950000000009</v>
      </c>
      <c r="X22" s="111">
        <f t="shared" si="41"/>
        <v>893.76300000000003</v>
      </c>
      <c r="Y22" s="111">
        <f t="shared" si="41"/>
        <v>1092.4639999999999</v>
      </c>
      <c r="Z22" s="111">
        <f t="shared" si="41"/>
        <v>892.71</v>
      </c>
      <c r="AA22" s="111">
        <f t="shared" si="41"/>
        <v>1207.2499999999993</v>
      </c>
      <c r="AB22" s="109">
        <f t="shared" si="41"/>
        <v>4272.7430000000004</v>
      </c>
      <c r="AC22" s="111">
        <f t="shared" ref="AC22:AL22" si="42">+AC20+AC21</f>
        <v>850.07700000000011</v>
      </c>
      <c r="AD22" s="111">
        <f t="shared" si="42"/>
        <v>630.77600000000007</v>
      </c>
      <c r="AE22" s="111">
        <f t="shared" si="42"/>
        <v>584.03499999999997</v>
      </c>
      <c r="AF22" s="111">
        <f t="shared" si="42"/>
        <v>449.46699999999947</v>
      </c>
      <c r="AG22" s="119">
        <f t="shared" si="42"/>
        <v>2697.0119999999997</v>
      </c>
      <c r="AH22" s="119">
        <f>+AH20+AH21</f>
        <v>810.59199999999998</v>
      </c>
      <c r="AI22" s="119">
        <f>+AI20+AI21</f>
        <v>790.43599999999992</v>
      </c>
      <c r="AJ22" s="119">
        <f>+AJ20+AJ21</f>
        <v>801.84900000000027</v>
      </c>
      <c r="AK22" s="38">
        <f t="shared" si="24"/>
        <v>467.74099999999953</v>
      </c>
      <c r="AL22" s="119">
        <f t="shared" si="42"/>
        <v>2870.6179999999995</v>
      </c>
      <c r="AM22" s="119">
        <f t="shared" ref="AM22:AR22" si="43">+AM20+AM21</f>
        <v>2395.9039999999995</v>
      </c>
      <c r="AN22" s="119">
        <f t="shared" si="43"/>
        <v>2191.5630000000001</v>
      </c>
      <c r="AO22" s="119">
        <f t="shared" si="43"/>
        <v>2205.0650000000001</v>
      </c>
      <c r="AP22" s="119">
        <f t="shared" si="43"/>
        <v>-70.795902701221166</v>
      </c>
      <c r="AQ22" s="119">
        <f t="shared" si="43"/>
        <v>4752.2165905999991</v>
      </c>
      <c r="AR22" s="119">
        <f t="shared" si="43"/>
        <v>958.09388267226404</v>
      </c>
      <c r="AS22" s="119"/>
      <c r="AT22" s="119"/>
      <c r="AU22" s="119">
        <f>+AU20+AU21</f>
        <v>2851.2829794221252</v>
      </c>
      <c r="AV22" s="625"/>
      <c r="AW22" s="625"/>
      <c r="AX22" s="625"/>
      <c r="AY22" s="625"/>
      <c r="AZ22" s="114">
        <f>+AZ20+AZ21</f>
        <v>4202.1160000000009</v>
      </c>
      <c r="BA22" s="625"/>
      <c r="BB22" s="625"/>
      <c r="BC22" s="625"/>
      <c r="BD22" s="625"/>
      <c r="BE22" s="114"/>
      <c r="BF22" s="625"/>
      <c r="BG22" s="625"/>
      <c r="BH22" s="625"/>
      <c r="BI22" s="625"/>
      <c r="BJ22" s="114">
        <f>+BJ20+BJ21</f>
        <v>9668.4919999999984</v>
      </c>
      <c r="BK22" s="625"/>
      <c r="BL22" s="625"/>
      <c r="BM22" s="625"/>
      <c r="BN22" s="625"/>
      <c r="BO22" s="625"/>
      <c r="BP22" s="114">
        <f>+BP20+BP21</f>
        <v>10268.709999999997</v>
      </c>
      <c r="BQ22" s="114"/>
      <c r="BR22" s="114">
        <f>+BR20+BR21</f>
        <v>2174.3119999999999</v>
      </c>
      <c r="BS22" s="114"/>
      <c r="BT22" s="114"/>
      <c r="BU22" s="114">
        <f t="shared" ref="BU22:CE22" si="44">+BU20+BU21</f>
        <v>12167.393818821842</v>
      </c>
      <c r="BV22" s="114">
        <f t="shared" si="44"/>
        <v>13127.65579960027</v>
      </c>
      <c r="BW22" s="114">
        <f t="shared" si="44"/>
        <v>13457.725260098459</v>
      </c>
      <c r="BX22" s="114">
        <f t="shared" si="44"/>
        <v>13676.415504574619</v>
      </c>
      <c r="BY22" s="114">
        <f t="shared" si="44"/>
        <v>13686.028730003769</v>
      </c>
      <c r="BZ22" s="114">
        <f t="shared" si="44"/>
        <v>13932.296549983337</v>
      </c>
      <c r="CA22" s="114">
        <f t="shared" si="44"/>
        <v>14215.852196532558</v>
      </c>
      <c r="CB22" s="114">
        <f t="shared" si="44"/>
        <v>14565.802251195504</v>
      </c>
      <c r="CC22" s="114">
        <f t="shared" si="44"/>
        <v>14977.211669497496</v>
      </c>
      <c r="CD22" s="114">
        <f t="shared" si="44"/>
        <v>15472.507259915856</v>
      </c>
      <c r="CE22" s="114">
        <f t="shared" si="44"/>
        <v>18206.787271065125</v>
      </c>
      <c r="CF22" s="741"/>
      <c r="CG22" s="750"/>
      <c r="CH22" s="741"/>
      <c r="CI22" s="269"/>
      <c r="CJ22" s="594"/>
      <c r="CK22" s="594"/>
      <c r="CL22" s="594"/>
      <c r="CM22" s="745"/>
      <c r="CN22" s="269"/>
      <c r="CO22" s="269"/>
      <c r="CP22" s="269"/>
      <c r="CQ22" s="269"/>
      <c r="CR22" s="753"/>
      <c r="CS22" s="753"/>
      <c r="CT22" s="753"/>
      <c r="CU22" s="269"/>
      <c r="CV22" s="753"/>
      <c r="CW22" s="269"/>
      <c r="CX22" s="269"/>
      <c r="CY22" s="269"/>
      <c r="CZ22" s="269"/>
      <c r="DA22" s="269"/>
      <c r="DB22" s="269"/>
      <c r="DC22" s="269"/>
      <c r="DD22" s="269"/>
    </row>
    <row r="23" spans="1:108">
      <c r="A23" s="1" t="s">
        <v>18</v>
      </c>
      <c r="C23" s="109">
        <v>27.027000000000001</v>
      </c>
      <c r="D23" s="36">
        <v>69.89</v>
      </c>
      <c r="E23" s="36">
        <v>578.16300000000001</v>
      </c>
      <c r="F23" s="36">
        <v>562.851</v>
      </c>
      <c r="G23" s="92">
        <v>600.34699999999998</v>
      </c>
      <c r="H23" s="36">
        <v>515.12400000000002</v>
      </c>
      <c r="I23" s="88">
        <v>212.23500000000001</v>
      </c>
      <c r="J23" s="88">
        <v>97.363</v>
      </c>
      <c r="K23" s="88" t="e">
        <f>+M23/4+15.8</f>
        <v>#REF!</v>
      </c>
      <c r="L23" s="88" t="e">
        <f t="shared" si="18"/>
        <v>#REF!</v>
      </c>
      <c r="M23" s="36" t="e">
        <f>+#REF!</f>
        <v>#REF!</v>
      </c>
      <c r="N23" s="88">
        <v>55.668999999999997</v>
      </c>
      <c r="O23" s="88">
        <v>45.268999999999998</v>
      </c>
      <c r="P23" s="88">
        <v>42.192</v>
      </c>
      <c r="Q23" s="88">
        <f>+R23-P23-O23-N23</f>
        <v>81.470999999999989</v>
      </c>
      <c r="R23" s="36">
        <v>224.601</v>
      </c>
      <c r="S23" s="88"/>
      <c r="T23" s="88"/>
      <c r="U23" s="88"/>
      <c r="V23" s="88"/>
      <c r="W23" s="36">
        <v>304.041</v>
      </c>
      <c r="X23" s="88">
        <v>93.13</v>
      </c>
      <c r="Y23" s="88">
        <v>119.23</v>
      </c>
      <c r="Z23" s="88">
        <v>112.121</v>
      </c>
      <c r="AA23" s="88">
        <f>+AB23-Z23-Y23-X23</f>
        <v>126.21500000000003</v>
      </c>
      <c r="AB23" s="36">
        <v>450.69600000000003</v>
      </c>
      <c r="AC23" s="88">
        <v>132.92099999999999</v>
      </c>
      <c r="AD23" s="88">
        <f>117.703</f>
        <v>117.703</v>
      </c>
      <c r="AE23" s="88">
        <v>109.04300000000001</v>
      </c>
      <c r="AF23" s="88">
        <f>+AG23-AE23-AD23-AC23</f>
        <v>108.506</v>
      </c>
      <c r="AG23" s="36">
        <v>468.173</v>
      </c>
      <c r="AH23" s="88">
        <v>373.28100000000001</v>
      </c>
      <c r="AI23" s="88">
        <v>471.86099999999999</v>
      </c>
      <c r="AJ23" s="88">
        <v>509.23899999999998</v>
      </c>
      <c r="AK23" s="38">
        <f t="shared" si="24"/>
        <v>395.4559999999999</v>
      </c>
      <c r="AL23" s="36">
        <v>1749.837</v>
      </c>
      <c r="AM23" s="88">
        <v>1373.6010000000001</v>
      </c>
      <c r="AN23" s="88">
        <v>698.3</v>
      </c>
      <c r="AO23" s="88">
        <v>609.60599999999999</v>
      </c>
      <c r="AP23" s="88">
        <f>AQ23/4</f>
        <v>651.58950000000004</v>
      </c>
      <c r="AQ23" s="36">
        <v>2606.3580000000002</v>
      </c>
      <c r="AR23" s="11">
        <v>468.18</v>
      </c>
      <c r="AS23" s="11">
        <v>487.79500000000002</v>
      </c>
      <c r="AT23" s="11">
        <v>465.69799999999998</v>
      </c>
      <c r="AU23" s="11">
        <v>1902.76</v>
      </c>
      <c r="AV23" s="622">
        <v>488.23200000000003</v>
      </c>
      <c r="AW23" s="622">
        <v>528.05700000000002</v>
      </c>
      <c r="AX23" s="622">
        <v>539.02800000000002</v>
      </c>
      <c r="AY23" s="622">
        <f>AZ23-SUM(AV23:AX23)</f>
        <v>496.36099999999988</v>
      </c>
      <c r="AZ23" s="93">
        <v>2051.6779999999999</v>
      </c>
      <c r="BA23" s="622">
        <v>448.863</v>
      </c>
      <c r="BB23" s="622">
        <v>436.96</v>
      </c>
      <c r="BC23" s="636">
        <v>417.53199999999998</v>
      </c>
      <c r="BD23" s="622">
        <f>BE23-SUM(BA23:BC23)</f>
        <v>367.42900000000009</v>
      </c>
      <c r="BE23" s="93">
        <v>1670.7840000000001</v>
      </c>
      <c r="BF23" s="636">
        <v>302.851</v>
      </c>
      <c r="BG23" s="636">
        <v>274.54500000000002</v>
      </c>
      <c r="BH23" s="636">
        <v>224.66900000000001</v>
      </c>
      <c r="BI23" s="636">
        <f>BJ23-SUM(BF23:BH23)</f>
        <v>192.81400000000008</v>
      </c>
      <c r="BJ23" s="114">
        <v>994.87900000000002</v>
      </c>
      <c r="BK23" s="622">
        <v>213.32</v>
      </c>
      <c r="BL23" s="622">
        <v>152.233</v>
      </c>
      <c r="BM23" s="622">
        <v>206.10499999999999</v>
      </c>
      <c r="BN23" s="622">
        <f>BM23-58.88</f>
        <v>147.22499999999999</v>
      </c>
      <c r="BO23" s="627">
        <f t="shared" ref="BO23" si="45">BP23-BK23-BL23-BM23</f>
        <v>37.20100000000005</v>
      </c>
      <c r="BP23" s="93">
        <v>608.85900000000004</v>
      </c>
      <c r="BQ23" s="93">
        <f>AVERAGE(BL23:BN23)</f>
        <v>168.52099999999999</v>
      </c>
      <c r="BR23" s="93">
        <v>66.694999999999993</v>
      </c>
      <c r="BS23" s="93">
        <f>BR23*1.1</f>
        <v>73.364499999999992</v>
      </c>
      <c r="BT23" s="93"/>
      <c r="BU23" s="93">
        <f>Sheet1!I222</f>
        <v>496.05678290588475</v>
      </c>
      <c r="BV23" s="93">
        <f>Sheet1!J222</f>
        <v>411.52768508760653</v>
      </c>
      <c r="BW23" s="93">
        <f>Sheet1!K222</f>
        <v>395.14034863033208</v>
      </c>
      <c r="BX23" s="93">
        <f>Sheet1!L222</f>
        <v>0</v>
      </c>
      <c r="BY23" s="93"/>
      <c r="BZ23" s="93">
        <f>Sheet1!AA231</f>
        <v>0</v>
      </c>
      <c r="CA23" s="93">
        <f>Sheet1!AB231</f>
        <v>0</v>
      </c>
      <c r="CB23" s="93">
        <f>Sheet1!AC231</f>
        <v>0</v>
      </c>
      <c r="CC23" s="93">
        <f>Sheet1!AD231</f>
        <v>0</v>
      </c>
      <c r="CD23" s="93">
        <f>Sheet1!AE231</f>
        <v>0</v>
      </c>
      <c r="CE23" s="93"/>
      <c r="CF23" s="741"/>
      <c r="CG23" s="213"/>
      <c r="CH23" s="741"/>
      <c r="CI23" s="269"/>
      <c r="CJ23" s="594"/>
      <c r="CK23" s="594"/>
      <c r="CL23" s="594"/>
      <c r="CM23" s="745"/>
      <c r="CN23" s="269"/>
      <c r="CO23" s="269"/>
      <c r="CP23" s="269"/>
      <c r="CQ23" s="269"/>
      <c r="CR23" s="269"/>
      <c r="CS23" s="269"/>
      <c r="CT23" s="269"/>
      <c r="CU23" s="269"/>
      <c r="CV23" s="269"/>
      <c r="CW23" s="269"/>
      <c r="CX23" s="269"/>
      <c r="CY23" s="269"/>
      <c r="CZ23" s="269"/>
      <c r="DA23" s="269"/>
      <c r="DB23" s="269"/>
      <c r="DC23" s="269"/>
      <c r="DD23" s="269"/>
    </row>
    <row r="24" spans="1:108">
      <c r="A24" s="1" t="s">
        <v>564</v>
      </c>
      <c r="C24" s="109"/>
      <c r="D24" s="36"/>
      <c r="E24" s="36"/>
      <c r="F24" s="36"/>
      <c r="G24" s="92"/>
      <c r="H24" s="36"/>
      <c r="I24" s="88"/>
      <c r="J24" s="88"/>
      <c r="K24" s="88"/>
      <c r="L24" s="88"/>
      <c r="M24" s="36"/>
      <c r="N24" s="88"/>
      <c r="O24" s="88"/>
      <c r="P24" s="88"/>
      <c r="Q24" s="88"/>
      <c r="R24" s="36"/>
      <c r="S24" s="88"/>
      <c r="T24" s="88"/>
      <c r="U24" s="88"/>
      <c r="V24" s="88"/>
      <c r="W24" s="36"/>
      <c r="X24" s="88"/>
      <c r="Y24" s="88"/>
      <c r="Z24" s="88"/>
      <c r="AA24" s="88"/>
      <c r="AB24" s="36"/>
      <c r="AC24" s="88"/>
      <c r="AD24" s="88"/>
      <c r="AE24" s="88"/>
      <c r="AF24" s="88"/>
      <c r="AG24" s="36"/>
      <c r="AH24" s="88"/>
      <c r="AI24" s="88"/>
      <c r="AJ24" s="88"/>
      <c r="AK24" s="38">
        <f t="shared" si="24"/>
        <v>8.6739999999999995</v>
      </c>
      <c r="AL24" s="36">
        <v>8.6739999999999995</v>
      </c>
      <c r="AM24" s="88"/>
      <c r="AN24" s="88"/>
      <c r="AO24" s="88"/>
      <c r="AP24" s="88"/>
      <c r="AQ24" s="36">
        <v>0</v>
      </c>
      <c r="AR24" s="11"/>
      <c r="AS24" s="11"/>
      <c r="AT24" s="11"/>
      <c r="AU24" s="11"/>
      <c r="AV24" s="622"/>
      <c r="AW24" s="622"/>
      <c r="AX24" s="622"/>
      <c r="AY24" s="622"/>
      <c r="AZ24" s="93">
        <v>118.836</v>
      </c>
      <c r="BA24" s="622"/>
      <c r="BB24" s="622"/>
      <c r="BD24" s="622"/>
      <c r="BE24" s="93"/>
      <c r="BF24" s="636"/>
      <c r="BG24" s="636"/>
      <c r="BH24" s="636"/>
      <c r="BI24" s="636"/>
      <c r="BJ24" s="93"/>
      <c r="BK24" s="636"/>
      <c r="BL24" s="636"/>
      <c r="BM24" s="636"/>
      <c r="BN24" s="636"/>
      <c r="BO24" s="636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  <c r="CE24" s="93"/>
      <c r="CF24" s="741"/>
      <c r="CG24" s="213"/>
      <c r="CH24" s="741"/>
      <c r="CI24" s="269"/>
      <c r="CJ24" s="594"/>
      <c r="CK24" s="594"/>
      <c r="CL24" s="594"/>
      <c r="CM24" s="745"/>
      <c r="CN24" s="269"/>
      <c r="CO24" s="269"/>
      <c r="CP24" s="269"/>
      <c r="CQ24" s="269"/>
      <c r="CR24" s="269"/>
      <c r="CS24" s="269"/>
      <c r="CT24" s="269"/>
      <c r="CU24" s="269"/>
      <c r="CV24" s="269"/>
      <c r="CW24" s="269"/>
      <c r="CX24" s="269"/>
      <c r="CY24" s="269"/>
      <c r="CZ24" s="269"/>
      <c r="DA24" s="269"/>
      <c r="DB24" s="269"/>
      <c r="DC24" s="269"/>
      <c r="DD24" s="269"/>
    </row>
    <row r="25" spans="1:108" s="2" customFormat="1">
      <c r="A25" s="2" t="s">
        <v>171</v>
      </c>
      <c r="C25" s="121" t="e">
        <f>C20-C23</f>
        <v>#REF!</v>
      </c>
      <c r="D25" s="121" t="e">
        <f>D20-D23</f>
        <v>#REF!</v>
      </c>
      <c r="E25" s="121" t="e">
        <f t="shared" ref="E25:AC25" si="46">E20-E23</f>
        <v>#REF!</v>
      </c>
      <c r="F25" s="100">
        <f t="shared" si="46"/>
        <v>-85.453999999999553</v>
      </c>
      <c r="G25" s="122" t="e">
        <f t="shared" si="46"/>
        <v>#REF!</v>
      </c>
      <c r="H25" s="121">
        <f t="shared" si="46"/>
        <v>294.17399999999952</v>
      </c>
      <c r="I25" s="123">
        <f t="shared" si="46"/>
        <v>187.45899999999983</v>
      </c>
      <c r="J25" s="123">
        <f t="shared" si="46"/>
        <v>29.159000000000134</v>
      </c>
      <c r="K25" s="123" t="e">
        <f t="shared" si="46"/>
        <v>#REF!</v>
      </c>
      <c r="L25" s="39" t="e">
        <f t="shared" si="46"/>
        <v>#REF!</v>
      </c>
      <c r="M25" s="121" t="e">
        <f t="shared" si="46"/>
        <v>#REF!</v>
      </c>
      <c r="N25" s="123">
        <f t="shared" si="46"/>
        <v>250.71300000000008</v>
      </c>
      <c r="O25" s="123">
        <f t="shared" si="46"/>
        <v>315.37999999999982</v>
      </c>
      <c r="P25" s="123">
        <f t="shared" si="46"/>
        <v>268.25399999999996</v>
      </c>
      <c r="Q25" s="123">
        <f t="shared" si="46"/>
        <v>286.06799999999976</v>
      </c>
      <c r="R25" s="121">
        <f t="shared" si="46"/>
        <v>1120.415</v>
      </c>
      <c r="S25" s="123">
        <f t="shared" si="46"/>
        <v>0</v>
      </c>
      <c r="T25" s="123">
        <f t="shared" si="46"/>
        <v>0</v>
      </c>
      <c r="U25" s="123">
        <f t="shared" si="46"/>
        <v>0</v>
      </c>
      <c r="V25" s="123">
        <f t="shared" si="46"/>
        <v>0</v>
      </c>
      <c r="W25" s="121">
        <f t="shared" si="46"/>
        <v>2121.2710000000006</v>
      </c>
      <c r="X25" s="123">
        <f t="shared" si="46"/>
        <v>711.80200000000002</v>
      </c>
      <c r="Y25" s="123">
        <f t="shared" si="46"/>
        <v>884.68</v>
      </c>
      <c r="Z25" s="123">
        <f t="shared" si="46"/>
        <v>780.58900000000006</v>
      </c>
      <c r="AA25" s="123">
        <f t="shared" si="46"/>
        <v>1081.0349999999994</v>
      </c>
      <c r="AB25" s="121">
        <f>AB20-AB23</f>
        <v>3458.1060000000002</v>
      </c>
      <c r="AC25" s="123">
        <f t="shared" si="46"/>
        <v>617.71900000000005</v>
      </c>
      <c r="AD25" s="123">
        <f>AD20-AD23</f>
        <v>411.07200000000012</v>
      </c>
      <c r="AE25" s="123">
        <f>AE20-AE23</f>
        <v>364.88199999999995</v>
      </c>
      <c r="AF25" s="123">
        <f>AF20-AF23</f>
        <v>340.96099999999944</v>
      </c>
      <c r="AG25" s="121">
        <f>AG20-AG23</f>
        <v>1734.6339999999998</v>
      </c>
      <c r="AH25" s="123">
        <f>AH20-AH23</f>
        <v>110.26100000000002</v>
      </c>
      <c r="AI25" s="123">
        <f>+AI20-AI23</f>
        <v>-19.435000000000002</v>
      </c>
      <c r="AJ25" s="123">
        <f>AJ20-AJ23</f>
        <v>-47.191999999999723</v>
      </c>
      <c r="AK25" s="38">
        <f t="shared" si="24"/>
        <v>-294.5640000000011</v>
      </c>
      <c r="AL25" s="121">
        <f>AL20-AL23-AL24</f>
        <v>-250.93000000000077</v>
      </c>
      <c r="AM25" s="123">
        <f>AM20-AM23</f>
        <v>-346.65100000000052</v>
      </c>
      <c r="AN25" s="123">
        <f>AN20-AN23</f>
        <v>100.69899999999996</v>
      </c>
      <c r="AO25" s="123">
        <f>AO20-AO23</f>
        <v>165.04899999999986</v>
      </c>
      <c r="AP25" s="123">
        <f>AP20-AP23</f>
        <v>-2188.549402701221</v>
      </c>
      <c r="AQ25" s="121">
        <f>AQ20-AQ23</f>
        <v>776.90459059999921</v>
      </c>
      <c r="AR25" s="124">
        <f t="shared" ref="AR25:AY25" si="47">AR20-AR23</f>
        <v>489.80800000000005</v>
      </c>
      <c r="AS25" s="124">
        <f t="shared" si="47"/>
        <v>-13.887999999999977</v>
      </c>
      <c r="AT25" s="124">
        <f t="shared" si="47"/>
        <v>-37.863</v>
      </c>
      <c r="AU25" s="125">
        <f t="shared" si="47"/>
        <v>948.4341790000019</v>
      </c>
      <c r="AV25" s="650">
        <f t="shared" si="47"/>
        <v>25.546999999999855</v>
      </c>
      <c r="AW25" s="650">
        <f t="shared" si="47"/>
        <v>273.03800000000035</v>
      </c>
      <c r="AX25" s="650">
        <f t="shared" si="47"/>
        <v>124.86299999999994</v>
      </c>
      <c r="AY25" s="650">
        <f t="shared" si="47"/>
        <v>296.58000000000072</v>
      </c>
      <c r="AZ25" s="126">
        <f>AZ20-AZ23-AZ24</f>
        <v>601.19200000000114</v>
      </c>
      <c r="BA25" s="650">
        <f t="shared" ref="BA25:BJ25" si="48">BA20-BA23</f>
        <v>561.28100000000018</v>
      </c>
      <c r="BB25" s="650">
        <f t="shared" si="48"/>
        <v>1081.5949999999993</v>
      </c>
      <c r="BC25" s="650">
        <f t="shared" si="48"/>
        <v>1132.7720000000002</v>
      </c>
      <c r="BD25" s="650">
        <f t="shared" si="48"/>
        <v>1276.8179999999998</v>
      </c>
      <c r="BE25" s="126">
        <f t="shared" si="48"/>
        <v>4052.465999999999</v>
      </c>
      <c r="BF25" s="650">
        <f t="shared" si="48"/>
        <v>1513.8029999999999</v>
      </c>
      <c r="BG25" s="650">
        <f t="shared" si="48"/>
        <v>1940.7889999999998</v>
      </c>
      <c r="BH25" s="650">
        <f t="shared" si="48"/>
        <v>1674.7879999999991</v>
      </c>
      <c r="BI25" s="650">
        <f t="shared" si="48"/>
        <v>1862.6660199999985</v>
      </c>
      <c r="BJ25" s="126">
        <f t="shared" si="48"/>
        <v>7095.8579999999974</v>
      </c>
      <c r="BK25" s="1300">
        <f t="shared" ref="BK25:BS25" si="49">BK20-BK23</f>
        <v>1546.2460000000008</v>
      </c>
      <c r="BL25" s="1300">
        <f t="shared" si="49"/>
        <v>1938.9169999999988</v>
      </c>
      <c r="BM25" s="1300">
        <f t="shared" si="49"/>
        <v>1756.2719999999997</v>
      </c>
      <c r="BN25" s="1300">
        <f>BP25-BK25-BL25-BM25</f>
        <v>2609.9619999999977</v>
      </c>
      <c r="BO25" s="1300">
        <f t="shared" si="49"/>
        <v>2609.9619999999991</v>
      </c>
      <c r="BP25" s="126">
        <f t="shared" ref="BP25:CE25" si="50">BP20-BP23</f>
        <v>7851.3969999999972</v>
      </c>
      <c r="BQ25" s="1300">
        <f t="shared" ca="1" si="49"/>
        <v>1790.5205097003764</v>
      </c>
      <c r="BR25" s="1300">
        <f t="shared" si="49"/>
        <v>1641.8050000000001</v>
      </c>
      <c r="BS25" s="1300">
        <f t="shared" ca="1" si="49"/>
        <v>2452.0754686400801</v>
      </c>
      <c r="BT25" s="126"/>
      <c r="BU25" s="126">
        <f t="shared" si="50"/>
        <v>9921.3967401306036</v>
      </c>
      <c r="BV25" s="126">
        <f t="shared" si="50"/>
        <v>10931.179980048433</v>
      </c>
      <c r="BW25" s="126">
        <f t="shared" si="50"/>
        <v>11241.928600849555</v>
      </c>
      <c r="BX25" s="126">
        <f t="shared" si="50"/>
        <v>11819.336669961758</v>
      </c>
      <c r="BY25" s="126">
        <f t="shared" si="50"/>
        <v>11791.798732912586</v>
      </c>
      <c r="BZ25" s="126">
        <f t="shared" si="50"/>
        <v>12000.172175399064</v>
      </c>
      <c r="CA25" s="126">
        <f t="shared" si="50"/>
        <v>12245.07536130384</v>
      </c>
      <c r="CB25" s="126">
        <f t="shared" si="50"/>
        <v>12555.599706594918</v>
      </c>
      <c r="CC25" s="126">
        <f t="shared" si="50"/>
        <v>12926.794697831749</v>
      </c>
      <c r="CD25" s="126">
        <f t="shared" si="50"/>
        <v>13381.071365066622</v>
      </c>
      <c r="CE25" s="126">
        <f t="shared" si="50"/>
        <v>16073.511862839099</v>
      </c>
      <c r="CF25" s="741"/>
      <c r="CG25" s="754"/>
      <c r="CH25" s="741"/>
      <c r="CI25" s="588"/>
      <c r="CJ25" s="745"/>
      <c r="CK25" s="745"/>
      <c r="CL25" s="745"/>
      <c r="CM25" s="745"/>
      <c r="CN25" s="588"/>
      <c r="CO25" s="588"/>
      <c r="CP25" s="588"/>
      <c r="CQ25" s="588"/>
      <c r="CR25" s="741"/>
      <c r="CS25" s="741"/>
      <c r="CT25" s="588"/>
      <c r="CU25" s="588"/>
      <c r="CV25" s="741"/>
      <c r="CW25" s="588"/>
      <c r="CX25" s="588"/>
      <c r="CY25" s="588"/>
      <c r="CZ25" s="588"/>
      <c r="DA25" s="588"/>
      <c r="DB25" s="588"/>
      <c r="DC25" s="588"/>
      <c r="DD25" s="588"/>
    </row>
    <row r="26" spans="1:108" s="2" customFormat="1">
      <c r="C26" s="121"/>
      <c r="D26" s="121"/>
      <c r="E26" s="121"/>
      <c r="F26" s="100"/>
      <c r="G26" s="122"/>
      <c r="H26" s="121"/>
      <c r="I26" s="123"/>
      <c r="J26" s="123"/>
      <c r="K26" s="123"/>
      <c r="L26" s="39"/>
      <c r="M26" s="121"/>
      <c r="N26" s="123"/>
      <c r="O26" s="123"/>
      <c r="P26" s="123"/>
      <c r="Q26" s="123"/>
      <c r="R26" s="121"/>
      <c r="S26" s="123"/>
      <c r="T26" s="123"/>
      <c r="U26" s="123"/>
      <c r="V26" s="123"/>
      <c r="W26" s="121"/>
      <c r="X26" s="123"/>
      <c r="Y26" s="123"/>
      <c r="Z26" s="123"/>
      <c r="AA26" s="123"/>
      <c r="AB26" s="121"/>
      <c r="AC26" s="123"/>
      <c r="AD26" s="123"/>
      <c r="AE26" s="123"/>
      <c r="AF26" s="123"/>
      <c r="AG26" s="121"/>
      <c r="AH26" s="123"/>
      <c r="AI26" s="123"/>
      <c r="AJ26" s="123"/>
      <c r="AK26" s="38"/>
      <c r="AL26" s="121"/>
      <c r="AM26" s="123"/>
      <c r="AN26" s="123"/>
      <c r="AO26" s="123"/>
      <c r="AP26" s="123"/>
      <c r="AQ26" s="121"/>
      <c r="AR26" s="124"/>
      <c r="AS26" s="124"/>
      <c r="AT26" s="124"/>
      <c r="AU26" s="125"/>
      <c r="AV26" s="650"/>
      <c r="AW26" s="650"/>
      <c r="AX26" s="650"/>
      <c r="AY26" s="650"/>
      <c r="AZ26" s="126"/>
      <c r="BA26" s="650">
        <f t="shared" ref="BA26:BF26" si="51">(0.35*(BA25-(BA11*BA62)-BA18))+(BA18*0.1)+(0.001*BA11)</f>
        <v>131.09085000000005</v>
      </c>
      <c r="BB26" s="650">
        <f t="shared" si="51"/>
        <v>281.36774999999977</v>
      </c>
      <c r="BC26" s="650">
        <f t="shared" si="51"/>
        <v>336.53720000000004</v>
      </c>
      <c r="BD26" s="650">
        <f t="shared" si="51"/>
        <v>372.38329999999991</v>
      </c>
      <c r="BE26" s="650">
        <f t="shared" si="51"/>
        <v>686.85113748145204</v>
      </c>
      <c r="BF26" s="650">
        <f t="shared" si="51"/>
        <v>253.94573873895942</v>
      </c>
      <c r="BG26" s="650"/>
      <c r="BH26" s="650"/>
      <c r="BI26" s="650"/>
      <c r="BJ26" s="126"/>
      <c r="BK26" s="650"/>
      <c r="BL26" s="650"/>
      <c r="BM26" s="650"/>
      <c r="BN26" s="650">
        <f>5580-3696</f>
        <v>1884</v>
      </c>
      <c r="BO26" s="650"/>
      <c r="BP26" s="126"/>
      <c r="BQ26" s="126"/>
      <c r="BR26" s="126"/>
      <c r="BS26" s="126"/>
      <c r="BT26" s="126"/>
      <c r="BU26" s="126"/>
      <c r="BV26" s="126"/>
      <c r="BW26" s="126"/>
      <c r="BX26" s="126"/>
      <c r="BY26" s="126"/>
      <c r="BZ26" s="126"/>
      <c r="CA26" s="126"/>
      <c r="CB26" s="126"/>
      <c r="CC26" s="126"/>
      <c r="CD26" s="126"/>
      <c r="CE26" s="126"/>
      <c r="CF26" s="741"/>
      <c r="CG26" s="754"/>
      <c r="CH26" s="741"/>
      <c r="CI26" s="588"/>
      <c r="CJ26" s="745"/>
      <c r="CK26" s="745"/>
      <c r="CL26" s="745"/>
      <c r="CM26" s="745"/>
      <c r="CN26" s="588"/>
      <c r="CO26" s="588"/>
      <c r="CP26" s="588"/>
      <c r="CQ26" s="588"/>
      <c r="CR26" s="741"/>
      <c r="CS26" s="741"/>
      <c r="CT26" s="588"/>
      <c r="CU26" s="588"/>
      <c r="CV26" s="741"/>
      <c r="CW26" s="588"/>
      <c r="CX26" s="588"/>
      <c r="CY26" s="588"/>
      <c r="CZ26" s="588"/>
      <c r="DA26" s="588"/>
      <c r="DB26" s="588"/>
      <c r="DC26" s="588"/>
      <c r="DD26" s="588"/>
    </row>
    <row r="27" spans="1:108">
      <c r="A27" s="1" t="s">
        <v>395</v>
      </c>
      <c r="C27" s="109"/>
      <c r="D27" s="109"/>
      <c r="E27" s="109"/>
      <c r="F27" s="36"/>
      <c r="G27" s="110"/>
      <c r="H27" s="109"/>
      <c r="I27" s="111"/>
      <c r="J27" s="111"/>
      <c r="K27" s="111"/>
      <c r="L27" s="88"/>
      <c r="M27" s="109">
        <f>16+4.918</f>
        <v>20.917999999999999</v>
      </c>
      <c r="N27" s="111"/>
      <c r="O27" s="111"/>
      <c r="P27" s="111"/>
      <c r="Q27" s="111"/>
      <c r="R27" s="109">
        <f>28.7+10.222</f>
        <v>38.921999999999997</v>
      </c>
      <c r="S27" s="111"/>
      <c r="T27" s="111"/>
      <c r="U27" s="111"/>
      <c r="V27" s="111"/>
      <c r="W27" s="109">
        <f>40+0.193</f>
        <v>40.192999999999998</v>
      </c>
      <c r="X27" s="111"/>
      <c r="Y27" s="111"/>
      <c r="Z27" s="111"/>
      <c r="AA27" s="111"/>
      <c r="AB27" s="109">
        <f>40.5+(-32.422)</f>
        <v>8.078000000000003</v>
      </c>
      <c r="AC27" s="111">
        <f>+Assumptions!AC193</f>
        <v>9.2498850000000008</v>
      </c>
      <c r="AD27" s="111">
        <f>+Assumptions!AD193</f>
        <v>6.9876500000000004</v>
      </c>
      <c r="AE27" s="111">
        <f>+Assumptions!AE193</f>
        <v>7.7681800000000001</v>
      </c>
      <c r="AF27" s="111"/>
      <c r="AG27" s="109">
        <v>33</v>
      </c>
      <c r="AH27" s="111"/>
      <c r="AI27" s="111">
        <v>-82.12</v>
      </c>
      <c r="AJ27" s="111"/>
      <c r="AK27" s="38">
        <f t="shared" si="24"/>
        <v>189.42000000000002</v>
      </c>
      <c r="AL27" s="109">
        <v>107.3</v>
      </c>
      <c r="AM27" s="111"/>
      <c r="AN27" s="111"/>
      <c r="AO27" s="111"/>
      <c r="AP27" s="111">
        <f>+IF(DEp!N48&lt;0,(IS!AP12*Assumptions!AP196),((IS!AP25-IS!AP18)*Assumptions!AP198+(IS!AP18*Assumptions!AP199)))</f>
        <v>12.700423864317615</v>
      </c>
      <c r="AQ27" s="109">
        <v>128.74299999999999</v>
      </c>
      <c r="AR27" s="113"/>
      <c r="AS27" s="113">
        <v>99.9</v>
      </c>
      <c r="AT27" s="113">
        <v>50.35</v>
      </c>
      <c r="AU27" s="113">
        <v>100.998</v>
      </c>
      <c r="AV27" s="627"/>
      <c r="AW27" s="627"/>
      <c r="AX27" s="627"/>
      <c r="AY27" s="627"/>
      <c r="AZ27" s="114">
        <f>IF((AZ12*0.5%)&gt;(AZ25*35%),AZ12*0.5%,AZ25*35%)</f>
        <v>210.41720000000038</v>
      </c>
      <c r="BA27" s="928">
        <f t="shared" ref="BA27:BG27" si="52">BA26/BA25</f>
        <v>0.23355654297936329</v>
      </c>
      <c r="BB27" s="928">
        <f t="shared" si="52"/>
        <v>0.26014150398254426</v>
      </c>
      <c r="BC27" s="928">
        <f t="shared" si="52"/>
        <v>0.29709173602454864</v>
      </c>
      <c r="BD27" s="928">
        <f t="shared" si="52"/>
        <v>0.29164947549298331</v>
      </c>
      <c r="BE27" s="928">
        <f t="shared" si="52"/>
        <v>0.16948967307349455</v>
      </c>
      <c r="BF27" s="928">
        <f t="shared" si="52"/>
        <v>0.16775349153024499</v>
      </c>
      <c r="BG27" s="928">
        <f t="shared" si="52"/>
        <v>0</v>
      </c>
      <c r="BH27" s="625"/>
      <c r="BI27" s="625"/>
      <c r="BJ27" s="114"/>
      <c r="BK27" s="625">
        <v>441</v>
      </c>
      <c r="BL27" s="625"/>
      <c r="BM27" s="625"/>
      <c r="BN27" s="625">
        <f>BN26*0.125/4</f>
        <v>58.875</v>
      </c>
      <c r="BO27" s="625"/>
      <c r="BP27" s="114">
        <v>789.59100000000001</v>
      </c>
      <c r="BQ27" s="114"/>
      <c r="BR27" s="114"/>
      <c r="BS27" s="114"/>
      <c r="BT27" s="114"/>
      <c r="BU27" s="114"/>
      <c r="BV27" s="114"/>
      <c r="BW27" s="114"/>
      <c r="BX27" s="114"/>
      <c r="BY27" s="114"/>
      <c r="BZ27" s="114">
        <f t="shared" ref="BZ27:CE27" si="53">IF((BZ12*0.5%)&gt;(BZ25*35%),BZ12*0.5%,BZ25*35%)</f>
        <v>4200.0602613896726</v>
      </c>
      <c r="CA27" s="114">
        <f t="shared" si="53"/>
        <v>4285.7763764563433</v>
      </c>
      <c r="CB27" s="114">
        <f t="shared" si="53"/>
        <v>4394.4598973082211</v>
      </c>
      <c r="CC27" s="114">
        <f t="shared" si="53"/>
        <v>4524.3781442411118</v>
      </c>
      <c r="CD27" s="114">
        <f t="shared" si="53"/>
        <v>4683.3749777733174</v>
      </c>
      <c r="CE27" s="114">
        <f t="shared" si="53"/>
        <v>5625.7291519936844</v>
      </c>
      <c r="CF27" s="741"/>
      <c r="CG27" s="750"/>
      <c r="CH27" s="753"/>
      <c r="CI27" s="269"/>
      <c r="CJ27" s="594"/>
      <c r="CK27" s="594"/>
      <c r="CL27" s="594"/>
      <c r="CM27" s="745"/>
      <c r="CN27" s="269"/>
      <c r="CO27" s="269"/>
      <c r="CP27" s="269"/>
      <c r="CQ27" s="269"/>
      <c r="CR27" s="753"/>
      <c r="CS27" s="753"/>
      <c r="CT27" s="269"/>
      <c r="CU27" s="269"/>
      <c r="CV27" s="753"/>
      <c r="CW27" s="269"/>
      <c r="CX27" s="269"/>
      <c r="CY27" s="269"/>
      <c r="CZ27" s="269"/>
      <c r="DA27" s="269"/>
      <c r="DB27" s="269"/>
      <c r="DC27" s="269"/>
      <c r="DD27" s="269"/>
    </row>
    <row r="28" spans="1:108">
      <c r="A28" s="1" t="s">
        <v>396</v>
      </c>
      <c r="C28" s="109"/>
      <c r="D28" s="109"/>
      <c r="E28" s="109"/>
      <c r="F28" s="36"/>
      <c r="G28" s="110"/>
      <c r="H28" s="109"/>
      <c r="I28" s="111"/>
      <c r="J28" s="111"/>
      <c r="K28" s="111"/>
      <c r="L28" s="88"/>
      <c r="M28" s="109">
        <f>81+(-230)</f>
        <v>-149</v>
      </c>
      <c r="N28" s="111"/>
      <c r="O28" s="111"/>
      <c r="P28" s="111"/>
      <c r="Q28" s="111"/>
      <c r="R28" s="109">
        <f>297+(-10)</f>
        <v>287</v>
      </c>
      <c r="S28" s="111"/>
      <c r="T28" s="111"/>
      <c r="U28" s="111"/>
      <c r="V28" s="111"/>
      <c r="W28" s="109">
        <f>464+(-65)</f>
        <v>399</v>
      </c>
      <c r="X28" s="111"/>
      <c r="Y28" s="111"/>
      <c r="Z28" s="111"/>
      <c r="AA28" s="111"/>
      <c r="AB28" s="109">
        <f>1027+(-5)</f>
        <v>1022</v>
      </c>
      <c r="AC28" s="111">
        <f>+AC29-AC27</f>
        <v>120.471115</v>
      </c>
      <c r="AD28" s="111">
        <f>+AD29-AD27</f>
        <v>26.291350000000001</v>
      </c>
      <c r="AE28" s="111">
        <f>+AE29-AE27</f>
        <v>57.331819999999993</v>
      </c>
      <c r="AF28" s="111"/>
      <c r="AG28" s="109">
        <f>312.435-247.435</f>
        <v>65</v>
      </c>
      <c r="AH28" s="111"/>
      <c r="AI28" s="111"/>
      <c r="AJ28" s="111"/>
      <c r="AK28" s="38">
        <f t="shared" si="24"/>
        <v>-305</v>
      </c>
      <c r="AL28" s="109">
        <v>-305</v>
      </c>
      <c r="AM28" s="127"/>
      <c r="AN28" s="111"/>
      <c r="AO28" s="111"/>
      <c r="AP28" s="111"/>
      <c r="AQ28" s="109">
        <v>122.57599999999999</v>
      </c>
      <c r="AR28" s="113"/>
      <c r="AS28" s="113"/>
      <c r="AT28" s="113"/>
      <c r="AU28" s="113">
        <v>24.382999999999999</v>
      </c>
      <c r="AV28" s="627"/>
      <c r="AW28" s="627"/>
      <c r="AX28" s="627"/>
      <c r="AY28" s="627"/>
      <c r="AZ28" s="114">
        <f>+DEp!Q61</f>
        <v>37.151990259649935</v>
      </c>
      <c r="BA28" s="627"/>
      <c r="BB28" s="627"/>
      <c r="BC28" s="625"/>
      <c r="BD28" s="627"/>
      <c r="BE28" s="114"/>
      <c r="BF28" s="625"/>
      <c r="BG28" s="625"/>
      <c r="BH28" s="625"/>
      <c r="BI28" s="625"/>
      <c r="BJ28" s="114"/>
      <c r="BK28" s="625">
        <v>37.993000000000002</v>
      </c>
      <c r="BL28" s="625"/>
      <c r="BM28" s="625"/>
      <c r="BN28" s="928">
        <f>BN29/BN25</f>
        <v>0.22538987157667451</v>
      </c>
      <c r="BO28" s="928">
        <f>BO29/BO25</f>
        <v>0.22538987157667439</v>
      </c>
      <c r="BP28" s="114">
        <v>1096.308</v>
      </c>
      <c r="BQ28" s="928">
        <f ca="1">BQ29/BQ25</f>
        <v>0.30999999999999994</v>
      </c>
      <c r="BR28" s="928">
        <f>BR29/BR25</f>
        <v>0.29502041959916064</v>
      </c>
      <c r="BS28" s="928">
        <f ca="1">BS29/BS25</f>
        <v>0.31</v>
      </c>
      <c r="BT28" s="114"/>
      <c r="BU28" s="114"/>
      <c r="BV28" s="114"/>
      <c r="BW28" s="114"/>
      <c r="BX28" s="114"/>
      <c r="BY28" s="114"/>
      <c r="BZ28" s="114">
        <f>+DEp!Z61</f>
        <v>-186.88491733933932</v>
      </c>
      <c r="CA28" s="114">
        <f>+DEp!AA61</f>
        <v>-211.45387335061889</v>
      </c>
      <c r="CB28" s="114">
        <f>+DEp!AB61</f>
        <v>-234.43130600002439</v>
      </c>
      <c r="CC28" s="114">
        <f>+DEp!AC61</f>
        <v>-255.99367953536779</v>
      </c>
      <c r="CD28" s="114">
        <f>+DEp!AD61</f>
        <v>-276.30015810727241</v>
      </c>
      <c r="CE28" s="114">
        <f>+DEp!AE61</f>
        <v>-295.49434270723071</v>
      </c>
      <c r="CF28" s="741"/>
      <c r="CG28" s="750"/>
      <c r="CH28" s="753"/>
      <c r="CI28" s="269"/>
      <c r="CJ28" s="594"/>
      <c r="CK28" s="594"/>
      <c r="CL28" s="594"/>
      <c r="CM28" s="745"/>
      <c r="CN28" s="269"/>
      <c r="CO28" s="753"/>
      <c r="CP28" s="753"/>
      <c r="CQ28" s="269"/>
      <c r="CR28" s="269"/>
      <c r="CS28" s="753"/>
      <c r="CT28" s="269"/>
      <c r="CU28" s="269"/>
      <c r="CV28" s="269"/>
      <c r="CW28" s="269"/>
      <c r="CX28" s="269"/>
      <c r="CY28" s="269"/>
      <c r="CZ28" s="269"/>
      <c r="DA28" s="269"/>
      <c r="DB28" s="269"/>
      <c r="DC28" s="269"/>
      <c r="DD28" s="269"/>
    </row>
    <row r="29" spans="1:108" s="115" customFormat="1" ht="15">
      <c r="A29" s="1" t="s">
        <v>172</v>
      </c>
      <c r="B29" s="1"/>
      <c r="C29" s="109">
        <v>12.117000000000001</v>
      </c>
      <c r="D29" s="109">
        <v>11.718</v>
      </c>
      <c r="E29" s="109">
        <v>2.6890000000000001</v>
      </c>
      <c r="F29" s="36">
        <v>15.744999999999999</v>
      </c>
      <c r="G29" s="110">
        <v>13.2</v>
      </c>
      <c r="H29" s="109">
        <v>14.305999999999999</v>
      </c>
      <c r="I29" s="111">
        <v>11.3</v>
      </c>
      <c r="J29" s="111">
        <v>4.7</v>
      </c>
      <c r="K29" s="111">
        <f>0.5%*K12</f>
        <v>0</v>
      </c>
      <c r="L29" s="88">
        <f t="shared" si="18"/>
        <v>16</v>
      </c>
      <c r="M29" s="109">
        <f>+M27+M28</f>
        <v>-128.08199999999999</v>
      </c>
      <c r="N29" s="111">
        <v>4.8449999999999998</v>
      </c>
      <c r="O29" s="111">
        <v>138.255</v>
      </c>
      <c r="P29" s="111">
        <v>99.9</v>
      </c>
      <c r="Q29" s="111">
        <f>+R29-P29-O29-N29</f>
        <v>82.922000000000025</v>
      </c>
      <c r="R29" s="109">
        <f>+R27+R28</f>
        <v>325.92200000000003</v>
      </c>
      <c r="S29" s="128"/>
      <c r="T29" s="128"/>
      <c r="U29" s="128"/>
      <c r="V29" s="111"/>
      <c r="W29" s="109">
        <f>+W27+W28</f>
        <v>439.19299999999998</v>
      </c>
      <c r="X29" s="128">
        <v>205</v>
      </c>
      <c r="Y29" s="128">
        <v>259</v>
      </c>
      <c r="Z29" s="128">
        <v>216</v>
      </c>
      <c r="AA29" s="111">
        <f>+AB29-Z29-Y29-X29</f>
        <v>350.07799999999997</v>
      </c>
      <c r="AB29" s="109">
        <f>+AB27+AB28</f>
        <v>1030.078</v>
      </c>
      <c r="AC29" s="128">
        <v>129.721</v>
      </c>
      <c r="AD29" s="128">
        <v>33.279000000000003</v>
      </c>
      <c r="AE29" s="128">
        <v>65.099999999999994</v>
      </c>
      <c r="AF29" s="128">
        <f>+AG29-AE29-AD29-AC29</f>
        <v>-130.1</v>
      </c>
      <c r="AG29" s="109">
        <v>98</v>
      </c>
      <c r="AH29" s="128">
        <v>-157.666</v>
      </c>
      <c r="AI29" s="128">
        <f>+AI27</f>
        <v>-82.12</v>
      </c>
      <c r="AJ29" s="128">
        <v>-204.959</v>
      </c>
      <c r="AK29" s="38">
        <f t="shared" si="24"/>
        <v>247.04500000000002</v>
      </c>
      <c r="AL29" s="109">
        <f>+AL27+AL28</f>
        <v>-197.7</v>
      </c>
      <c r="AM29" s="128">
        <v>-178</v>
      </c>
      <c r="AN29" s="128">
        <v>-195</v>
      </c>
      <c r="AO29" s="128">
        <v>-29</v>
      </c>
      <c r="AP29" s="128">
        <f>AP25*0.35</f>
        <v>-765.99229094542727</v>
      </c>
      <c r="AQ29" s="109">
        <f>+AQ27+AQ28</f>
        <v>251.31899999999999</v>
      </c>
      <c r="AR29" s="113">
        <v>-94.811000000000007</v>
      </c>
      <c r="AS29" s="113">
        <f>SUM(AS27:AS28)</f>
        <v>99.9</v>
      </c>
      <c r="AT29" s="113">
        <f>SUM(AT27:AT28)</f>
        <v>50.35</v>
      </c>
      <c r="AU29" s="109">
        <f>+AU27+AU28</f>
        <v>125.381</v>
      </c>
      <c r="AV29" s="625">
        <v>3.4009999999999998</v>
      </c>
      <c r="AW29" s="625">
        <v>103.048</v>
      </c>
      <c r="AX29" s="625">
        <v>139.75</v>
      </c>
      <c r="AY29" s="625">
        <f>AY25*0.25</f>
        <v>74.145000000000181</v>
      </c>
      <c r="AZ29" s="114">
        <v>430.23099999999999</v>
      </c>
      <c r="BA29" s="625">
        <v>243.53200000000001</v>
      </c>
      <c r="BB29" s="625">
        <v>119.904</v>
      </c>
      <c r="BC29" s="625">
        <v>340.61700000000002</v>
      </c>
      <c r="BD29" s="622">
        <f>BE29-SUM(BA29:BC29)</f>
        <v>-648.40100000000007</v>
      </c>
      <c r="BE29" s="114">
        <v>55.652000000000001</v>
      </c>
      <c r="BF29" s="625">
        <v>74.905000000000001</v>
      </c>
      <c r="BG29" s="625">
        <v>466.387</v>
      </c>
      <c r="BH29" s="625">
        <v>346.34</v>
      </c>
      <c r="BI29" s="636">
        <f>BJ29-SUM(BF29:BH29)</f>
        <v>706.05700000000002</v>
      </c>
      <c r="BJ29" s="114">
        <v>1593.6890000000001</v>
      </c>
      <c r="BK29" s="625">
        <f>BK28+BK27</f>
        <v>478.99299999999999</v>
      </c>
      <c r="BL29" s="625">
        <v>337.09899999999999</v>
      </c>
      <c r="BM29" s="625">
        <v>481.548</v>
      </c>
      <c r="BN29" s="625">
        <f>BP29-BK29-BL29-BM29</f>
        <v>588.25900000000001</v>
      </c>
      <c r="BO29" s="627">
        <f t="shared" ref="BO29" si="54">BP29-BK29-BL29-BM29</f>
        <v>588.25900000000001</v>
      </c>
      <c r="BP29" s="93">
        <f>BP27+BP28</f>
        <v>1885.8989999999999</v>
      </c>
      <c r="BQ29" s="93">
        <f ca="1">BQ25*0.31</f>
        <v>555.06135800711661</v>
      </c>
      <c r="BR29" s="93">
        <v>484.36599999999999</v>
      </c>
      <c r="BS29" s="93">
        <f ca="1">BS25*0.31</f>
        <v>760.1433952784248</v>
      </c>
      <c r="BT29" s="93"/>
      <c r="BU29" s="114">
        <f t="shared" ref="BU29:CE29" si="55">BU25*BU48</f>
        <v>3075.6329894404871</v>
      </c>
      <c r="BV29" s="114">
        <f t="shared" si="55"/>
        <v>3388.6657938150142</v>
      </c>
      <c r="BW29" s="114">
        <f t="shared" si="55"/>
        <v>3484.9978662633621</v>
      </c>
      <c r="BX29" s="114">
        <f t="shared" si="55"/>
        <v>3663.9943676881448</v>
      </c>
      <c r="BY29" s="114">
        <f t="shared" si="55"/>
        <v>3655.4576072029017</v>
      </c>
      <c r="BZ29" s="114">
        <f t="shared" si="55"/>
        <v>3720.0533743737101</v>
      </c>
      <c r="CA29" s="114">
        <f t="shared" si="55"/>
        <v>3795.9733620041902</v>
      </c>
      <c r="CB29" s="114">
        <f t="shared" si="55"/>
        <v>3892.2359090444243</v>
      </c>
      <c r="CC29" s="114">
        <f t="shared" si="55"/>
        <v>4007.306356327842</v>
      </c>
      <c r="CD29" s="114">
        <f t="shared" si="55"/>
        <v>4148.1321231706524</v>
      </c>
      <c r="CE29" s="114">
        <f t="shared" si="55"/>
        <v>4982.7886774801209</v>
      </c>
      <c r="CF29" s="741"/>
      <c r="CG29" s="746"/>
      <c r="CH29" s="741"/>
      <c r="CI29" s="747"/>
      <c r="CJ29" s="748"/>
      <c r="CK29" s="748"/>
      <c r="CL29" s="748"/>
      <c r="CM29" s="745"/>
      <c r="CN29" s="747"/>
      <c r="CO29" s="747"/>
      <c r="CP29" s="747"/>
      <c r="CQ29" s="747"/>
      <c r="CR29" s="747"/>
      <c r="CS29" s="747"/>
      <c r="CT29" s="747"/>
      <c r="CU29" s="747"/>
      <c r="CV29" s="747"/>
      <c r="CW29" s="747"/>
      <c r="CX29" s="747"/>
      <c r="CY29" s="747"/>
      <c r="CZ29" s="747"/>
      <c r="DA29" s="747"/>
      <c r="DB29" s="747"/>
      <c r="DC29" s="747"/>
      <c r="DD29" s="747"/>
    </row>
    <row r="30" spans="1:108" s="64" customFormat="1">
      <c r="A30" s="64" t="s">
        <v>173</v>
      </c>
      <c r="C30" s="65" t="e">
        <f t="shared" ref="C30:H30" si="56">C25-C29</f>
        <v>#REF!</v>
      </c>
      <c r="D30" s="65" t="e">
        <f t="shared" si="56"/>
        <v>#REF!</v>
      </c>
      <c r="E30" s="65" t="e">
        <f t="shared" si="56"/>
        <v>#REF!</v>
      </c>
      <c r="F30" s="65">
        <f t="shared" si="56"/>
        <v>-101.19899999999956</v>
      </c>
      <c r="G30" s="66" t="e">
        <f t="shared" si="56"/>
        <v>#REF!</v>
      </c>
      <c r="H30" s="65">
        <f t="shared" si="56"/>
        <v>279.86799999999954</v>
      </c>
      <c r="I30" s="67">
        <f>+I25-I29</f>
        <v>176.15899999999982</v>
      </c>
      <c r="J30" s="67">
        <f>+J25-J29</f>
        <v>24.459000000000135</v>
      </c>
      <c r="K30" s="67" t="e">
        <f>+K25-K29</f>
        <v>#REF!</v>
      </c>
      <c r="L30" s="67" t="e">
        <f>+L25-L29</f>
        <v>#REF!</v>
      </c>
      <c r="M30" s="65" t="e">
        <f>+M25-M29</f>
        <v>#REF!</v>
      </c>
      <c r="N30" s="68">
        <f>N25-N29</f>
        <v>245.86800000000008</v>
      </c>
      <c r="O30" s="67">
        <f>O25-O29</f>
        <v>177.12499999999983</v>
      </c>
      <c r="P30" s="67">
        <f>P25-P29</f>
        <v>168.35399999999996</v>
      </c>
      <c r="Q30" s="67">
        <f>Q25-Q29</f>
        <v>203.14599999999973</v>
      </c>
      <c r="R30" s="69">
        <f>R25-R29</f>
        <v>794.49299999999994</v>
      </c>
      <c r="S30" s="67"/>
      <c r="T30" s="67"/>
      <c r="U30" s="67"/>
      <c r="V30" s="67"/>
      <c r="W30" s="69">
        <f t="shared" ref="W30:AE30" si="57">W25-W29</f>
        <v>1682.0780000000007</v>
      </c>
      <c r="X30" s="70">
        <f t="shared" si="57"/>
        <v>506.80200000000002</v>
      </c>
      <c r="Y30" s="70">
        <f t="shared" si="57"/>
        <v>625.67999999999995</v>
      </c>
      <c r="Z30" s="70">
        <f t="shared" si="57"/>
        <v>564.58900000000006</v>
      </c>
      <c r="AA30" s="67">
        <f t="shared" si="57"/>
        <v>730.95699999999943</v>
      </c>
      <c r="AB30" s="69">
        <f t="shared" si="57"/>
        <v>2428.0280000000002</v>
      </c>
      <c r="AC30" s="70">
        <f t="shared" si="57"/>
        <v>487.99800000000005</v>
      </c>
      <c r="AD30" s="70">
        <f t="shared" si="57"/>
        <v>377.79300000000012</v>
      </c>
      <c r="AE30" s="70">
        <f t="shared" si="57"/>
        <v>299.78199999999993</v>
      </c>
      <c r="AF30" s="70">
        <f t="shared" ref="AF30:AQ30" si="58">AF25-AF29</f>
        <v>471.06099999999947</v>
      </c>
      <c r="AG30" s="69">
        <f t="shared" si="58"/>
        <v>1636.6339999999998</v>
      </c>
      <c r="AH30" s="70">
        <f t="shared" si="58"/>
        <v>267.92700000000002</v>
      </c>
      <c r="AI30" s="70">
        <f>+AI25-AI29</f>
        <v>62.685000000000002</v>
      </c>
      <c r="AJ30" s="70">
        <f>AJ25-AJ29</f>
        <v>157.76700000000028</v>
      </c>
      <c r="AK30" s="38">
        <f t="shared" si="24"/>
        <v>-541.60900000000106</v>
      </c>
      <c r="AL30" s="69">
        <f t="shared" si="58"/>
        <v>-53.230000000000786</v>
      </c>
      <c r="AM30" s="70">
        <f>AM25-AM29</f>
        <v>-168.65100000000052</v>
      </c>
      <c r="AN30" s="70">
        <f t="shared" si="58"/>
        <v>295.69899999999996</v>
      </c>
      <c r="AO30" s="70">
        <f t="shared" si="58"/>
        <v>194.04899999999986</v>
      </c>
      <c r="AP30" s="70">
        <f>AP25-AP29</f>
        <v>-1422.5571117557938</v>
      </c>
      <c r="AQ30" s="65">
        <f t="shared" si="58"/>
        <v>525.58559059999925</v>
      </c>
      <c r="AR30" s="65">
        <f t="shared" ref="AR30:BC30" si="59">AR25-AR29</f>
        <v>584.61900000000003</v>
      </c>
      <c r="AS30" s="65">
        <f t="shared" si="59"/>
        <v>-113.78799999999998</v>
      </c>
      <c r="AT30" s="65">
        <f t="shared" si="59"/>
        <v>-88.212999999999994</v>
      </c>
      <c r="AU30" s="71">
        <f t="shared" si="59"/>
        <v>823.05317900000193</v>
      </c>
      <c r="AV30" s="628">
        <f t="shared" si="59"/>
        <v>22.145999999999855</v>
      </c>
      <c r="AW30" s="628">
        <f t="shared" si="59"/>
        <v>169.99000000000035</v>
      </c>
      <c r="AX30" s="628">
        <f t="shared" si="59"/>
        <v>-14.887000000000057</v>
      </c>
      <c r="AY30" s="628">
        <f t="shared" si="59"/>
        <v>222.43500000000054</v>
      </c>
      <c r="AZ30" s="72">
        <f t="shared" si="59"/>
        <v>170.96100000000115</v>
      </c>
      <c r="BA30" s="628">
        <f t="shared" si="59"/>
        <v>317.74900000000014</v>
      </c>
      <c r="BB30" s="628">
        <f t="shared" si="59"/>
        <v>961.69099999999935</v>
      </c>
      <c r="BC30" s="803">
        <f t="shared" si="59"/>
        <v>792.1550000000002</v>
      </c>
      <c r="BD30" s="622">
        <f>BE30-SUM(BA30:BC30)</f>
        <v>2036.5229999999988</v>
      </c>
      <c r="BE30" s="72">
        <f>BE25+BE29</f>
        <v>4108.1179999999986</v>
      </c>
      <c r="BF30" s="803">
        <f t="shared" ref="BF30:BU30" si="60">BF25-BF29</f>
        <v>1438.8979999999999</v>
      </c>
      <c r="BG30" s="803">
        <f t="shared" si="60"/>
        <v>1474.4019999999998</v>
      </c>
      <c r="BH30" s="803">
        <f t="shared" si="60"/>
        <v>1328.4479999999992</v>
      </c>
      <c r="BI30" s="803">
        <f t="shared" si="60"/>
        <v>1156.6090199999985</v>
      </c>
      <c r="BJ30" s="72">
        <f>BJ25-BJ29</f>
        <v>5502.1689999999971</v>
      </c>
      <c r="BK30" s="803">
        <f t="shared" ref="BK30:BS30" si="61">BK25-BK29</f>
        <v>1067.2530000000008</v>
      </c>
      <c r="BL30" s="803">
        <f t="shared" si="61"/>
        <v>1601.8179999999988</v>
      </c>
      <c r="BM30" s="803">
        <f t="shared" si="61"/>
        <v>1274.7239999999997</v>
      </c>
      <c r="BN30" s="803">
        <f t="shared" si="61"/>
        <v>2021.7029999999977</v>
      </c>
      <c r="BO30" s="803">
        <f t="shared" si="61"/>
        <v>2021.7029999999991</v>
      </c>
      <c r="BP30" s="72">
        <f>BP25-BP29</f>
        <v>5965.4979999999978</v>
      </c>
      <c r="BQ30" s="803">
        <f t="shared" ca="1" si="61"/>
        <v>1235.4591516932596</v>
      </c>
      <c r="BR30" s="803">
        <f t="shared" si="61"/>
        <v>1157.4390000000001</v>
      </c>
      <c r="BS30" s="803">
        <f t="shared" ca="1" si="61"/>
        <v>1691.9320733616553</v>
      </c>
      <c r="BT30" s="72"/>
      <c r="BU30" s="72">
        <f t="shared" si="60"/>
        <v>6845.7637506901165</v>
      </c>
      <c r="BV30" s="72">
        <f t="shared" ref="BV30:CE30" si="62">BV25-BV29</f>
        <v>7542.5141862334185</v>
      </c>
      <c r="BW30" s="72">
        <f t="shared" si="62"/>
        <v>7756.9307345861926</v>
      </c>
      <c r="BX30" s="72">
        <f t="shared" si="62"/>
        <v>8155.3423022736133</v>
      </c>
      <c r="BY30" s="72">
        <f t="shared" si="62"/>
        <v>8136.341125709685</v>
      </c>
      <c r="BZ30" s="72">
        <f t="shared" si="62"/>
        <v>8280.1188010253536</v>
      </c>
      <c r="CA30" s="72">
        <f t="shared" si="62"/>
        <v>8449.1019992996498</v>
      </c>
      <c r="CB30" s="72">
        <f t="shared" si="62"/>
        <v>8663.3637975504935</v>
      </c>
      <c r="CC30" s="72">
        <f t="shared" si="62"/>
        <v>8919.4883415039076</v>
      </c>
      <c r="CD30" s="72">
        <f t="shared" si="62"/>
        <v>9232.9392418959687</v>
      </c>
      <c r="CE30" s="72">
        <f t="shared" si="62"/>
        <v>11090.723185358978</v>
      </c>
      <c r="CF30" s="741"/>
      <c r="CG30" s="755"/>
      <c r="CH30" s="741"/>
      <c r="CI30" s="756"/>
      <c r="CJ30" s="757"/>
      <c r="CK30" s="757"/>
      <c r="CL30" s="757"/>
      <c r="CM30" s="745"/>
      <c r="CN30" s="756"/>
      <c r="CO30" s="756"/>
      <c r="CP30" s="756"/>
      <c r="CQ30" s="756"/>
      <c r="CR30" s="756"/>
      <c r="CS30" s="756"/>
      <c r="CT30" s="756"/>
      <c r="CU30" s="756"/>
      <c r="CV30" s="756"/>
      <c r="CW30" s="756"/>
      <c r="CX30" s="756"/>
      <c r="CY30" s="756"/>
      <c r="CZ30" s="756"/>
      <c r="DA30" s="756"/>
      <c r="DB30" s="756"/>
      <c r="DC30" s="756"/>
      <c r="DD30" s="756"/>
    </row>
    <row r="31" spans="1:108" s="64" customFormat="1">
      <c r="A31" s="64" t="s">
        <v>471</v>
      </c>
      <c r="C31" s="65"/>
      <c r="D31" s="65"/>
      <c r="E31" s="65"/>
      <c r="F31" s="65"/>
      <c r="G31" s="66"/>
      <c r="H31" s="65"/>
      <c r="I31" s="67"/>
      <c r="J31" s="67"/>
      <c r="K31" s="67"/>
      <c r="L31" s="67"/>
      <c r="M31" s="65"/>
      <c r="N31" s="68"/>
      <c r="O31" s="67"/>
      <c r="P31" s="67"/>
      <c r="Q31" s="67"/>
      <c r="R31" s="69"/>
      <c r="S31" s="67"/>
      <c r="T31" s="67"/>
      <c r="U31" s="67"/>
      <c r="V31" s="67"/>
      <c r="W31" s="69"/>
      <c r="X31" s="67">
        <f>+X30</f>
        <v>506.80200000000002</v>
      </c>
      <c r="Y31" s="67">
        <f>+Y30</f>
        <v>625.67999999999995</v>
      </c>
      <c r="Z31" s="67">
        <f>+Z30</f>
        <v>564.58900000000006</v>
      </c>
      <c r="AA31" s="67">
        <f>AA25-AA29-9.573</f>
        <v>721.38399999999945</v>
      </c>
      <c r="AB31" s="69">
        <f>AB25-AB29-9.573</f>
        <v>2418.4550000000004</v>
      </c>
      <c r="AC31" s="70">
        <f>AC25-AC29-4.068</f>
        <v>483.93000000000006</v>
      </c>
      <c r="AD31" s="70">
        <f>AD25-AD29-7.167</f>
        <v>370.62600000000015</v>
      </c>
      <c r="AE31" s="70">
        <f>AE25-AE29-0.804</f>
        <v>298.97799999999995</v>
      </c>
      <c r="AF31" s="70">
        <f>AF25-AF29-2.124</f>
        <v>468.93699999999944</v>
      </c>
      <c r="AG31" s="71">
        <f>AG25-AG29-14.163</f>
        <v>1622.4709999999998</v>
      </c>
      <c r="AH31" s="70">
        <f>AH25-AH29</f>
        <v>267.92700000000002</v>
      </c>
      <c r="AI31" s="70">
        <f>AI25-AI29-0.958</f>
        <v>61.727000000000004</v>
      </c>
      <c r="AJ31" s="70">
        <f>AJ25-AJ29-0.804</f>
        <v>156.96300000000028</v>
      </c>
      <c r="AK31" s="38">
        <f t="shared" si="24"/>
        <v>-539.84700000000112</v>
      </c>
      <c r="AL31" s="71">
        <f>AL25-AL29</f>
        <v>-53.230000000000786</v>
      </c>
      <c r="AM31" s="70">
        <f>AM25-AM29-2.124</f>
        <v>-170.77500000000052</v>
      </c>
      <c r="AN31" s="70">
        <f>AN25-AN29-14.163</f>
        <v>281.53599999999994</v>
      </c>
      <c r="AO31" s="70">
        <f>AO25-AO29</f>
        <v>194.04899999999986</v>
      </c>
      <c r="AP31" s="70">
        <f>AP25-AP29-14.163</f>
        <v>-1436.7201117557938</v>
      </c>
      <c r="AQ31" s="71">
        <f>AQ25-AQ29-14.163</f>
        <v>511.42259059999924</v>
      </c>
      <c r="AR31" s="71">
        <f>AR25-AR29-14.163</f>
        <v>570.45600000000002</v>
      </c>
      <c r="AS31" s="71">
        <f>AS25-AS29-14.163</f>
        <v>-127.95099999999998</v>
      </c>
      <c r="AT31" s="71"/>
      <c r="AU31" s="71">
        <f>AU25-AU29-14.163</f>
        <v>808.89017900000192</v>
      </c>
      <c r="AV31" s="628"/>
      <c r="AW31" s="628"/>
      <c r="AX31" s="628"/>
      <c r="AY31" s="628"/>
      <c r="AZ31" s="129">
        <f>AZ25-AZ29-14.163</f>
        <v>156.79800000000114</v>
      </c>
      <c r="BA31" s="628"/>
      <c r="BB31" s="1011">
        <f>SUM(BA29:BB29)/SUM(BA25:BB25)-1</f>
        <v>-0.77878062617020394</v>
      </c>
      <c r="BC31" s="803"/>
      <c r="BD31" s="628"/>
      <c r="BE31" s="1009">
        <f>BE30/(AVERAGE(BS!P17:Q17))</f>
        <v>0.13011096249179405</v>
      </c>
      <c r="BF31" s="628"/>
      <c r="BG31" s="628"/>
      <c r="BH31" s="628"/>
      <c r="BI31" s="628"/>
      <c r="BJ31" s="129"/>
      <c r="BK31" s="628"/>
      <c r="BL31" s="628"/>
      <c r="BM31" s="628"/>
      <c r="BN31" s="628"/>
      <c r="BO31" s="628"/>
      <c r="BP31" s="129"/>
      <c r="BQ31" s="129"/>
      <c r="BR31" s="129"/>
      <c r="BS31" s="129"/>
      <c r="BT31" s="129"/>
      <c r="BU31" s="129"/>
      <c r="BV31" s="129"/>
      <c r="BW31" s="129"/>
      <c r="BX31" s="129"/>
      <c r="BY31" s="129"/>
      <c r="BZ31" s="129"/>
      <c r="CA31" s="129"/>
      <c r="CB31" s="129"/>
      <c r="CC31" s="129"/>
      <c r="CD31" s="129"/>
      <c r="CE31" s="129"/>
      <c r="CF31" s="741"/>
      <c r="CG31" s="755"/>
      <c r="CH31" s="741"/>
      <c r="CI31" s="756"/>
      <c r="CJ31" s="757"/>
      <c r="CK31" s="757"/>
      <c r="CL31" s="757"/>
      <c r="CM31" s="745"/>
      <c r="CN31" s="756"/>
      <c r="CO31" s="756"/>
      <c r="CP31" s="756"/>
      <c r="CQ31" s="756"/>
      <c r="CR31" s="756"/>
      <c r="CS31" s="756"/>
      <c r="CT31" s="756"/>
      <c r="CU31" s="756"/>
      <c r="CV31" s="756"/>
      <c r="CW31" s="756"/>
      <c r="CX31" s="756"/>
      <c r="CY31" s="756"/>
      <c r="CZ31" s="756"/>
      <c r="DA31" s="756"/>
      <c r="DB31" s="756"/>
      <c r="DC31" s="756"/>
      <c r="DD31" s="756"/>
    </row>
    <row r="32" spans="1:108">
      <c r="I32" s="40"/>
      <c r="J32" s="40"/>
      <c r="K32" s="40"/>
      <c r="L32" s="40"/>
      <c r="N32" s="40"/>
      <c r="O32" s="40"/>
      <c r="P32" s="40"/>
      <c r="Q32" s="40"/>
      <c r="R32" s="130"/>
      <c r="S32" s="40"/>
      <c r="T32" s="40"/>
      <c r="U32" s="40"/>
      <c r="V32" s="42"/>
      <c r="X32" s="40"/>
      <c r="Y32" s="40"/>
      <c r="Z32" s="40"/>
      <c r="AA32" s="42"/>
      <c r="AB32" s="34"/>
      <c r="AC32" s="40"/>
      <c r="AD32" s="40"/>
      <c r="AE32" s="40"/>
      <c r="AF32" s="40"/>
      <c r="AG32" s="12"/>
      <c r="AH32" s="40"/>
      <c r="AI32" s="40"/>
      <c r="AJ32" s="40"/>
      <c r="AK32" s="40"/>
      <c r="AL32" s="40"/>
      <c r="AQ32" s="12"/>
      <c r="AR32" s="32">
        <f t="shared" ref="AR32:AX32" si="63">AR29/AR25</f>
        <v>-0.19356768366380295</v>
      </c>
      <c r="AS32" s="32">
        <f t="shared" si="63"/>
        <v>-7.1932603686636067</v>
      </c>
      <c r="AT32" s="32">
        <f t="shared" si="63"/>
        <v>-1.3297942582468374</v>
      </c>
      <c r="AU32" s="32">
        <f t="shared" si="63"/>
        <v>0.13219789288087197</v>
      </c>
      <c r="AV32" s="629">
        <f t="shared" si="63"/>
        <v>0.1331271773593776</v>
      </c>
      <c r="AW32" s="629">
        <f t="shared" si="63"/>
        <v>0.37741266783378091</v>
      </c>
      <c r="AX32" s="629">
        <f t="shared" si="63"/>
        <v>1.1192266724329871</v>
      </c>
      <c r="AY32" s="629"/>
      <c r="AZ32" s="79"/>
      <c r="BA32" s="629">
        <f>BA29/BA25</f>
        <v>0.43388605707301681</v>
      </c>
      <c r="BB32" s="629">
        <f>BB29/BB25</f>
        <v>0.11085850064025821</v>
      </c>
      <c r="BC32" s="636">
        <f>BC29/BC25</f>
        <v>0.30069334340891191</v>
      </c>
      <c r="BD32" s="629">
        <f>BD29/BD25</f>
        <v>-0.50782570421156359</v>
      </c>
      <c r="BE32" s="79"/>
      <c r="BF32" s="629">
        <f>BF29/BF25</f>
        <v>4.9481339381676481E-2</v>
      </c>
      <c r="BG32" s="629">
        <f>BG29/BG25</f>
        <v>0.24030793661753033</v>
      </c>
      <c r="BH32" s="629">
        <f>BH29/BH25</f>
        <v>0.20679632287788077</v>
      </c>
      <c r="BI32" s="649">
        <f t="shared" ref="BI32:BM32" si="64">BI29/BI25</f>
        <v>0.37905721821242039</v>
      </c>
      <c r="BJ32" s="604">
        <f t="shared" si="64"/>
        <v>0.22459426330121046</v>
      </c>
      <c r="BK32" s="649">
        <f t="shared" si="64"/>
        <v>0.30977800427616287</v>
      </c>
      <c r="BL32" s="649">
        <f t="shared" si="64"/>
        <v>0.17385942771144933</v>
      </c>
      <c r="BM32" s="649">
        <f t="shared" si="64"/>
        <v>0.27418759736532844</v>
      </c>
      <c r="BN32" s="619"/>
      <c r="BO32" s="61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41"/>
      <c r="CG32" s="592"/>
      <c r="CH32" s="269"/>
      <c r="CI32" s="269"/>
      <c r="CJ32" s="594"/>
      <c r="CK32" s="758"/>
      <c r="CL32" s="594"/>
      <c r="CM32" s="269"/>
      <c r="CN32" s="269"/>
      <c r="CO32" s="269"/>
      <c r="CP32" s="269"/>
      <c r="CQ32" s="269"/>
      <c r="CR32" s="269"/>
      <c r="CS32" s="269"/>
      <c r="CT32" s="269"/>
      <c r="CU32" s="269"/>
      <c r="CV32" s="269"/>
      <c r="CW32" s="269"/>
      <c r="CX32" s="269"/>
      <c r="CY32" s="269"/>
      <c r="CZ32" s="269"/>
      <c r="DA32" s="269"/>
      <c r="DB32" s="269"/>
      <c r="DC32" s="269"/>
      <c r="DD32" s="269"/>
    </row>
    <row r="33" spans="1:108">
      <c r="A33" s="1" t="s">
        <v>1</v>
      </c>
      <c r="C33" s="36" t="e">
        <f t="shared" ref="C33:L33" si="65">C30/C44</f>
        <v>#REF!</v>
      </c>
      <c r="D33" s="36" t="e">
        <f t="shared" si="65"/>
        <v>#REF!</v>
      </c>
      <c r="E33" s="36" t="e">
        <f t="shared" si="65"/>
        <v>#REF!</v>
      </c>
      <c r="F33" s="131">
        <f t="shared" si="65"/>
        <v>-0.66407290700131083</v>
      </c>
      <c r="G33" s="92" t="e">
        <f t="shared" si="65"/>
        <v>#REF!</v>
      </c>
      <c r="H33" s="131">
        <f t="shared" si="65"/>
        <v>1.8365078344315988</v>
      </c>
      <c r="I33" s="132">
        <f t="shared" si="65"/>
        <v>1.0508766667415526</v>
      </c>
      <c r="J33" s="132">
        <f t="shared" si="65"/>
        <v>0.1459101856381553</v>
      </c>
      <c r="K33" s="132" t="e">
        <f t="shared" si="65"/>
        <v>#REF!</v>
      </c>
      <c r="L33" s="132" t="e">
        <f t="shared" si="65"/>
        <v>#REF!</v>
      </c>
      <c r="M33" s="133" t="e">
        <f>(M30-7.07)/M44</f>
        <v>#REF!</v>
      </c>
      <c r="N33" s="134">
        <f>N30/N44</f>
        <v>1.466725049006566</v>
      </c>
      <c r="O33" s="134">
        <f>O30/O44</f>
        <v>1.0566388236992519</v>
      </c>
      <c r="P33" s="134">
        <f>P30/P44</f>
        <v>1.0043154412141932</v>
      </c>
      <c r="Q33" s="134">
        <f>Q30/Q44</f>
        <v>1.2118670457541745</v>
      </c>
      <c r="R33" s="131">
        <f>(R30-(R46*1))/R44</f>
        <v>4.5286600417823468</v>
      </c>
      <c r="S33" s="88"/>
      <c r="T33" s="88"/>
      <c r="U33" s="88"/>
      <c r="V33" s="88"/>
      <c r="W33" s="131">
        <f>+W30/W44</f>
        <v>6.6343389767562817</v>
      </c>
      <c r="X33" s="88">
        <f>(X30-(X46*1))/X44</f>
        <v>1.9988943806993706</v>
      </c>
      <c r="Y33" s="88">
        <f>(Y30-(Y46*1))/Y44</f>
        <v>2.4677649972099203</v>
      </c>
      <c r="Z33" s="88">
        <f>(Z30-(Z46*1))/Z44</f>
        <v>2.2268139816036183</v>
      </c>
      <c r="AA33" s="88">
        <f>(AA30-(AA46*1))/AA44</f>
        <v>2.8829914637923069</v>
      </c>
      <c r="AB33" s="131">
        <f>+AB31/AB44</f>
        <v>9.538707640211161</v>
      </c>
      <c r="AC33" s="88">
        <f>(AC30)/AC44</f>
        <v>1.9247289079216963</v>
      </c>
      <c r="AD33" s="88">
        <f>(AD30)/AD44</f>
        <v>1.4900657550040401</v>
      </c>
      <c r="AE33" s="88">
        <f>(AE30)/AE44</f>
        <v>1.1823800127758346</v>
      </c>
      <c r="AF33" s="88">
        <f>(AF30)/AF44</f>
        <v>1.8579271310425474</v>
      </c>
      <c r="AG33" s="131">
        <f>+AG31/AG44</f>
        <v>6.3992410541941194</v>
      </c>
      <c r="AH33" s="88">
        <f>(AH30)/AH44</f>
        <v>1.0567396630984887</v>
      </c>
      <c r="AI33" s="88">
        <f>(AI30)/AI44</f>
        <v>0.24723796325614353</v>
      </c>
      <c r="AJ33" s="88">
        <f>(AJ30)/AJ44</f>
        <v>0.62225399615589161</v>
      </c>
      <c r="AK33" s="88">
        <f>(AK30)/AK44</f>
        <v>-2.1361778103405422</v>
      </c>
      <c r="AL33" s="131">
        <f>AL30/AL44</f>
        <v>-0.20994618783001856</v>
      </c>
      <c r="AM33" s="88">
        <f>(AM30)/AM44</f>
        <v>-0.66518193732331476</v>
      </c>
      <c r="AN33" s="134">
        <f>(AN30)/AN44</f>
        <v>1.1662761186388828</v>
      </c>
      <c r="AO33" s="134">
        <f>AO30/AO44</f>
        <v>6.3779583460148101E-2</v>
      </c>
      <c r="AP33" s="134">
        <f>AP30/AP44</f>
        <v>-0.46756283225399747</v>
      </c>
      <c r="AQ33" s="102">
        <f>AQ30/AQ44</f>
        <v>1.727482796744584</v>
      </c>
      <c r="AR33" s="102" t="e">
        <f>AR30/AR44</f>
        <v>#REF!</v>
      </c>
      <c r="AS33" s="102">
        <v>-0.38</v>
      </c>
      <c r="AT33" s="102">
        <v>-0.27</v>
      </c>
      <c r="AU33" s="102">
        <f>AU30/AU44</f>
        <v>2.2543287683614635</v>
      </c>
      <c r="AV33" s="630">
        <f t="shared" ref="AV33:BD33" si="66">AV30/438.1192</f>
        <v>5.0547887424244035E-2</v>
      </c>
      <c r="AW33" s="630">
        <f t="shared" si="66"/>
        <v>0.38799943029203093</v>
      </c>
      <c r="AX33" s="630">
        <f t="shared" si="66"/>
        <v>-3.3979337130169276E-2</v>
      </c>
      <c r="AY33" s="630">
        <f t="shared" si="66"/>
        <v>0.50770429599981137</v>
      </c>
      <c r="AZ33" s="135">
        <f t="shared" si="66"/>
        <v>0.39021572211398442</v>
      </c>
      <c r="BA33" s="630">
        <f t="shared" si="66"/>
        <v>0.72525696203225098</v>
      </c>
      <c r="BB33" s="630">
        <f t="shared" si="66"/>
        <v>2.1950441797574709</v>
      </c>
      <c r="BC33" s="630">
        <f t="shared" si="66"/>
        <v>1.8080809971350269</v>
      </c>
      <c r="BD33" s="630">
        <f t="shared" si="66"/>
        <v>4.6483308652074573</v>
      </c>
      <c r="BE33" s="135">
        <f t="shared" ref="BE33:BI33" si="67">BE30/BE44</f>
        <v>9.3767130041322062</v>
      </c>
      <c r="BF33" s="630">
        <f t="shared" si="67"/>
        <v>3.2842614521344875</v>
      </c>
      <c r="BG33" s="630">
        <f t="shared" si="67"/>
        <v>3.3652987588765795</v>
      </c>
      <c r="BH33" s="630">
        <f t="shared" si="67"/>
        <v>3.0321611104923027</v>
      </c>
      <c r="BI33" s="630">
        <f t="shared" si="67"/>
        <v>2.6399414132044399</v>
      </c>
      <c r="BJ33" s="135">
        <f>BJ30/BJ44</f>
        <v>12.558611902879393</v>
      </c>
      <c r="BK33" s="630">
        <f t="shared" ref="BK33:BS33" si="68">BK30/BK44</f>
        <v>2.435987740322727</v>
      </c>
      <c r="BL33" s="630">
        <f t="shared" si="68"/>
        <v>3.6561237215807911</v>
      </c>
      <c r="BM33" s="630">
        <f t="shared" si="68"/>
        <v>2.9095369479356297</v>
      </c>
      <c r="BN33" s="630">
        <f t="shared" si="68"/>
        <v>4.6145044544954841</v>
      </c>
      <c r="BO33" s="630">
        <f t="shared" si="68"/>
        <v>4.6145044544954867</v>
      </c>
      <c r="BP33" s="135">
        <f t="shared" ref="BP33:CE33" si="69">BP30/BP44</f>
        <v>13.616152864334634</v>
      </c>
      <c r="BQ33" s="630">
        <f t="shared" ca="1" si="68"/>
        <v>2.819915565657154</v>
      </c>
      <c r="BR33" s="630">
        <f t="shared" si="68"/>
        <v>2.641835829153345</v>
      </c>
      <c r="BS33" s="630">
        <f t="shared" ca="1" si="68"/>
        <v>3.8618076390207401</v>
      </c>
      <c r="BT33" s="135"/>
      <c r="BU33" s="135">
        <f t="shared" si="69"/>
        <v>15.625345227258054</v>
      </c>
      <c r="BV33" s="135">
        <f t="shared" si="69"/>
        <v>17.215666846450507</v>
      </c>
      <c r="BW33" s="135">
        <f t="shared" si="69"/>
        <v>17.705069156033776</v>
      </c>
      <c r="BX33" s="135">
        <f t="shared" si="69"/>
        <v>18.614437126411293</v>
      </c>
      <c r="BY33" s="135">
        <f t="shared" si="69"/>
        <v>18.571067247702647</v>
      </c>
      <c r="BZ33" s="135">
        <f t="shared" si="69"/>
        <v>18.899237470134508</v>
      </c>
      <c r="CA33" s="135">
        <f t="shared" si="69"/>
        <v>19.284938891743732</v>
      </c>
      <c r="CB33" s="135">
        <f t="shared" si="69"/>
        <v>19.773987986717984</v>
      </c>
      <c r="CC33" s="135">
        <f t="shared" si="69"/>
        <v>20.358588122830287</v>
      </c>
      <c r="CD33" s="135">
        <f t="shared" si="69"/>
        <v>21.074034741905784</v>
      </c>
      <c r="CE33" s="135">
        <f t="shared" si="69"/>
        <v>25.314396596540345</v>
      </c>
      <c r="CF33" s="741"/>
      <c r="CG33" s="749"/>
      <c r="CH33" s="269"/>
      <c r="CI33" s="269"/>
      <c r="CJ33" s="281"/>
      <c r="CK33" s="281"/>
      <c r="CL33" s="281"/>
      <c r="CM33" s="281"/>
      <c r="CN33" s="281"/>
      <c r="CO33" s="281"/>
      <c r="CP33" s="269"/>
      <c r="CQ33" s="269"/>
      <c r="CR33" s="269"/>
      <c r="CS33" s="269"/>
      <c r="CT33" s="269"/>
      <c r="CU33" s="269"/>
      <c r="CV33" s="269"/>
      <c r="CW33" s="269"/>
      <c r="CX33" s="269"/>
      <c r="CY33" s="269"/>
      <c r="CZ33" s="269"/>
      <c r="DA33" s="269"/>
      <c r="DB33" s="269"/>
      <c r="DC33" s="269"/>
      <c r="DD33" s="269"/>
    </row>
    <row r="34" spans="1:108" s="141" customFormat="1">
      <c r="A34" s="136" t="s">
        <v>175</v>
      </c>
      <c r="B34" s="136"/>
      <c r="C34" s="137" t="e">
        <f>+C30/$AU$44</f>
        <v>#REF!</v>
      </c>
      <c r="D34" s="137" t="e">
        <f t="shared" ref="D34:L34" si="70">+D30/$AU$44</f>
        <v>#REF!</v>
      </c>
      <c r="E34" s="137" t="e">
        <f t="shared" si="70"/>
        <v>#REF!</v>
      </c>
      <c r="F34" s="138">
        <f t="shared" si="70"/>
        <v>-0.27718235327952023</v>
      </c>
      <c r="G34" s="137" t="e">
        <f t="shared" si="70"/>
        <v>#REF!</v>
      </c>
      <c r="H34" s="138">
        <f t="shared" si="70"/>
        <v>0.76655372926247278</v>
      </c>
      <c r="I34" s="103">
        <f t="shared" si="70"/>
        <v>0.48249652833888845</v>
      </c>
      <c r="J34" s="103">
        <f t="shared" si="70"/>
        <v>6.6992788257431921E-2</v>
      </c>
      <c r="K34" s="103" t="e">
        <f t="shared" si="70"/>
        <v>#REF!</v>
      </c>
      <c r="L34" s="103" t="e">
        <f t="shared" si="70"/>
        <v>#REF!</v>
      </c>
      <c r="M34" s="138" t="e">
        <f t="shared" ref="M34:R34" si="71">+(M30-(M46*1))/$AU$44</f>
        <v>#REF!</v>
      </c>
      <c r="N34" s="103">
        <f t="shared" si="71"/>
        <v>0.67342830300822543</v>
      </c>
      <c r="O34" s="103">
        <f t="shared" si="71"/>
        <v>0.48514238603775917</v>
      </c>
      <c r="P34" s="103">
        <f t="shared" si="71"/>
        <v>0.46111876504728844</v>
      </c>
      <c r="Q34" s="103">
        <f t="shared" si="71"/>
        <v>0.55641346593663565</v>
      </c>
      <c r="R34" s="138">
        <f t="shared" si="71"/>
        <v>2.0792771275736168</v>
      </c>
      <c r="S34" s="137"/>
      <c r="T34" s="137"/>
      <c r="U34" s="137"/>
      <c r="V34" s="137"/>
      <c r="W34" s="138">
        <f>+(W30-(W46*W37))/$AU$44</f>
        <v>4.5103574236029154</v>
      </c>
      <c r="X34" s="137">
        <f>X30/$AB44</f>
        <v>1.9988943806993706</v>
      </c>
      <c r="Y34" s="137">
        <f>Y30/$AB44</f>
        <v>2.4677649972099203</v>
      </c>
      <c r="Z34" s="137">
        <f>Z30/$AB44</f>
        <v>2.2268139816036183</v>
      </c>
      <c r="AA34" s="137">
        <f>AA30/$AB44</f>
        <v>2.8829914637923069</v>
      </c>
      <c r="AB34" s="138">
        <f>+(AB30-(AB46*1))/$AU$44</f>
        <v>6.5535018857898821</v>
      </c>
      <c r="AC34" s="137">
        <f>AC30/$AB$44</f>
        <v>1.9247289079216963</v>
      </c>
      <c r="AD34" s="137">
        <f>AD30/$AB44</f>
        <v>1.4900657550040401</v>
      </c>
      <c r="AE34" s="137">
        <f>AE30/$AB44</f>
        <v>1.1823800127758346</v>
      </c>
      <c r="AF34" s="137">
        <f>+(AF30-(AF46*AF37))/$AU$44</f>
        <v>1.1934022963634505</v>
      </c>
      <c r="AG34" s="138">
        <f>+(AG30-(AG46*AG37))/$AU$44</f>
        <v>4.3858870744647342</v>
      </c>
      <c r="AH34" s="137">
        <f>+(AH30-(AH46*AH37))/$AU$44</f>
        <v>0.73384753176535689</v>
      </c>
      <c r="AI34" s="137">
        <f>+(AI31-(AI46*AI37))/$AU$44</f>
        <v>0.1690692113645888</v>
      </c>
      <c r="AJ34" s="137">
        <f>AJ30/$AB44</f>
        <v>0.62225399615589161</v>
      </c>
      <c r="AK34" s="137">
        <f>+(AK30-(AK46*AK37))/$AU$44</f>
        <v>-1.4834579114158106</v>
      </c>
      <c r="AL34" s="138">
        <f>+AL31/$AU$44</f>
        <v>-0.1457960717504041</v>
      </c>
      <c r="AM34" s="39">
        <f>+(AM30-(AM46*AM37))/$AU$44</f>
        <v>-0.46193224303545211</v>
      </c>
      <c r="AN34" s="39">
        <f>+AN31/$AU$44</f>
        <v>0.77112235311518229</v>
      </c>
      <c r="AO34" s="39">
        <f>+AO31/$AU$44</f>
        <v>0.53149693644737417</v>
      </c>
      <c r="AP34" s="39">
        <f>+AP30/$AU$44</f>
        <v>-3.8963599236256301</v>
      </c>
      <c r="AQ34" s="139">
        <f>+AQ31/$AU$44</f>
        <v>1.400777845461092</v>
      </c>
      <c r="AR34" s="139">
        <f>+AR31/$AU$44</f>
        <v>1.5624693576262878</v>
      </c>
      <c r="AS34" s="139">
        <f>+AS31/$AU$44</f>
        <v>-0.35045562984286449</v>
      </c>
      <c r="AT34" s="139"/>
      <c r="AU34" s="139">
        <f>+AU31/$AU$44</f>
        <v>2.2155365503603184</v>
      </c>
      <c r="AV34" s="631"/>
      <c r="AW34" s="631"/>
      <c r="AX34" s="631"/>
      <c r="AY34" s="631"/>
      <c r="AZ34" s="140">
        <f>+AZ31/$AU$44</f>
        <v>0.42946707605334755</v>
      </c>
      <c r="BA34" s="631"/>
      <c r="BB34" s="631">
        <f>SUM(BA29:BB29)/SUM(BA25:BB25)</f>
        <v>0.22121937382979612</v>
      </c>
      <c r="BC34" s="631"/>
      <c r="BD34" s="631"/>
      <c r="BE34" s="140">
        <f>+BE31/$AU$44</f>
        <v>3.563717306587913E-4</v>
      </c>
      <c r="BF34" s="684">
        <f>4321.386+6931.064+1703.743</f>
        <v>12956.193000000001</v>
      </c>
      <c r="BG34" s="684">
        <f>4208.304+7259.217+1952.739</f>
        <v>13420.26</v>
      </c>
      <c r="BH34" s="631">
        <f>BG34*0.02</f>
        <v>268.40520000000004</v>
      </c>
      <c r="BI34" s="631"/>
      <c r="BJ34" s="140">
        <f>BJ33/BE33-1</f>
        <v>0.33934054474579334</v>
      </c>
      <c r="BK34" s="631"/>
      <c r="BL34" s="631"/>
      <c r="BM34" s="631"/>
      <c r="BN34" s="631">
        <f>BP33-BK33-BL33-BM33</f>
        <v>4.6145044544954867</v>
      </c>
      <c r="BO34" s="631"/>
      <c r="BP34" s="140">
        <v>16.509942281848353</v>
      </c>
      <c r="BQ34" s="140"/>
      <c r="BR34" s="140"/>
      <c r="BS34" s="140"/>
      <c r="BT34" s="140"/>
      <c r="BU34" s="140">
        <v>15.624499308946843</v>
      </c>
      <c r="BV34" s="140">
        <f>BU33-BU34</f>
        <v>8.459183112101698E-4</v>
      </c>
      <c r="BW34" s="140"/>
      <c r="BX34" s="140"/>
      <c r="BY34" s="140"/>
      <c r="BZ34" s="140"/>
      <c r="CA34" s="140"/>
      <c r="CB34" s="140"/>
      <c r="CC34" s="140"/>
      <c r="CD34" s="140"/>
      <c r="CE34" s="140"/>
      <c r="CF34" s="741"/>
      <c r="CG34" s="749"/>
      <c r="CH34" s="269"/>
      <c r="CI34" s="588"/>
      <c r="CJ34" s="590"/>
      <c r="CK34" s="590"/>
      <c r="CL34" s="590"/>
      <c r="CM34" s="760"/>
      <c r="CN34" s="590"/>
      <c r="CO34" s="590"/>
      <c r="CP34" s="588"/>
      <c r="CQ34" s="588"/>
      <c r="CR34" s="588"/>
      <c r="CS34" s="588"/>
      <c r="CT34" s="588"/>
      <c r="CU34" s="588"/>
      <c r="CV34" s="588"/>
      <c r="CW34" s="588"/>
      <c r="CX34" s="588"/>
      <c r="CY34" s="588"/>
      <c r="CZ34" s="588"/>
      <c r="DA34" s="588"/>
      <c r="DB34" s="588"/>
      <c r="DC34" s="588"/>
      <c r="DD34" s="588"/>
    </row>
    <row r="35" spans="1:108" s="2" customFormat="1">
      <c r="A35" s="2" t="s">
        <v>319</v>
      </c>
      <c r="C35" s="100"/>
      <c r="D35" s="100"/>
      <c r="E35" s="100"/>
      <c r="F35" s="102"/>
      <c r="G35" s="101"/>
      <c r="H35" s="102"/>
      <c r="I35" s="103"/>
      <c r="J35" s="103"/>
      <c r="K35" s="103"/>
      <c r="L35" s="103"/>
      <c r="M35" s="131"/>
      <c r="N35" s="88"/>
      <c r="O35" s="88"/>
      <c r="P35" s="88"/>
      <c r="Q35" s="88"/>
      <c r="R35" s="131">
        <f>+R30/AB44</f>
        <v>3.133585884043443</v>
      </c>
      <c r="S35" s="132"/>
      <c r="T35" s="132"/>
      <c r="U35" s="132"/>
      <c r="V35" s="132"/>
      <c r="W35" s="131">
        <f>+W30/AB44</f>
        <v>6.6343389767562817</v>
      </c>
      <c r="X35" s="132"/>
      <c r="Y35" s="132"/>
      <c r="Z35" s="132"/>
      <c r="AA35" s="132"/>
      <c r="AB35" s="131">
        <f t="shared" ref="AB35:AK35" si="72">AB31/$AQ$44</f>
        <v>7.9489230335093009</v>
      </c>
      <c r="AC35" s="132">
        <f t="shared" si="72"/>
        <v>1.5905701464803588</v>
      </c>
      <c r="AD35" s="132">
        <f t="shared" si="72"/>
        <v>1.2181651294803579</v>
      </c>
      <c r="AE35" s="132">
        <f t="shared" si="72"/>
        <v>0.98267410835121716</v>
      </c>
      <c r="AF35" s="132">
        <f t="shared" si="72"/>
        <v>1.5412914941831648</v>
      </c>
      <c r="AG35" s="131">
        <f t="shared" si="72"/>
        <v>5.3327008784950989</v>
      </c>
      <c r="AH35" s="132">
        <f t="shared" si="72"/>
        <v>0.88061638591540725</v>
      </c>
      <c r="AI35" s="132">
        <f t="shared" si="72"/>
        <v>0.20288290337816026</v>
      </c>
      <c r="AJ35" s="132">
        <f t="shared" si="72"/>
        <v>0.51590242783459783</v>
      </c>
      <c r="AK35" s="132">
        <f t="shared" si="72"/>
        <v>-1.774356873653181</v>
      </c>
      <c r="AL35" s="131">
        <f>AL31/$AQ$44</f>
        <v>-0.17495515652501545</v>
      </c>
      <c r="AM35" s="142"/>
      <c r="AN35" s="143"/>
      <c r="AO35" s="143">
        <f>AO29/AO25</f>
        <v>-0.17570539657919784</v>
      </c>
      <c r="AP35" s="143"/>
      <c r="AQ35" s="144">
        <f t="shared" ref="AQ35:AZ35" si="73">AQ29/AQ25</f>
        <v>0.32348759814368927</v>
      </c>
      <c r="AR35" s="144">
        <f t="shared" si="73"/>
        <v>-0.19356768366380295</v>
      </c>
      <c r="AS35" s="144">
        <f t="shared" si="73"/>
        <v>-7.1932603686636067</v>
      </c>
      <c r="AT35" s="145"/>
      <c r="AU35" s="144">
        <f t="shared" si="73"/>
        <v>0.13219789288087197</v>
      </c>
      <c r="AV35" s="632"/>
      <c r="AW35" s="653"/>
      <c r="AX35" s="631"/>
      <c r="AY35" s="631"/>
      <c r="AZ35" s="146">
        <f t="shared" si="73"/>
        <v>0.71562994850230732</v>
      </c>
      <c r="BA35" s="631"/>
      <c r="BB35" s="631"/>
      <c r="BC35" s="631"/>
      <c r="BD35" s="631"/>
      <c r="BE35" s="140"/>
      <c r="BF35" s="1012">
        <f>BF23/BF34</f>
        <v>2.3374999122041482E-2</v>
      </c>
      <c r="BG35" s="1012">
        <f>BG23/BG34</f>
        <v>2.0457502313666054E-2</v>
      </c>
      <c r="BH35" s="631"/>
      <c r="BI35" s="631"/>
      <c r="BJ35" s="140"/>
      <c r="BK35" s="631"/>
      <c r="BL35" s="631"/>
      <c r="BM35" s="631"/>
      <c r="BN35" s="631"/>
      <c r="BO35" s="631"/>
      <c r="BP35" s="140">
        <f>BP33-BP34</f>
        <v>-2.8937894175137195</v>
      </c>
      <c r="BQ35" s="140"/>
      <c r="BR35" s="140"/>
      <c r="BS35" s="140"/>
      <c r="BT35" s="140"/>
      <c r="BU35" s="140"/>
      <c r="BV35" s="140"/>
      <c r="BW35" s="140"/>
      <c r="BX35" s="140"/>
      <c r="BY35" s="140"/>
      <c r="BZ35" s="140"/>
      <c r="CA35" s="140"/>
      <c r="CB35" s="140"/>
      <c r="CC35" s="140"/>
      <c r="CD35" s="140"/>
      <c r="CE35" s="140"/>
      <c r="CF35" s="741"/>
      <c r="CG35" s="740"/>
      <c r="CH35" s="269"/>
      <c r="CI35" s="588"/>
      <c r="CJ35" s="590"/>
      <c r="CK35" s="590"/>
      <c r="CL35" s="590"/>
      <c r="CM35" s="590"/>
      <c r="CN35" s="590"/>
      <c r="CO35" s="590"/>
      <c r="CP35" s="588"/>
      <c r="CQ35" s="588"/>
      <c r="CR35" s="588"/>
      <c r="CS35" s="588"/>
      <c r="CT35" s="588"/>
      <c r="CU35" s="588"/>
      <c r="CV35" s="588"/>
      <c r="CW35" s="588"/>
      <c r="CX35" s="588"/>
      <c r="CY35" s="588"/>
      <c r="CZ35" s="588"/>
      <c r="DA35" s="588"/>
      <c r="DB35" s="588"/>
      <c r="DC35" s="588"/>
      <c r="DD35" s="588"/>
    </row>
    <row r="36" spans="1:108" s="2" customFormat="1" ht="12" customHeight="1">
      <c r="A36" s="2" t="s">
        <v>176</v>
      </c>
      <c r="C36" s="100">
        <f t="shared" ref="C36:K36" si="74">C39*10</f>
        <v>0</v>
      </c>
      <c r="D36" s="100">
        <f t="shared" si="74"/>
        <v>0</v>
      </c>
      <c r="E36" s="100">
        <f t="shared" si="74"/>
        <v>0</v>
      </c>
      <c r="F36" s="102">
        <f t="shared" si="74"/>
        <v>0</v>
      </c>
      <c r="G36" s="101">
        <f t="shared" si="74"/>
        <v>0</v>
      </c>
      <c r="H36" s="102">
        <f t="shared" si="74"/>
        <v>0</v>
      </c>
      <c r="I36" s="103">
        <f t="shared" si="74"/>
        <v>0</v>
      </c>
      <c r="J36" s="103">
        <f t="shared" si="74"/>
        <v>0</v>
      </c>
      <c r="K36" s="103">
        <f t="shared" si="74"/>
        <v>0</v>
      </c>
      <c r="L36" s="103"/>
      <c r="M36" s="102">
        <f>M39*10</f>
        <v>1</v>
      </c>
      <c r="N36" s="39">
        <f>N39*10</f>
        <v>0</v>
      </c>
      <c r="O36" s="39">
        <f>O39*10</f>
        <v>0.75</v>
      </c>
      <c r="P36" s="39">
        <f>P39*10</f>
        <v>0</v>
      </c>
      <c r="Q36" s="39">
        <f>Q39*10</f>
        <v>0.75</v>
      </c>
      <c r="R36" s="102">
        <v>1.5</v>
      </c>
      <c r="S36" s="103"/>
      <c r="T36" s="103"/>
      <c r="U36" s="103"/>
      <c r="V36" s="103"/>
      <c r="W36" s="102">
        <v>1.5</v>
      </c>
      <c r="X36" s="103"/>
      <c r="Y36" s="103"/>
      <c r="Z36" s="103"/>
      <c r="AA36" s="103"/>
      <c r="AB36" s="102">
        <v>1.5</v>
      </c>
      <c r="AC36" s="103"/>
      <c r="AD36" s="103"/>
      <c r="AE36" s="103"/>
      <c r="AF36" s="103"/>
      <c r="AG36" s="102">
        <v>1.5</v>
      </c>
      <c r="AH36" s="103"/>
      <c r="AI36" s="103"/>
      <c r="AJ36" s="103"/>
      <c r="AK36" s="147">
        <f>141.364/1104.355</f>
        <v>0.12800594011889294</v>
      </c>
      <c r="AL36" s="102"/>
      <c r="AM36" s="103"/>
      <c r="AN36" s="103"/>
      <c r="AO36" s="103">
        <v>0</v>
      </c>
      <c r="AP36" s="103"/>
      <c r="AQ36" s="102">
        <v>0</v>
      </c>
      <c r="AR36" s="102">
        <v>0</v>
      </c>
      <c r="AS36" s="102">
        <v>0</v>
      </c>
      <c r="AT36" s="102">
        <f>AT37/264</f>
        <v>0.20075757575757575</v>
      </c>
      <c r="AU36" s="102">
        <v>0</v>
      </c>
      <c r="AV36" s="630"/>
      <c r="AW36" s="630"/>
      <c r="AX36" s="630"/>
      <c r="AY36" s="630"/>
      <c r="AZ36" s="135">
        <v>0</v>
      </c>
      <c r="BA36" s="630"/>
      <c r="BB36" s="696"/>
      <c r="BC36" s="630"/>
      <c r="BD36" s="696"/>
      <c r="BE36" s="135">
        <v>1.5</v>
      </c>
      <c r="BF36" s="630"/>
      <c r="BG36" s="630">
        <f>SUM(BF29:BG29)/SUM(BF25:BG25)</f>
        <v>0.15668767831338695</v>
      </c>
      <c r="BH36" s="630"/>
      <c r="BI36" s="630"/>
      <c r="BJ36" s="135">
        <v>3</v>
      </c>
      <c r="BK36" s="630"/>
      <c r="BL36" s="630"/>
      <c r="BM36" s="630"/>
      <c r="BN36" s="630"/>
      <c r="BO36" s="630"/>
      <c r="BP36" s="135">
        <v>3</v>
      </c>
      <c r="BQ36" s="135"/>
      <c r="BR36" s="135"/>
      <c r="BS36" s="135"/>
      <c r="BT36" s="135"/>
      <c r="BU36" s="135">
        <v>4</v>
      </c>
      <c r="BV36" s="135">
        <v>5</v>
      </c>
      <c r="BW36" s="135">
        <v>6</v>
      </c>
      <c r="BX36" s="135">
        <v>7</v>
      </c>
      <c r="BY36" s="135">
        <f t="shared" ref="BY36:CE36" si="75">BX36</f>
        <v>7</v>
      </c>
      <c r="BZ36" s="135">
        <f t="shared" si="75"/>
        <v>7</v>
      </c>
      <c r="CA36" s="135">
        <f t="shared" si="75"/>
        <v>7</v>
      </c>
      <c r="CB36" s="135">
        <f t="shared" si="75"/>
        <v>7</v>
      </c>
      <c r="CC36" s="135">
        <f t="shared" si="75"/>
        <v>7</v>
      </c>
      <c r="CD36" s="135">
        <f t="shared" si="75"/>
        <v>7</v>
      </c>
      <c r="CE36" s="135">
        <f t="shared" si="75"/>
        <v>7</v>
      </c>
      <c r="CF36" s="588"/>
      <c r="CG36" s="759"/>
      <c r="CH36" s="588"/>
      <c r="CI36" s="588"/>
      <c r="CJ36" s="590"/>
      <c r="CK36" s="590"/>
      <c r="CL36" s="590"/>
      <c r="CM36" s="590"/>
      <c r="CN36" s="590"/>
      <c r="CO36" s="590"/>
      <c r="CP36" s="588"/>
      <c r="CQ36" s="588"/>
      <c r="CR36" s="588"/>
      <c r="CS36" s="588"/>
      <c r="CT36" s="588"/>
      <c r="CU36" s="588"/>
      <c r="CV36" s="588"/>
      <c r="CW36" s="588"/>
      <c r="CX36" s="588"/>
      <c r="CY36" s="588"/>
      <c r="CZ36" s="588"/>
      <c r="DA36" s="588"/>
      <c r="DB36" s="588"/>
      <c r="DC36" s="588"/>
      <c r="DD36" s="588"/>
    </row>
    <row r="37" spans="1:108" s="154" customFormat="1">
      <c r="A37" s="148" t="s">
        <v>177</v>
      </c>
      <c r="B37" s="148"/>
      <c r="C37" s="149"/>
      <c r="D37" s="149"/>
      <c r="E37" s="149"/>
      <c r="F37" s="149"/>
      <c r="G37" s="149"/>
      <c r="H37" s="149"/>
      <c r="I37" s="150"/>
      <c r="J37" s="150"/>
      <c r="K37" s="150"/>
      <c r="L37" s="150"/>
      <c r="M37" s="149">
        <v>1</v>
      </c>
      <c r="N37" s="88"/>
      <c r="O37" s="88"/>
      <c r="P37" s="88"/>
      <c r="Q37" s="88"/>
      <c r="R37" s="149">
        <v>1</v>
      </c>
      <c r="S37" s="149"/>
      <c r="T37" s="149"/>
      <c r="U37" s="149"/>
      <c r="V37" s="149"/>
      <c r="W37" s="149">
        <v>1</v>
      </c>
      <c r="X37" s="149"/>
      <c r="Y37" s="149"/>
      <c r="Z37" s="149"/>
      <c r="AA37" s="149"/>
      <c r="AB37" s="151">
        <v>1</v>
      </c>
      <c r="AC37" s="149"/>
      <c r="AD37" s="149"/>
      <c r="AE37" s="149"/>
      <c r="AF37" s="149">
        <f>+AG37</f>
        <v>1</v>
      </c>
      <c r="AG37" s="151">
        <v>1</v>
      </c>
      <c r="AH37" s="149">
        <f>+AL37</f>
        <v>0</v>
      </c>
      <c r="AI37" s="149"/>
      <c r="AJ37" s="149"/>
      <c r="AK37" s="149">
        <f>+AL37</f>
        <v>0</v>
      </c>
      <c r="AL37" s="148"/>
      <c r="AM37" s="150">
        <f>+AU37</f>
        <v>0</v>
      </c>
      <c r="AN37" s="150">
        <f>AN31+AM31</f>
        <v>110.76099999999943</v>
      </c>
      <c r="AO37" s="150"/>
      <c r="AP37" s="150"/>
      <c r="AQ37" s="148"/>
      <c r="AR37" s="148"/>
      <c r="AS37" s="152">
        <f>AS31+AR31</f>
        <v>442.50500000000005</v>
      </c>
      <c r="AT37" s="152">
        <f>264-211</f>
        <v>53</v>
      </c>
      <c r="AU37" s="148"/>
      <c r="AV37" s="633">
        <f>4578.373+2208.032+11327.059</f>
        <v>18113.464</v>
      </c>
      <c r="AW37" s="652">
        <f>4775.577+2597.544+10969.389</f>
        <v>18342.509999999998</v>
      </c>
      <c r="AX37" s="652">
        <f>4635.143+10495.919+2379.157</f>
        <v>17510.219000000001</v>
      </c>
      <c r="AY37" s="652">
        <f>AX37*AY44*1.04</f>
        <v>525.23345431460814</v>
      </c>
      <c r="AZ37" s="153"/>
      <c r="BA37" s="652">
        <f>AZ37*BA44*1.04</f>
        <v>0</v>
      </c>
      <c r="BB37" s="652">
        <f>BA37*BB44*1.04</f>
        <v>0</v>
      </c>
      <c r="BC37" s="804">
        <f>BB37*BC44*1.04</f>
        <v>0</v>
      </c>
      <c r="BD37" s="652">
        <f>BC37*BD44*1.04</f>
        <v>0</v>
      </c>
      <c r="BE37" s="153"/>
      <c r="BF37" s="633"/>
      <c r="BG37" s="633"/>
      <c r="BH37" s="633"/>
      <c r="BI37" s="633"/>
      <c r="BJ37" s="153"/>
      <c r="BK37" s="633"/>
      <c r="BL37" s="633"/>
      <c r="BM37" s="633"/>
      <c r="BN37" s="633"/>
      <c r="BO37" s="633"/>
      <c r="BP37" s="153"/>
      <c r="BQ37" s="153"/>
      <c r="BR37" s="153"/>
      <c r="BS37" s="153"/>
      <c r="BT37" s="153"/>
      <c r="BU37" s="153"/>
      <c r="BV37" s="153"/>
      <c r="BW37" s="153"/>
      <c r="BX37" s="153"/>
      <c r="BY37" s="153"/>
      <c r="BZ37" s="153"/>
      <c r="CA37" s="153"/>
      <c r="CB37" s="153"/>
      <c r="CC37" s="153"/>
      <c r="CD37" s="153"/>
      <c r="CE37" s="153"/>
      <c r="CF37" s="761"/>
      <c r="CG37" s="762"/>
      <c r="CH37" s="761"/>
      <c r="CI37" s="761"/>
      <c r="CJ37" s="761"/>
      <c r="CK37" s="761"/>
      <c r="CL37" s="761"/>
      <c r="CM37" s="761"/>
      <c r="CN37" s="761"/>
      <c r="CO37" s="761"/>
      <c r="CP37" s="761"/>
      <c r="CQ37" s="761"/>
      <c r="CR37" s="761"/>
      <c r="CS37" s="761"/>
      <c r="CT37" s="761"/>
      <c r="CU37" s="761"/>
      <c r="CV37" s="761"/>
      <c r="CW37" s="761"/>
      <c r="CX37" s="761"/>
      <c r="CY37" s="761"/>
      <c r="CZ37" s="761"/>
      <c r="DA37" s="761"/>
      <c r="DB37" s="761"/>
      <c r="DC37" s="761"/>
      <c r="DD37" s="761"/>
    </row>
    <row r="38" spans="1:108" s="154" customFormat="1" hidden="1">
      <c r="A38" s="148" t="s">
        <v>378</v>
      </c>
      <c r="B38" s="148"/>
      <c r="C38" s="149"/>
      <c r="D38" s="149"/>
      <c r="E38" s="149"/>
      <c r="F38" s="149"/>
      <c r="G38" s="149"/>
      <c r="H38" s="149"/>
      <c r="I38" s="150"/>
      <c r="J38" s="150"/>
      <c r="K38" s="150"/>
      <c r="L38" s="150"/>
      <c r="M38" s="149"/>
      <c r="N38" s="88"/>
      <c r="O38" s="88"/>
      <c r="P38" s="88"/>
      <c r="Q38" s="8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>
        <f>+$CC$38/AB34</f>
        <v>0</v>
      </c>
      <c r="AC38" s="149">
        <f>+$CC$38/AC34/4</f>
        <v>0</v>
      </c>
      <c r="AD38" s="149"/>
      <c r="AE38" s="149"/>
      <c r="AF38" s="149"/>
      <c r="AG38" s="149">
        <f>+$CC$38/AG34</f>
        <v>0</v>
      </c>
      <c r="AH38" s="149"/>
      <c r="AI38" s="149"/>
      <c r="AJ38" s="149"/>
      <c r="AK38" s="149"/>
      <c r="AL38" s="149">
        <f>+$CC$38/AL34</f>
        <v>0</v>
      </c>
      <c r="AM38" s="150"/>
      <c r="AN38" s="150"/>
      <c r="AO38" s="150"/>
      <c r="AP38" s="150"/>
      <c r="AQ38" s="148"/>
      <c r="AR38" s="148"/>
      <c r="AS38" s="148"/>
      <c r="AT38" s="148"/>
      <c r="AU38" s="148"/>
      <c r="AV38" s="633"/>
      <c r="AW38" s="633"/>
      <c r="AX38" s="633"/>
      <c r="AY38" s="633"/>
      <c r="AZ38" s="153"/>
      <c r="BA38" s="633"/>
      <c r="BB38" s="633"/>
      <c r="BC38" s="804"/>
      <c r="BD38" s="633"/>
      <c r="BE38" s="153"/>
      <c r="BF38" s="633"/>
      <c r="BG38" s="633"/>
      <c r="BH38" s="633"/>
      <c r="BI38" s="633"/>
      <c r="BJ38" s="153"/>
      <c r="BK38" s="633"/>
      <c r="BL38" s="633"/>
      <c r="BM38" s="633"/>
      <c r="BN38" s="633"/>
      <c r="BO38" s="633"/>
      <c r="BP38" s="153"/>
      <c r="BQ38" s="153"/>
      <c r="BR38" s="153"/>
      <c r="BS38" s="153"/>
      <c r="BT38" s="153"/>
      <c r="BU38" s="153"/>
      <c r="BV38" s="153"/>
      <c r="BW38" s="153"/>
      <c r="BX38" s="153"/>
      <c r="BY38" s="153"/>
      <c r="BZ38" s="153"/>
      <c r="CA38" s="153"/>
      <c r="CB38" s="153"/>
      <c r="CC38" s="153"/>
      <c r="CD38" s="153"/>
      <c r="CE38" s="153"/>
      <c r="CF38" s="761"/>
      <c r="CG38" s="762"/>
      <c r="CH38" s="761"/>
      <c r="CI38" s="761"/>
      <c r="CJ38" s="761"/>
      <c r="CK38" s="761"/>
      <c r="CL38" s="761"/>
      <c r="CM38" s="761"/>
      <c r="CN38" s="761"/>
      <c r="CO38" s="761"/>
      <c r="CP38" s="761"/>
      <c r="CQ38" s="761"/>
      <c r="CR38" s="761"/>
      <c r="CS38" s="761"/>
      <c r="CT38" s="761"/>
      <c r="CU38" s="761"/>
      <c r="CV38" s="761"/>
      <c r="CW38" s="761"/>
      <c r="CX38" s="761"/>
      <c r="CY38" s="761"/>
      <c r="CZ38" s="761"/>
      <c r="DA38" s="761"/>
      <c r="DB38" s="761"/>
      <c r="DC38" s="761"/>
      <c r="DD38" s="761"/>
    </row>
    <row r="39" spans="1:108" hidden="1">
      <c r="A39" s="1" t="s">
        <v>178</v>
      </c>
      <c r="C39" s="155">
        <v>0</v>
      </c>
      <c r="D39" s="155">
        <v>0</v>
      </c>
      <c r="E39" s="155">
        <v>0</v>
      </c>
      <c r="F39" s="156">
        <v>0</v>
      </c>
      <c r="G39" s="157">
        <v>0</v>
      </c>
      <c r="H39" s="156">
        <v>0</v>
      </c>
      <c r="I39" s="158">
        <v>0</v>
      </c>
      <c r="J39" s="158">
        <v>0</v>
      </c>
      <c r="K39" s="158">
        <v>0</v>
      </c>
      <c r="L39" s="158"/>
      <c r="M39" s="156">
        <v>0.1</v>
      </c>
      <c r="N39" s="159">
        <v>0</v>
      </c>
      <c r="O39" s="160">
        <v>7.4999999999999997E-2</v>
      </c>
      <c r="P39" s="160">
        <v>0</v>
      </c>
      <c r="Q39" s="160">
        <v>7.4999999999999997E-2</v>
      </c>
      <c r="R39" s="161">
        <v>0.1</v>
      </c>
      <c r="S39" s="162"/>
      <c r="T39" s="162"/>
      <c r="U39" s="162"/>
      <c r="V39" s="162"/>
      <c r="W39" s="161">
        <v>0.1</v>
      </c>
      <c r="X39" s="162"/>
      <c r="Y39" s="162"/>
      <c r="Z39" s="162"/>
      <c r="AA39" s="162"/>
      <c r="AB39" s="161">
        <v>0.17499999999999999</v>
      </c>
      <c r="AC39" s="162"/>
      <c r="AD39" s="162"/>
      <c r="AE39" s="162"/>
      <c r="AF39" s="162"/>
      <c r="AG39" s="161">
        <v>0.17499999999999999</v>
      </c>
      <c r="AH39" s="162"/>
      <c r="AI39" s="162"/>
      <c r="AJ39" s="162"/>
      <c r="AK39" s="162"/>
      <c r="AL39" s="161">
        <v>0.4</v>
      </c>
      <c r="AM39" s="162"/>
      <c r="AN39" s="162"/>
      <c r="AO39" s="162">
        <v>0.45</v>
      </c>
      <c r="AP39" s="162"/>
      <c r="AQ39" s="156">
        <v>0.45</v>
      </c>
      <c r="AR39" s="156">
        <v>0.45</v>
      </c>
      <c r="AS39" s="156">
        <v>0.45</v>
      </c>
      <c r="AT39" s="156"/>
      <c r="AU39" s="156">
        <v>0.45</v>
      </c>
      <c r="AV39" s="634"/>
      <c r="AW39" s="634"/>
      <c r="AX39" s="634"/>
      <c r="AY39" s="634"/>
      <c r="AZ39" s="163">
        <v>0.45</v>
      </c>
      <c r="BA39" s="634"/>
      <c r="BB39" s="634"/>
      <c r="BC39" s="631"/>
      <c r="BD39" s="634"/>
      <c r="BE39" s="163">
        <v>0.45</v>
      </c>
      <c r="BF39" s="634"/>
      <c r="BG39" s="634"/>
      <c r="BH39" s="634"/>
      <c r="BI39" s="634"/>
      <c r="BJ39" s="163">
        <v>0.45</v>
      </c>
      <c r="BK39" s="634"/>
      <c r="BL39" s="634"/>
      <c r="BM39" s="634"/>
      <c r="BN39" s="634"/>
      <c r="BO39" s="634"/>
      <c r="BP39" s="163">
        <v>0.45</v>
      </c>
      <c r="BQ39" s="163"/>
      <c r="BR39" s="163"/>
      <c r="BS39" s="163"/>
      <c r="BT39" s="163"/>
      <c r="BU39" s="163">
        <v>0.45</v>
      </c>
      <c r="BV39" s="163">
        <v>0.45</v>
      </c>
      <c r="BW39" s="163">
        <v>0.45</v>
      </c>
      <c r="BX39" s="163">
        <v>0.45</v>
      </c>
      <c r="BY39" s="163">
        <v>0.45</v>
      </c>
      <c r="BZ39" s="163">
        <v>0.45</v>
      </c>
      <c r="CA39" s="163">
        <v>0.45</v>
      </c>
      <c r="CB39" s="163">
        <v>0.45</v>
      </c>
      <c r="CC39" s="163">
        <v>0.45</v>
      </c>
      <c r="CD39" s="163">
        <v>0.45</v>
      </c>
      <c r="CE39" s="163">
        <v>0.45</v>
      </c>
      <c r="CF39" s="269"/>
      <c r="CG39" s="763"/>
      <c r="CH39" s="269"/>
      <c r="CI39" s="269"/>
      <c r="CJ39" s="269"/>
      <c r="CK39" s="269"/>
      <c r="CL39" s="269"/>
      <c r="CM39" s="269"/>
      <c r="CN39" s="269"/>
      <c r="CO39" s="269"/>
      <c r="CP39" s="269"/>
      <c r="CQ39" s="269"/>
      <c r="CR39" s="269"/>
      <c r="CS39" s="269"/>
      <c r="CT39" s="269"/>
      <c r="CU39" s="269"/>
      <c r="CV39" s="269"/>
      <c r="CW39" s="269"/>
      <c r="CX39" s="269"/>
      <c r="CY39" s="269"/>
      <c r="CZ39" s="269"/>
      <c r="DA39" s="269"/>
      <c r="DB39" s="269"/>
      <c r="DC39" s="269"/>
      <c r="DD39" s="269"/>
    </row>
    <row r="40" spans="1:108" s="164" customFormat="1" hidden="1">
      <c r="A40" s="164" t="s">
        <v>179</v>
      </c>
      <c r="G40" s="165"/>
      <c r="I40" s="166"/>
      <c r="J40" s="166"/>
      <c r="K40" s="166"/>
      <c r="L40" s="166"/>
      <c r="M40" s="164" t="e">
        <f t="shared" ref="M40:R40" si="76">+M36/M33</f>
        <v>#REF!</v>
      </c>
      <c r="N40" s="166">
        <f t="shared" si="76"/>
        <v>0</v>
      </c>
      <c r="O40" s="166">
        <f t="shared" si="76"/>
        <v>0.70979788285109457</v>
      </c>
      <c r="P40" s="166">
        <f t="shared" si="76"/>
        <v>0</v>
      </c>
      <c r="Q40" s="166">
        <f t="shared" si="76"/>
        <v>0.61887977119903992</v>
      </c>
      <c r="R40" s="164">
        <f t="shared" si="76"/>
        <v>0.3312238026614257</v>
      </c>
      <c r="S40" s="166"/>
      <c r="T40" s="166"/>
      <c r="U40" s="166"/>
      <c r="V40" s="166"/>
      <c r="W40" s="164">
        <f>+W36/W33</f>
        <v>0.22609637603012456</v>
      </c>
      <c r="X40" s="166"/>
      <c r="Y40" s="166"/>
      <c r="Z40" s="166"/>
      <c r="AA40" s="166"/>
      <c r="AB40" s="164">
        <f>+AB36/AB33</f>
        <v>0.15725400720708052</v>
      </c>
      <c r="AC40" s="166"/>
      <c r="AD40" s="166"/>
      <c r="AE40" s="166"/>
      <c r="AF40" s="166"/>
      <c r="AG40" s="164">
        <f>+AG36/AG33</f>
        <v>0.23440279672179043</v>
      </c>
      <c r="AH40" s="166"/>
      <c r="AI40" s="166"/>
      <c r="AJ40" s="166"/>
      <c r="AK40" s="166"/>
      <c r="AL40" s="164">
        <f>+AL36/AL33</f>
        <v>0</v>
      </c>
      <c r="AM40" s="166"/>
      <c r="AN40" s="166"/>
      <c r="AO40" s="166">
        <f>+AO36/AO33</f>
        <v>0</v>
      </c>
      <c r="AP40" s="166"/>
      <c r="AQ40" s="164">
        <f>+AQ36/AQ33</f>
        <v>0</v>
      </c>
      <c r="AR40" s="164" t="e">
        <f>+AR36/AR33</f>
        <v>#REF!</v>
      </c>
      <c r="AS40" s="164">
        <f>+AS36/AS33</f>
        <v>0</v>
      </c>
      <c r="AU40" s="164">
        <f>+AU36/AU33</f>
        <v>0</v>
      </c>
      <c r="AV40" s="635"/>
      <c r="AW40" s="635"/>
      <c r="AX40" s="635"/>
      <c r="AY40" s="635"/>
      <c r="AZ40" s="167">
        <f>+AZ36/AZ33</f>
        <v>0</v>
      </c>
      <c r="BA40" s="635"/>
      <c r="BB40" s="635"/>
      <c r="BC40" s="805"/>
      <c r="BD40" s="635"/>
      <c r="BE40" s="167">
        <f>+BE36/BE33</f>
        <v>0.15997077007038263</v>
      </c>
      <c r="BF40" s="635"/>
      <c r="BG40" s="635"/>
      <c r="BH40" s="635"/>
      <c r="BI40" s="635"/>
      <c r="BJ40" s="167">
        <f>+BJ36/BJ33</f>
        <v>0.23887990354349359</v>
      </c>
      <c r="BK40" s="635"/>
      <c r="BL40" s="635"/>
      <c r="BM40" s="635"/>
      <c r="BN40" s="635"/>
      <c r="BO40" s="635"/>
      <c r="BP40" s="167">
        <f t="shared" ref="BP40:CE40" si="77">+BP36/BP33</f>
        <v>0.22032655111107244</v>
      </c>
      <c r="BQ40" s="167"/>
      <c r="BR40" s="167"/>
      <c r="BS40" s="167"/>
      <c r="BT40" s="167"/>
      <c r="BU40" s="167">
        <f t="shared" si="77"/>
        <v>0.25599434392157255</v>
      </c>
      <c r="BV40" s="167">
        <f t="shared" si="77"/>
        <v>0.29043312957876449</v>
      </c>
      <c r="BW40" s="167">
        <f t="shared" si="77"/>
        <v>0.33888599627159532</v>
      </c>
      <c r="BX40" s="167">
        <f t="shared" si="77"/>
        <v>0.37605219821919705</v>
      </c>
      <c r="BY40" s="167">
        <f t="shared" si="77"/>
        <v>0.37693041044078618</v>
      </c>
      <c r="BZ40" s="167">
        <f t="shared" si="77"/>
        <v>0.3703853137493901</v>
      </c>
      <c r="CA40" s="167">
        <f t="shared" si="77"/>
        <v>0.36297755669823978</v>
      </c>
      <c r="CB40" s="167">
        <f t="shared" si="77"/>
        <v>0.35400041735141335</v>
      </c>
      <c r="CC40" s="167">
        <f t="shared" si="77"/>
        <v>0.34383523836557911</v>
      </c>
      <c r="CD40" s="167">
        <f t="shared" si="77"/>
        <v>0.33216230711058276</v>
      </c>
      <c r="CE40" s="167">
        <f t="shared" si="77"/>
        <v>0.2765224908010121</v>
      </c>
      <c r="CF40" s="764"/>
      <c r="CG40" s="765"/>
      <c r="CH40" s="764"/>
      <c r="CI40" s="764"/>
      <c r="CJ40" s="764"/>
      <c r="CK40" s="764"/>
      <c r="CL40" s="764"/>
      <c r="CM40" s="764"/>
      <c r="CN40" s="764"/>
      <c r="CO40" s="764"/>
      <c r="CP40" s="764"/>
      <c r="CQ40" s="764"/>
      <c r="CR40" s="764"/>
      <c r="CS40" s="764"/>
      <c r="CT40" s="764"/>
      <c r="CU40" s="764"/>
      <c r="CV40" s="764"/>
      <c r="CW40" s="764"/>
      <c r="CX40" s="764"/>
      <c r="CY40" s="764"/>
      <c r="CZ40" s="764"/>
      <c r="DA40" s="764"/>
      <c r="DB40" s="764"/>
      <c r="DC40" s="764"/>
      <c r="DD40" s="764"/>
    </row>
    <row r="41" spans="1:108" hidden="1">
      <c r="A41" s="1" t="s">
        <v>180</v>
      </c>
      <c r="C41" s="36"/>
      <c r="D41" s="36"/>
      <c r="E41" s="36" t="e">
        <f>+E30+CFS!D8+CFS!D10+CFS!D12+CFS!D14+CFS!D15+CFS!D16</f>
        <v>#REF!</v>
      </c>
      <c r="F41" s="36">
        <f>+F30+CFS!E8+CFS!E10+CFS!E12+CFS!E14+CFS!E15+CFS!E16</f>
        <v>584.55300000000057</v>
      </c>
      <c r="G41" s="36" t="e">
        <f>+G30+CFS!F8+CFS!F10+CFS!F12+CFS!F14+CFS!F15+CFS!F16</f>
        <v>#REF!</v>
      </c>
      <c r="H41" s="36">
        <f>+H30+CFS!G8+CFS!G10+CFS!G12+CFS!G14+CFS!G15+CFS!G16</f>
        <v>584.90699999999958</v>
      </c>
      <c r="I41" s="132"/>
      <c r="J41" s="132"/>
      <c r="K41" s="132"/>
      <c r="L41" s="132"/>
      <c r="M41" s="36" t="e">
        <f>+M30+CFS!H8+CFS!H10+CFS!H12+CFS!H14+CFS!H15+CFS!H16</f>
        <v>#REF!</v>
      </c>
      <c r="N41" s="88">
        <f>+N30+CFS!E8+CFS!E10+CFS!E12+CFS!E14+CFS!E15+CFS!E16</f>
        <v>931.62000000000012</v>
      </c>
      <c r="O41" s="88">
        <f>+O30+CFS!F8+CFS!F10+CFS!F12+CFS!F14+CFS!F15+CFS!F16</f>
        <v>848.89799999999991</v>
      </c>
      <c r="P41" s="88">
        <f>+P30+CFS!G8+CFS!G10+CFS!G12+CFS!G14+CFS!G15+CFS!G16</f>
        <v>473.39299999999997</v>
      </c>
      <c r="Q41" s="88">
        <f>+Q30+CFS!H8+CFS!H10+CFS!H12+CFS!H14+CFS!H15+CFS!H16</f>
        <v>519.48299999999972</v>
      </c>
      <c r="R41" s="36">
        <f>+R30+CFS!I8+CFS!I10+CFS!I12+CFS!I14+CFS!I15+CFS!I16</f>
        <v>1139.674</v>
      </c>
      <c r="S41" s="88"/>
      <c r="T41" s="88"/>
      <c r="U41" s="88"/>
      <c r="V41" s="88"/>
      <c r="W41" s="36">
        <f>+W30+CFS!J8+CFS!J10+CFS!J12+CFS!J14+CFS!J15+CFS!J16</f>
        <v>1502.1210000000005</v>
      </c>
      <c r="X41" s="88"/>
      <c r="Y41" s="88"/>
      <c r="Z41" s="88"/>
      <c r="AA41" s="88"/>
      <c r="AB41" s="36">
        <f>+AB30+CFS!K8+CFS!K10+CFS!K12+CFS!K14+CFS!K15+CFS!K16</f>
        <v>2812.7430000000008</v>
      </c>
      <c r="AC41" s="88"/>
      <c r="AD41" s="88"/>
      <c r="AE41" s="88"/>
      <c r="AF41" s="88"/>
      <c r="AG41" s="36">
        <f>+AG30+CFS!L8+CFS!L10+CFS!L12+CFS!L14+CFS!L15+CFS!L16</f>
        <v>2155.2840000000001</v>
      </c>
      <c r="AH41" s="88"/>
      <c r="AI41" s="88"/>
      <c r="AJ41" s="88"/>
      <c r="AK41" s="88"/>
      <c r="AL41" s="36">
        <f>+AL30+CFS!M8+CFS!M10+CFS!M12+CFS!M14+CFS!M15+CFS!M16</f>
        <v>1898.5289999999993</v>
      </c>
      <c r="AM41" s="88"/>
      <c r="AN41" s="88"/>
      <c r="AO41" s="88">
        <f>+AO30+CFS!M8+CFS!M10+CFS!M12+CFS!M14+CFS!M15+CFS!M16</f>
        <v>2145.8079999999995</v>
      </c>
      <c r="AP41" s="88"/>
      <c r="AQ41" s="36">
        <f>+AQ30+CFS!N8+CFS!N10+CFS!N12+CFS!N14+CFS!N15+CFS!N16</f>
        <v>2874.3465905999992</v>
      </c>
      <c r="AR41" s="36">
        <f>+AR30+CFS!N8+CFS!N10+CFS!N12+CFS!N14+CFS!N15+CFS!N16</f>
        <v>2933.3799999999997</v>
      </c>
      <c r="AS41" s="36">
        <f>+AS30+CFS!N8+CFS!N10+CFS!N12+CFS!N14+CFS!N15+CFS!N16</f>
        <v>2234.973</v>
      </c>
      <c r="AT41" s="36"/>
      <c r="AU41" s="36">
        <f>+AU30+CFS!O8+CFS!O10+CFS!O12+CFS!O14+CFS!O15+CFS!O16</f>
        <v>2346.7071790000018</v>
      </c>
      <c r="AV41" s="636"/>
      <c r="AW41" s="636"/>
      <c r="AX41" s="636"/>
      <c r="AY41" s="636"/>
      <c r="AZ41" s="93">
        <f>+AZ30+CFS!P8+CFS!P10+CFS!P12+CFS!P14+CFS!P15+CFS!P16</f>
        <v>1591.7010000000012</v>
      </c>
      <c r="BA41" s="636"/>
      <c r="BB41" s="636"/>
      <c r="BD41" s="636"/>
      <c r="BE41" s="93">
        <f>+BE30+CFS!V8+CFS!V10+CFS!V12+CFS!V14+CFS!V15+CFS!V16</f>
        <v>5928.7743106185717</v>
      </c>
      <c r="BF41" s="636"/>
      <c r="BG41" s="636"/>
      <c r="BH41" s="636"/>
      <c r="BI41" s="636"/>
      <c r="BJ41" s="93">
        <f>+BJ30+CFS!W8+CFS!W10+CFS!W12+CFS!W14+CFS!W15+CFS!W16</f>
        <v>7359.2478346128582</v>
      </c>
      <c r="BK41" s="636"/>
      <c r="BL41" s="636"/>
      <c r="BM41" s="636"/>
      <c r="BN41" s="636"/>
      <c r="BO41" s="636"/>
      <c r="BP41" s="93">
        <f>+BP30+CFS!X8+CFS!X10+CFS!X12+CFS!X14+CFS!X15+CFS!X16</f>
        <v>7859.7279970911814</v>
      </c>
      <c r="BQ41" s="93"/>
      <c r="BR41" s="93"/>
      <c r="BS41" s="93"/>
      <c r="BT41" s="93"/>
      <c r="BU41" s="93">
        <f>+BU30+CFS!Y8+CFS!Y10+CFS!Y12+CFS!Y14+CFS!Y15+CFS!Y16</f>
        <v>8777.8881252743886</v>
      </c>
      <c r="BV41" s="93">
        <f>+BV30+CFS!Z8+CFS!Z10+CFS!Z12+CFS!Z14+CFS!Z15+CFS!Z16</f>
        <v>9513.291021462137</v>
      </c>
      <c r="BW41" s="93">
        <f>+BW30+CFS!AA8+CFS!AA10+CFS!AA12+CFS!AA14+CFS!AA15+CFS!AA16</f>
        <v>9767.133279186779</v>
      </c>
      <c r="BX41" s="93">
        <f>+BX30+CFS!AB8+CFS!AB10+CFS!AB12+CFS!AB14+CFS!AB15+CFS!AB16</f>
        <v>10205.75927393936</v>
      </c>
      <c r="BY41" s="93">
        <f>+BY30+CFS!AC8+CFS!AC10+CFS!AC12+CFS!AC14+CFS!AC15+CFS!AC16</f>
        <v>10227.777020558919</v>
      </c>
      <c r="BZ41" s="93">
        <f>+BZ30+CFS!AD8+CFS!AD10+CFS!AD12+CFS!AD14+CFS!AD15+CFS!AD16</f>
        <v>10413.394209251377</v>
      </c>
      <c r="CA41" s="93">
        <f>+CA30+CFS!AE8+CFS!AE10+CFS!AE12+CFS!AE14+CFS!AE15+CFS!AE16</f>
        <v>8449.1019992996498</v>
      </c>
      <c r="CB41" s="93">
        <f>+CB30+CFS!AF8+CFS!AF10+CFS!AF12+CFS!AF14+CFS!AF15+CFS!AF16</f>
        <v>8663.3637975504935</v>
      </c>
      <c r="CC41" s="93">
        <f>+CC30+CFS!AG8+CFS!AG10+CFS!AG12+CFS!AG14+CFS!AG15+CFS!AG16</f>
        <v>8919.4883415039076</v>
      </c>
      <c r="CD41" s="93">
        <f>+CD30+CFS!AH8+CFS!AH10+CFS!AH12+CFS!AH14+CFS!AH15+CFS!AH16</f>
        <v>9232.9392418959687</v>
      </c>
      <c r="CE41" s="93">
        <f>+CE30+CFS!AI8+CFS!AI10+CFS!AI12+CFS!AI14+CFS!AI15+CFS!AI16</f>
        <v>11090.723185358978</v>
      </c>
      <c r="CF41" s="269"/>
      <c r="CG41" s="213"/>
      <c r="CH41" s="269"/>
      <c r="CI41" s="269"/>
      <c r="CJ41" s="269"/>
      <c r="CK41" s="269"/>
      <c r="CL41" s="269"/>
      <c r="CM41" s="269"/>
      <c r="CN41" s="269"/>
      <c r="CO41" s="269"/>
      <c r="CP41" s="269"/>
      <c r="CQ41" s="269"/>
      <c r="CR41" s="269"/>
      <c r="CS41" s="269"/>
      <c r="CT41" s="269"/>
      <c r="CU41" s="269"/>
      <c r="CV41" s="269"/>
      <c r="CW41" s="269"/>
      <c r="CX41" s="269"/>
      <c r="CY41" s="269"/>
      <c r="CZ41" s="269"/>
      <c r="DA41" s="269"/>
      <c r="DB41" s="269"/>
      <c r="DC41" s="269"/>
      <c r="DD41" s="269"/>
    </row>
    <row r="42" spans="1:108" s="168" customFormat="1" hidden="1">
      <c r="A42" s="168" t="s">
        <v>181</v>
      </c>
      <c r="C42" s="169"/>
      <c r="D42" s="169"/>
      <c r="E42" s="170" t="e">
        <f t="shared" ref="E42:R42" si="78">+E41/$AU$44</f>
        <v>#REF!</v>
      </c>
      <c r="F42" s="170">
        <f t="shared" si="78"/>
        <v>1.6010808027411758</v>
      </c>
      <c r="G42" s="171" t="e">
        <f t="shared" si="78"/>
        <v>#REF!</v>
      </c>
      <c r="H42" s="170">
        <f t="shared" si="78"/>
        <v>1.6020504027674674</v>
      </c>
      <c r="I42" s="172">
        <f t="shared" si="78"/>
        <v>0</v>
      </c>
      <c r="J42" s="172">
        <f t="shared" si="78"/>
        <v>0</v>
      </c>
      <c r="K42" s="172">
        <f t="shared" si="78"/>
        <v>0</v>
      </c>
      <c r="L42" s="172">
        <f t="shared" si="78"/>
        <v>0</v>
      </c>
      <c r="M42" s="173" t="e">
        <f t="shared" si="78"/>
        <v>#REF!</v>
      </c>
      <c r="N42" s="42">
        <f t="shared" si="78"/>
        <v>2.5516914590289215</v>
      </c>
      <c r="O42" s="42">
        <f t="shared" si="78"/>
        <v>2.3251172969523335</v>
      </c>
      <c r="P42" s="42">
        <f t="shared" si="78"/>
        <v>1.296615438552283</v>
      </c>
      <c r="Q42" s="42">
        <f t="shared" si="78"/>
        <v>1.422855170789292</v>
      </c>
      <c r="R42" s="173">
        <f t="shared" si="78"/>
        <v>3.1215478541436705</v>
      </c>
      <c r="S42" s="174"/>
      <c r="T42" s="174"/>
      <c r="U42" s="174"/>
      <c r="V42" s="174"/>
      <c r="W42" s="173">
        <f>+W41/$AU$44</f>
        <v>4.1142840708958408</v>
      </c>
      <c r="X42" s="174"/>
      <c r="Y42" s="174"/>
      <c r="Z42" s="174"/>
      <c r="AA42" s="174"/>
      <c r="AB42" s="173">
        <f>+AB41/$AU$44</f>
        <v>7.7040556123133754</v>
      </c>
      <c r="AC42" s="174"/>
      <c r="AD42" s="174"/>
      <c r="AE42" s="174"/>
      <c r="AF42" s="174"/>
      <c r="AG42" s="173">
        <f>+AG41/$AU$44</f>
        <v>5.9032865058518382</v>
      </c>
      <c r="AH42" s="174"/>
      <c r="AI42" s="174"/>
      <c r="AJ42" s="174"/>
      <c r="AK42" s="174"/>
      <c r="AL42" s="173">
        <f>+AL41/$AU$44</f>
        <v>5.2000388935603752</v>
      </c>
      <c r="AM42" s="174"/>
      <c r="AN42" s="174"/>
      <c r="AO42" s="174">
        <f>+AO41/$AU$44</f>
        <v>5.8773319017581525</v>
      </c>
      <c r="AP42" s="174"/>
      <c r="AQ42" s="173">
        <f>+AQ41/$AU$44</f>
        <v>7.8727868074138776</v>
      </c>
      <c r="AR42" s="173">
        <f>+AR41/$AU$44</f>
        <v>8.0344783195790725</v>
      </c>
      <c r="AS42" s="173">
        <f>+AS41/$AU$44</f>
        <v>6.1215533321099214</v>
      </c>
      <c r="AT42" s="173"/>
      <c r="AU42" s="173">
        <f>+AU41/$AU$44</f>
        <v>6.4275913628906185</v>
      </c>
      <c r="AV42" s="637"/>
      <c r="AW42" s="637"/>
      <c r="AX42" s="637"/>
      <c r="AY42" s="637"/>
      <c r="AZ42" s="175">
        <f>+AZ41/$AU$44</f>
        <v>4.3596421792445366</v>
      </c>
      <c r="BA42" s="637"/>
      <c r="BB42" s="637"/>
      <c r="BC42" s="806"/>
      <c r="BD42" s="637"/>
      <c r="BE42" s="175">
        <f t="shared" ref="BE42:CE42" si="79">+BE41/$AU$44</f>
        <v>16.238812789458674</v>
      </c>
      <c r="BF42" s="637"/>
      <c r="BG42" s="637"/>
      <c r="BH42" s="637"/>
      <c r="BI42" s="637"/>
      <c r="BJ42" s="175">
        <f t="shared" si="79"/>
        <v>20.156855632617066</v>
      </c>
      <c r="BK42" s="637"/>
      <c r="BL42" s="637"/>
      <c r="BM42" s="637"/>
      <c r="BN42" s="637"/>
      <c r="BO42" s="637"/>
      <c r="BP42" s="175">
        <f t="shared" si="79"/>
        <v>21.527662352104993</v>
      </c>
      <c r="BQ42" s="175"/>
      <c r="BR42" s="175"/>
      <c r="BS42" s="175"/>
      <c r="BT42" s="175"/>
      <c r="BU42" s="175">
        <f t="shared" si="79"/>
        <v>24.042487449361374</v>
      </c>
      <c r="BV42" s="175">
        <f t="shared" si="79"/>
        <v>26.056743572187646</v>
      </c>
      <c r="BW42" s="175">
        <f t="shared" si="79"/>
        <v>26.752013232539063</v>
      </c>
      <c r="BX42" s="175">
        <f t="shared" si="79"/>
        <v>27.953402430407536</v>
      </c>
      <c r="BY42" s="175">
        <f t="shared" si="79"/>
        <v>28.013708666851784</v>
      </c>
      <c r="BZ42" s="175">
        <f t="shared" si="79"/>
        <v>28.522111014413564</v>
      </c>
      <c r="CA42" s="175">
        <f t="shared" si="79"/>
        <v>23.141947798541356</v>
      </c>
      <c r="CB42" s="175">
        <f t="shared" si="79"/>
        <v>23.728807248309344</v>
      </c>
      <c r="CC42" s="175">
        <f t="shared" si="79"/>
        <v>24.430328052128075</v>
      </c>
      <c r="CD42" s="175">
        <f t="shared" si="79"/>
        <v>25.288864778857157</v>
      </c>
      <c r="CE42" s="175">
        <f t="shared" si="79"/>
        <v>30.377303650130454</v>
      </c>
      <c r="CF42" s="767"/>
      <c r="CG42" s="766"/>
      <c r="CH42" s="767"/>
      <c r="CI42" s="767"/>
      <c r="CJ42" s="767"/>
      <c r="CK42" s="767"/>
      <c r="CL42" s="767"/>
      <c r="CM42" s="767"/>
      <c r="CN42" s="767"/>
      <c r="CO42" s="767"/>
      <c r="CP42" s="767"/>
      <c r="CQ42" s="767"/>
      <c r="CR42" s="767"/>
      <c r="CS42" s="767"/>
      <c r="CT42" s="767"/>
      <c r="CU42" s="767"/>
      <c r="CV42" s="767"/>
      <c r="CW42" s="767"/>
      <c r="CX42" s="767"/>
      <c r="CY42" s="767"/>
      <c r="CZ42" s="767"/>
      <c r="DA42" s="767"/>
      <c r="DB42" s="767"/>
      <c r="DC42" s="767"/>
      <c r="DD42" s="767"/>
    </row>
    <row r="43" spans="1:108" hidden="1">
      <c r="C43" s="36"/>
      <c r="D43" s="36"/>
      <c r="E43" s="24"/>
      <c r="F43" s="133"/>
      <c r="G43" s="30"/>
      <c r="H43" s="133"/>
      <c r="I43" s="176"/>
      <c r="J43" s="176"/>
      <c r="K43" s="176"/>
      <c r="L43" s="176"/>
      <c r="M43" s="12"/>
      <c r="N43" s="42"/>
      <c r="O43" s="42"/>
      <c r="P43" s="42"/>
      <c r="Q43" s="42"/>
      <c r="R43" s="12">
        <f>W43*0.35</f>
        <v>1107.3971999999999</v>
      </c>
      <c r="S43" s="42"/>
      <c r="T43" s="42"/>
      <c r="U43" s="42"/>
      <c r="V43" s="42"/>
      <c r="W43" s="12">
        <f>AB25-AB18</f>
        <v>3163.9920000000002</v>
      </c>
      <c r="X43" s="42"/>
      <c r="Y43" s="42"/>
      <c r="Z43" s="42"/>
      <c r="AA43" s="42"/>
      <c r="AB43" s="34">
        <f>AB30/W30-1</f>
        <v>0.44346932781951809</v>
      </c>
      <c r="AC43" s="42"/>
      <c r="AD43" s="42"/>
      <c r="AE43" s="42"/>
      <c r="AF43" s="42"/>
      <c r="AG43" s="12"/>
      <c r="AH43" s="42"/>
      <c r="AI43" s="42"/>
      <c r="AJ43" s="42"/>
      <c r="AK43" s="42"/>
      <c r="AL43" s="12"/>
      <c r="AM43" s="42"/>
      <c r="AN43" s="42"/>
      <c r="AO43" s="42"/>
      <c r="AP43" s="42"/>
      <c r="AQ43" s="12"/>
      <c r="AR43" s="12"/>
      <c r="AS43" s="12"/>
      <c r="AT43" s="12"/>
      <c r="AU43" s="12"/>
      <c r="AV43" s="619"/>
      <c r="AW43" s="619"/>
      <c r="AX43" s="619"/>
      <c r="AY43" s="619"/>
      <c r="AZ43" s="79"/>
      <c r="BA43" s="619"/>
      <c r="BB43" s="619"/>
      <c r="BD43" s="619"/>
      <c r="BE43" s="79"/>
      <c r="BF43" s="619"/>
      <c r="BG43" s="619"/>
      <c r="BH43" s="619"/>
      <c r="BI43" s="619"/>
      <c r="BJ43" s="79"/>
      <c r="BK43" s="619"/>
      <c r="BL43" s="619"/>
      <c r="BM43" s="619"/>
      <c r="BN43" s="619"/>
      <c r="BO43" s="61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269"/>
      <c r="CG43" s="592"/>
      <c r="CH43" s="269"/>
      <c r="CI43" s="269"/>
      <c r="CJ43" s="269"/>
      <c r="CK43" s="269"/>
      <c r="CL43" s="269"/>
      <c r="CM43" s="269"/>
      <c r="CN43" s="269"/>
      <c r="CO43" s="269"/>
      <c r="CP43" s="269"/>
      <c r="CQ43" s="269"/>
      <c r="CR43" s="269"/>
      <c r="CS43" s="269"/>
      <c r="CT43" s="269"/>
      <c r="CU43" s="269"/>
      <c r="CV43" s="269"/>
      <c r="CW43" s="269"/>
      <c r="CX43" s="269"/>
      <c r="CY43" s="269"/>
      <c r="CZ43" s="269"/>
      <c r="DA43" s="269"/>
      <c r="DB43" s="269"/>
      <c r="DC43" s="269"/>
      <c r="DD43" s="269"/>
    </row>
    <row r="44" spans="1:108">
      <c r="A44" s="1" t="s">
        <v>182</v>
      </c>
      <c r="C44" s="36">
        <f>BS!B7/10</f>
        <v>132.3914</v>
      </c>
      <c r="D44" s="36">
        <f>BS!C7/10</f>
        <v>132.3914</v>
      </c>
      <c r="E44" s="36">
        <f>BS!D7/10</f>
        <v>132.3914</v>
      </c>
      <c r="F44" s="131">
        <f>BS!E7/10</f>
        <v>152.3914</v>
      </c>
      <c r="G44" s="92">
        <f>BS!F7/10</f>
        <v>152.3914</v>
      </c>
      <c r="H44" s="131">
        <f>BS!G7/10</f>
        <v>152.3914</v>
      </c>
      <c r="I44" s="132">
        <v>167.630518</v>
      </c>
      <c r="J44" s="132">
        <v>167.630518</v>
      </c>
      <c r="K44" s="132">
        <v>167.630518</v>
      </c>
      <c r="L44" s="132">
        <v>167.630518</v>
      </c>
      <c r="M44" s="131">
        <v>167.630518</v>
      </c>
      <c r="N44" s="88">
        <f>BS!$H$7/10</f>
        <v>167.63060000000002</v>
      </c>
      <c r="O44" s="88">
        <f>BS!$H$7/10</f>
        <v>167.63060000000002</v>
      </c>
      <c r="P44" s="88">
        <f>BS!$H$7/10</f>
        <v>167.63060000000002</v>
      </c>
      <c r="Q44" s="88">
        <f>BS!$H$7/10</f>
        <v>167.63060000000002</v>
      </c>
      <c r="R44" s="177">
        <f>BS!I7/10</f>
        <v>167.63060000000002</v>
      </c>
      <c r="S44" s="132"/>
      <c r="T44" s="132"/>
      <c r="U44" s="132"/>
      <c r="V44" s="132"/>
      <c r="W44" s="131">
        <v>253.54115999999999</v>
      </c>
      <c r="X44" s="132">
        <f>+W44</f>
        <v>253.54115999999999</v>
      </c>
      <c r="Y44" s="132">
        <f>+X44</f>
        <v>253.54115999999999</v>
      </c>
      <c r="Z44" s="132">
        <f>+Y44</f>
        <v>253.54115999999999</v>
      </c>
      <c r="AA44" s="132">
        <f>+Z44</f>
        <v>253.54115999999999</v>
      </c>
      <c r="AB44" s="131">
        <v>253.54115999999999</v>
      </c>
      <c r="AC44" s="132">
        <f>+AB44</f>
        <v>253.54115999999999</v>
      </c>
      <c r="AD44" s="132">
        <f>+AC44</f>
        <v>253.54115999999999</v>
      </c>
      <c r="AE44" s="132">
        <f>+AD44</f>
        <v>253.54115999999999</v>
      </c>
      <c r="AF44" s="132">
        <f>+AE44</f>
        <v>253.54115999999999</v>
      </c>
      <c r="AG44" s="131">
        <v>253.54115999999999</v>
      </c>
      <c r="AH44" s="132">
        <f>+AG44</f>
        <v>253.54115999999999</v>
      </c>
      <c r="AI44" s="132">
        <f>+AH44</f>
        <v>253.54115999999999</v>
      </c>
      <c r="AJ44" s="132">
        <f>+AI44</f>
        <v>253.54115999999999</v>
      </c>
      <c r="AK44" s="132">
        <f>+AJ44</f>
        <v>253.54115999999999</v>
      </c>
      <c r="AL44" s="131">
        <v>253.54115999999999</v>
      </c>
      <c r="AM44" s="132">
        <f>+AL44</f>
        <v>253.54115999999999</v>
      </c>
      <c r="AN44" s="132">
        <f>+AM44</f>
        <v>253.54115999999999</v>
      </c>
      <c r="AO44" s="132">
        <v>3042.4940000000001</v>
      </c>
      <c r="AP44" s="132">
        <v>3042.4940000000001</v>
      </c>
      <c r="AQ44" s="131">
        <f>AL44*1.2</f>
        <v>304.249392</v>
      </c>
      <c r="AR44" s="131" t="e">
        <f>#REF!/10</f>
        <v>#REF!</v>
      </c>
      <c r="AS44" s="131" t="e">
        <f>#REF!/10</f>
        <v>#REF!</v>
      </c>
      <c r="AT44" s="131"/>
      <c r="AU44" s="131">
        <v>365.09899999999999</v>
      </c>
      <c r="AV44" s="658">
        <f>AV23/AV37</f>
        <v>2.69540933749613E-2</v>
      </c>
      <c r="AW44" s="658">
        <f>AW23/AW37</f>
        <v>2.8788699038463116E-2</v>
      </c>
      <c r="AX44" s="658">
        <f>AX23/AX37</f>
        <v>3.0783624122576649E-2</v>
      </c>
      <c r="AY44" s="631">
        <f>AVERAGE(AV44:AX44)</f>
        <v>2.8842138845333692E-2</v>
      </c>
      <c r="AZ44" s="140">
        <f>AU44</f>
        <v>365.09899999999999</v>
      </c>
      <c r="BA44" s="631">
        <v>438.11919999999998</v>
      </c>
      <c r="BB44" s="631">
        <f>BA44</f>
        <v>438.11919999999998</v>
      </c>
      <c r="BC44" s="631">
        <f>BB44</f>
        <v>438.11919999999998</v>
      </c>
      <c r="BD44" s="631">
        <f>BC44</f>
        <v>438.11919999999998</v>
      </c>
      <c r="BE44" s="140">
        <v>438.11919999999998</v>
      </c>
      <c r="BF44" s="631">
        <v>438.11919999999998</v>
      </c>
      <c r="BG44" s="631">
        <v>438.11919999999998</v>
      </c>
      <c r="BH44" s="631">
        <v>438.11919999999998</v>
      </c>
      <c r="BI44" s="631">
        <v>438.11919999999998</v>
      </c>
      <c r="BJ44" s="140">
        <f>BE44</f>
        <v>438.11919999999998</v>
      </c>
      <c r="BK44" s="631">
        <v>438.11919999999998</v>
      </c>
      <c r="BL44" s="631">
        <v>438.11919999999998</v>
      </c>
      <c r="BM44" s="631">
        <v>438.11919999999998</v>
      </c>
      <c r="BN44" s="631">
        <v>438.11919999999998</v>
      </c>
      <c r="BO44" s="631">
        <v>438.11919999999998</v>
      </c>
      <c r="BP44" s="140">
        <f>BJ44</f>
        <v>438.11919999999998</v>
      </c>
      <c r="BQ44" s="631">
        <v>438.11919999999998</v>
      </c>
      <c r="BR44" s="631">
        <v>438.11919999999998</v>
      </c>
      <c r="BS44" s="631">
        <v>438.11919999999998</v>
      </c>
      <c r="BT44" s="140"/>
      <c r="BU44" s="140">
        <f>BP44</f>
        <v>438.11919999999998</v>
      </c>
      <c r="BV44" s="140">
        <f t="shared" ref="BV44:CE44" si="80">BU44</f>
        <v>438.11919999999998</v>
      </c>
      <c r="BW44" s="140">
        <f t="shared" si="80"/>
        <v>438.11919999999998</v>
      </c>
      <c r="BX44" s="140">
        <f t="shared" si="80"/>
        <v>438.11919999999998</v>
      </c>
      <c r="BY44" s="140">
        <f t="shared" si="80"/>
        <v>438.11919999999998</v>
      </c>
      <c r="BZ44" s="140">
        <f t="shared" si="80"/>
        <v>438.11919999999998</v>
      </c>
      <c r="CA44" s="140">
        <f t="shared" si="80"/>
        <v>438.11919999999998</v>
      </c>
      <c r="CB44" s="140">
        <f t="shared" si="80"/>
        <v>438.11919999999998</v>
      </c>
      <c r="CC44" s="140">
        <f t="shared" si="80"/>
        <v>438.11919999999998</v>
      </c>
      <c r="CD44" s="140">
        <f t="shared" si="80"/>
        <v>438.11919999999998</v>
      </c>
      <c r="CE44" s="140">
        <f t="shared" si="80"/>
        <v>438.11919999999998</v>
      </c>
      <c r="CF44" s="269"/>
      <c r="CG44" s="740"/>
      <c r="CH44" s="269"/>
      <c r="CI44" s="269"/>
      <c r="CJ44" s="740"/>
      <c r="CK44" s="740"/>
      <c r="CL44" s="740"/>
      <c r="CM44" s="740"/>
      <c r="CN44" s="740"/>
      <c r="CO44" s="740"/>
      <c r="CP44" s="269"/>
      <c r="CQ44" s="269"/>
      <c r="CR44" s="269"/>
      <c r="CS44" s="269"/>
      <c r="CT44" s="269"/>
      <c r="CU44" s="269"/>
      <c r="CV44" s="269"/>
      <c r="CW44" s="269"/>
      <c r="CX44" s="269"/>
      <c r="CY44" s="269"/>
      <c r="CZ44" s="269"/>
      <c r="DA44" s="269"/>
      <c r="DB44" s="269"/>
      <c r="DC44" s="269"/>
      <c r="DD44" s="269"/>
    </row>
    <row r="45" spans="1:108">
      <c r="C45" s="36"/>
      <c r="D45" s="36"/>
      <c r="E45" s="36"/>
      <c r="F45" s="131"/>
      <c r="G45" s="92"/>
      <c r="H45" s="131"/>
      <c r="I45" s="132"/>
      <c r="J45" s="132"/>
      <c r="K45" s="132"/>
      <c r="L45" s="132"/>
      <c r="M45" s="131" t="e">
        <f>+$CC$45/M34</f>
        <v>#REF!</v>
      </c>
      <c r="N45" s="88"/>
      <c r="O45" s="88"/>
      <c r="P45" s="88"/>
      <c r="Q45" s="88"/>
      <c r="R45" s="131">
        <f>+$CC$45/R34</f>
        <v>0</v>
      </c>
      <c r="S45" s="132"/>
      <c r="T45" s="132"/>
      <c r="U45" s="132"/>
      <c r="V45" s="132"/>
      <c r="W45" s="131">
        <f t="shared" ref="W45:AF45" si="81">+$CC$45/W34</f>
        <v>0</v>
      </c>
      <c r="X45" s="132">
        <f t="shared" si="81"/>
        <v>0</v>
      </c>
      <c r="Y45" s="132">
        <f t="shared" si="81"/>
        <v>0</v>
      </c>
      <c r="Z45" s="132">
        <f t="shared" si="81"/>
        <v>0</v>
      </c>
      <c r="AA45" s="132">
        <f t="shared" si="81"/>
        <v>0</v>
      </c>
      <c r="AB45" s="131">
        <f t="shared" si="81"/>
        <v>0</v>
      </c>
      <c r="AC45" s="132">
        <f t="shared" si="81"/>
        <v>0</v>
      </c>
      <c r="AD45" s="132">
        <f t="shared" si="81"/>
        <v>0</v>
      </c>
      <c r="AE45" s="132">
        <f t="shared" si="81"/>
        <v>0</v>
      </c>
      <c r="AF45" s="132">
        <f t="shared" si="81"/>
        <v>0</v>
      </c>
      <c r="AG45" s="131"/>
      <c r="AH45" s="132">
        <f>+$CC$45/AH34</f>
        <v>0</v>
      </c>
      <c r="AI45" s="132"/>
      <c r="AJ45" s="132">
        <f>+$CC$45/AJ34</f>
        <v>0</v>
      </c>
      <c r="AK45" s="132">
        <f>+$CC$45/AK34</f>
        <v>0</v>
      </c>
      <c r="AL45" s="131">
        <f>+$CC$45/AL34</f>
        <v>0</v>
      </c>
      <c r="AM45" s="132">
        <f>+$CC$45/AM34</f>
        <v>0</v>
      </c>
      <c r="AN45" s="132">
        <f>AQ44-AN44</f>
        <v>50.70823200000001</v>
      </c>
      <c r="AO45" s="132">
        <f>+$CC$45/AO34</f>
        <v>0</v>
      </c>
      <c r="AP45" s="132"/>
      <c r="AQ45" s="131">
        <f>+$CC$45/AQ34</f>
        <v>0</v>
      </c>
      <c r="AR45" s="131">
        <f>+$CC$45/AR34</f>
        <v>0</v>
      </c>
      <c r="AS45" s="131">
        <f>+$CC$45/AS34</f>
        <v>0</v>
      </c>
      <c r="AT45" s="131"/>
      <c r="AU45" s="131">
        <f>+$CC$45/AU34</f>
        <v>0</v>
      </c>
      <c r="AV45" s="631"/>
      <c r="AW45" s="631"/>
      <c r="AX45" s="631"/>
      <c r="AY45" s="631"/>
      <c r="AZ45" s="140">
        <f>+$CC$45/AZ34</f>
        <v>0</v>
      </c>
      <c r="BA45" s="631"/>
      <c r="BB45" s="631"/>
      <c r="BC45" s="631"/>
      <c r="BD45" s="631"/>
      <c r="BE45" s="140">
        <f>BE36/BE33</f>
        <v>0.15997077007038263</v>
      </c>
      <c r="BF45" s="631"/>
      <c r="BG45" s="631"/>
      <c r="BH45" s="631"/>
      <c r="BI45" s="631"/>
      <c r="BJ45" s="140">
        <f>BJ36/BJ33</f>
        <v>0.23887990354349359</v>
      </c>
      <c r="BK45" s="631"/>
      <c r="BL45" s="631">
        <f>SUM(BK22:BL22)/SUM(Assumptions!BJ32:BK32)*A1</f>
        <v>0</v>
      </c>
      <c r="BM45" s="631"/>
      <c r="BN45" s="631"/>
      <c r="BO45" s="631"/>
      <c r="BP45" s="140">
        <f>BP36/BP33</f>
        <v>0.22032655111107244</v>
      </c>
      <c r="BQ45" s="140"/>
      <c r="BR45" s="140"/>
      <c r="BS45" s="140"/>
      <c r="BT45" s="140"/>
      <c r="BU45" s="140">
        <f>BU36/BU33</f>
        <v>0.25599434392157255</v>
      </c>
      <c r="BV45" s="140"/>
      <c r="BW45" s="140"/>
      <c r="BX45" s="140"/>
      <c r="BY45" s="140"/>
      <c r="BZ45" s="140"/>
      <c r="CA45" s="140"/>
      <c r="CB45" s="140"/>
      <c r="CC45" s="140"/>
      <c r="CD45" s="140"/>
      <c r="CE45" s="140"/>
      <c r="CF45" s="269"/>
      <c r="CG45" s="740"/>
      <c r="CH45" s="269"/>
      <c r="CI45" s="269"/>
      <c r="CJ45" s="269"/>
      <c r="CK45" s="269"/>
      <c r="CL45" s="269"/>
      <c r="CM45" s="269"/>
      <c r="CN45" s="269"/>
      <c r="CO45" s="269"/>
      <c r="CP45" s="269"/>
      <c r="CQ45" s="269"/>
      <c r="CR45" s="269"/>
      <c r="CS45" s="269"/>
      <c r="CT45" s="269"/>
      <c r="CU45" s="269"/>
      <c r="CV45" s="269"/>
      <c r="CW45" s="269"/>
      <c r="CX45" s="269"/>
      <c r="CY45" s="269"/>
      <c r="CZ45" s="269"/>
      <c r="DA45" s="269"/>
      <c r="DB45" s="269"/>
      <c r="DC45" s="269"/>
      <c r="DD45" s="269"/>
    </row>
    <row r="46" spans="1:108">
      <c r="A46" s="1" t="s">
        <v>183</v>
      </c>
      <c r="I46" s="40"/>
      <c r="J46" s="40"/>
      <c r="K46" s="40"/>
      <c r="L46" s="40"/>
      <c r="M46" s="28">
        <f>+BS!H8/10</f>
        <v>0</v>
      </c>
      <c r="N46" s="40"/>
      <c r="O46" s="40"/>
      <c r="P46" s="40"/>
      <c r="Q46" s="40"/>
      <c r="R46" s="28">
        <v>35.350999999999999</v>
      </c>
      <c r="S46" s="178"/>
      <c r="T46" s="178"/>
      <c r="U46" s="178"/>
      <c r="V46" s="178"/>
      <c r="W46" s="28">
        <v>35.351015000000004</v>
      </c>
      <c r="X46" s="178"/>
      <c r="Y46" s="178"/>
      <c r="Z46" s="178"/>
      <c r="AA46" s="178"/>
      <c r="AB46" s="179">
        <v>35.351014999999997</v>
      </c>
      <c r="AC46" s="178"/>
      <c r="AD46" s="178"/>
      <c r="AE46" s="178"/>
      <c r="AF46" s="178">
        <f>+AG46</f>
        <v>35.351014999999997</v>
      </c>
      <c r="AG46" s="28">
        <v>35.351014999999997</v>
      </c>
      <c r="AH46" s="178">
        <f>+AL46</f>
        <v>0</v>
      </c>
      <c r="AI46" s="178">
        <v>0</v>
      </c>
      <c r="AJ46" s="178"/>
      <c r="AK46" s="178">
        <f>+AL46</f>
        <v>0</v>
      </c>
      <c r="AL46" s="28"/>
      <c r="AM46" s="178">
        <f>+AU46</f>
        <v>0</v>
      </c>
      <c r="AN46" s="178">
        <f>AN45*20</f>
        <v>1014.1646400000002</v>
      </c>
      <c r="AO46" s="178"/>
      <c r="AP46" s="178"/>
      <c r="AQ46" s="28"/>
      <c r="AR46" s="28"/>
      <c r="AS46" s="28"/>
      <c r="AT46" s="28"/>
      <c r="AU46" s="28"/>
      <c r="AV46" s="638"/>
      <c r="AW46" s="638"/>
      <c r="AX46" s="638"/>
      <c r="AY46" s="638"/>
      <c r="AZ46" s="180"/>
      <c r="BA46" s="638"/>
      <c r="BB46" s="638"/>
      <c r="BC46" s="638">
        <f>SUM(BA14:BC14)/SUM(BA12:BC12)</f>
        <v>0.3299877724813482</v>
      </c>
      <c r="BD46" s="638"/>
      <c r="BE46" s="180"/>
      <c r="BF46" s="638"/>
      <c r="BG46" s="638"/>
      <c r="BH46" s="638">
        <f>SUM(BF14:BH14)/SUM(BF12:BH12)</f>
        <v>0.37652286761857895</v>
      </c>
      <c r="BI46" s="638"/>
      <c r="BJ46" s="180"/>
      <c r="BK46" s="638"/>
      <c r="BL46" s="638">
        <f>SUM(BK22:BL22)</f>
        <v>0</v>
      </c>
      <c r="BM46" s="638"/>
      <c r="BN46" s="638"/>
      <c r="BO46" s="638"/>
      <c r="BP46" s="1010">
        <f>0.38/10.16</f>
        <v>3.7401574803149609E-2</v>
      </c>
      <c r="BQ46" s="1010"/>
      <c r="BR46" s="1010"/>
      <c r="BS46" s="1010"/>
      <c r="BT46" s="1010"/>
      <c r="BU46" s="180"/>
      <c r="BV46" s="180"/>
      <c r="BW46" s="180"/>
      <c r="BX46" s="180"/>
      <c r="BY46" s="180"/>
      <c r="BZ46" s="180"/>
      <c r="CA46" s="180"/>
      <c r="CB46" s="180"/>
      <c r="CC46" s="180"/>
      <c r="CD46" s="180"/>
      <c r="CE46" s="180"/>
      <c r="CF46" s="269"/>
      <c r="CG46" s="281"/>
      <c r="CH46" s="269"/>
      <c r="CI46" s="269"/>
      <c r="CJ46" s="269"/>
      <c r="CK46" s="269"/>
      <c r="CL46" s="269"/>
      <c r="CM46" s="269"/>
      <c r="CN46" s="269"/>
      <c r="CO46" s="269"/>
      <c r="CP46" s="269"/>
      <c r="CQ46" s="269"/>
      <c r="CR46" s="269"/>
      <c r="CS46" s="269"/>
      <c r="CT46" s="269"/>
      <c r="CU46" s="269"/>
      <c r="CV46" s="269"/>
      <c r="CW46" s="269"/>
      <c r="CX46" s="269"/>
      <c r="CY46" s="269"/>
      <c r="CZ46" s="269"/>
      <c r="DA46" s="269"/>
      <c r="DB46" s="269"/>
      <c r="DC46" s="269"/>
      <c r="DD46" s="269"/>
    </row>
    <row r="47" spans="1:108">
      <c r="A47" s="1" t="s">
        <v>592</v>
      </c>
      <c r="I47" s="40"/>
      <c r="J47" s="40"/>
      <c r="K47" s="40"/>
      <c r="L47" s="40"/>
      <c r="M47" s="28"/>
      <c r="N47" s="40"/>
      <c r="O47" s="40"/>
      <c r="P47" s="40"/>
      <c r="Q47" s="40"/>
      <c r="R47" s="28"/>
      <c r="S47" s="178"/>
      <c r="T47" s="178"/>
      <c r="U47" s="178"/>
      <c r="V47" s="178"/>
      <c r="W47" s="28"/>
      <c r="X47" s="178"/>
      <c r="Y47" s="178"/>
      <c r="Z47" s="178"/>
      <c r="AA47" s="178"/>
      <c r="AB47" s="28">
        <f>+AB44+AB46</f>
        <v>288.89217500000001</v>
      </c>
      <c r="AC47" s="178"/>
      <c r="AD47" s="178"/>
      <c r="AE47" s="178"/>
      <c r="AF47" s="178"/>
      <c r="AG47" s="28"/>
      <c r="AH47" s="178"/>
      <c r="AI47" s="178"/>
      <c r="AJ47" s="178"/>
      <c r="AK47" s="178"/>
      <c r="AL47" s="28"/>
      <c r="AM47" s="178"/>
      <c r="AN47" s="178"/>
      <c r="AO47" s="178"/>
      <c r="AP47" s="178"/>
      <c r="AQ47" s="28">
        <f>30.85/AQ33</f>
        <v>17.85835439758727</v>
      </c>
      <c r="AR47" s="28"/>
      <c r="AS47" s="28"/>
      <c r="AT47" s="28"/>
      <c r="AU47" s="28">
        <f>30.85/AU33</f>
        <v>13.684782997478676</v>
      </c>
      <c r="AV47" s="638"/>
      <c r="AW47" s="638"/>
      <c r="AX47" s="638"/>
      <c r="AY47" s="638">
        <f>911.672-777.946</f>
        <v>133.726</v>
      </c>
      <c r="AZ47" s="180">
        <f>30.85/AZ33</f>
        <v>79.058834003076186</v>
      </c>
      <c r="BA47" s="638">
        <f>911.672-777.946</f>
        <v>133.726</v>
      </c>
      <c r="BB47" s="638">
        <f>911.672-777.946</f>
        <v>133.726</v>
      </c>
      <c r="BC47" s="636">
        <f>911.672-777.946</f>
        <v>133.726</v>
      </c>
      <c r="BD47" s="638">
        <f>911.672-777.946</f>
        <v>133.726</v>
      </c>
      <c r="BE47" s="180">
        <f>30.85/BE33</f>
        <v>3.2900655044475364</v>
      </c>
      <c r="BF47" s="638"/>
      <c r="BG47" s="638"/>
      <c r="BH47" s="638"/>
      <c r="BI47" s="638"/>
      <c r="BJ47" s="180">
        <f>30.85/BJ33</f>
        <v>2.4564816747722591</v>
      </c>
      <c r="BK47" s="638"/>
      <c r="BL47" s="622">
        <f>SUM(Assumptions!BJ32:BK32)</f>
        <v>1854126</v>
      </c>
      <c r="BM47" s="638"/>
      <c r="BN47" s="638"/>
      <c r="BO47" s="638"/>
      <c r="BP47" s="180"/>
      <c r="BQ47" s="180"/>
      <c r="BR47" s="180">
        <f>BT47-BS47</f>
        <v>0.71</v>
      </c>
      <c r="BS47" s="180">
        <v>3.12</v>
      </c>
      <c r="BT47" s="180">
        <v>3.83</v>
      </c>
      <c r="BU47" s="180"/>
      <c r="BV47" s="180"/>
      <c r="BW47" s="180"/>
      <c r="BX47" s="180"/>
      <c r="BY47" s="180"/>
      <c r="BZ47" s="180"/>
      <c r="CA47" s="180"/>
      <c r="CB47" s="180"/>
      <c r="CC47" s="180"/>
      <c r="CD47" s="180"/>
      <c r="CE47" s="180"/>
      <c r="CF47" s="269"/>
      <c r="CG47" s="281"/>
      <c r="CH47" s="269"/>
      <c r="CI47" s="269"/>
      <c r="CJ47" s="269"/>
      <c r="CK47" s="269"/>
      <c r="CL47" s="269"/>
      <c r="CM47" s="269"/>
      <c r="CN47" s="269"/>
      <c r="CO47" s="269"/>
      <c r="CP47" s="269"/>
      <c r="CQ47" s="269"/>
      <c r="CR47" s="269"/>
      <c r="CS47" s="269"/>
      <c r="CT47" s="269"/>
      <c r="CU47" s="269"/>
      <c r="CV47" s="269"/>
      <c r="CW47" s="269"/>
      <c r="CX47" s="269"/>
      <c r="CY47" s="269"/>
      <c r="CZ47" s="269"/>
      <c r="DA47" s="269"/>
      <c r="DB47" s="269"/>
      <c r="DC47" s="269"/>
      <c r="DD47" s="269"/>
    </row>
    <row r="48" spans="1:108" s="181" customFormat="1">
      <c r="A48" s="181" t="s">
        <v>174</v>
      </c>
      <c r="C48" s="181" t="e">
        <f t="shared" ref="C48:L48" si="82">+C29/C25</f>
        <v>#REF!</v>
      </c>
      <c r="D48" s="181" t="e">
        <f t="shared" si="82"/>
        <v>#REF!</v>
      </c>
      <c r="E48" s="181" t="e">
        <f t="shared" si="82"/>
        <v>#REF!</v>
      </c>
      <c r="F48" s="181">
        <f t="shared" si="82"/>
        <v>-0.18425117607133759</v>
      </c>
      <c r="G48" s="182" t="e">
        <f t="shared" si="82"/>
        <v>#REF!</v>
      </c>
      <c r="H48" s="181">
        <f t="shared" si="82"/>
        <v>4.8631082284634343E-2</v>
      </c>
      <c r="I48" s="183">
        <f t="shared" si="82"/>
        <v>6.0279847860065461E-2</v>
      </c>
      <c r="J48" s="183">
        <f t="shared" si="82"/>
        <v>0.16118522583078906</v>
      </c>
      <c r="K48" s="183" t="e">
        <f t="shared" si="82"/>
        <v>#REF!</v>
      </c>
      <c r="L48" s="183" t="e">
        <f t="shared" si="82"/>
        <v>#REF!</v>
      </c>
      <c r="M48" s="184" t="e">
        <f>+(M29+149)/M25</f>
        <v>#REF!</v>
      </c>
      <c r="N48" s="185">
        <f>+N29/N25</f>
        <v>1.9324885426762865E-2</v>
      </c>
      <c r="O48" s="185">
        <f>+O29/O25</f>
        <v>0.43837592745259707</v>
      </c>
      <c r="P48" s="185">
        <f>+P29/P25</f>
        <v>0.37240823995168765</v>
      </c>
      <c r="Q48" s="185">
        <f>+P48</f>
        <v>0.37240823995168765</v>
      </c>
      <c r="R48" s="181">
        <f>+R29/R25</f>
        <v>0.29089399909854835</v>
      </c>
      <c r="S48" s="186"/>
      <c r="T48" s="186"/>
      <c r="U48" s="186"/>
      <c r="V48" s="186"/>
      <c r="W48" s="181">
        <f>+W29/W25</f>
        <v>0.2070423816664631</v>
      </c>
      <c r="X48" s="186">
        <f>+X29/X25</f>
        <v>0.28800143860230792</v>
      </c>
      <c r="Y48" s="186">
        <f>+Y29/Y25</f>
        <v>0.29276122439752228</v>
      </c>
      <c r="Z48" s="186">
        <f>+Z29/Z25</f>
        <v>0.27671412228458253</v>
      </c>
      <c r="AA48" s="186">
        <v>0.28999999999999998</v>
      </c>
      <c r="AB48" s="181">
        <f t="shared" ref="AB48:AH48" si="83">+AB29/AB25</f>
        <v>0.29787346021203509</v>
      </c>
      <c r="AC48" s="186">
        <f t="shared" si="83"/>
        <v>0.2100000161885906</v>
      </c>
      <c r="AD48" s="186">
        <f t="shared" si="83"/>
        <v>8.0956620737972898E-2</v>
      </c>
      <c r="AE48" s="186">
        <f t="shared" si="83"/>
        <v>0.17841384337950353</v>
      </c>
      <c r="AF48" s="186">
        <f t="shared" si="83"/>
        <v>-0.38156856649294263</v>
      </c>
      <c r="AG48" s="181">
        <f t="shared" si="83"/>
        <v>5.6496067758385927E-2</v>
      </c>
      <c r="AH48" s="186">
        <f t="shared" si="83"/>
        <v>-1.4299344283110071</v>
      </c>
      <c r="AI48" s="186"/>
      <c r="AJ48" s="186">
        <f t="shared" ref="AJ48:AO48" si="84">+AJ29/AJ25</f>
        <v>4.3430878114934988</v>
      </c>
      <c r="AK48" s="186">
        <f t="shared" si="84"/>
        <v>-0.83868021889979461</v>
      </c>
      <c r="AL48" s="181">
        <f t="shared" si="84"/>
        <v>0.78786912684812249</v>
      </c>
      <c r="AM48" s="186">
        <f t="shared" si="84"/>
        <v>0.51348474402208488</v>
      </c>
      <c r="AN48" s="186">
        <f t="shared" si="84"/>
        <v>-1.9364641158303468</v>
      </c>
      <c r="AO48" s="186">
        <f t="shared" si="84"/>
        <v>-0.17570539657919784</v>
      </c>
      <c r="AP48" s="186"/>
      <c r="AQ48" s="181">
        <f>+AQ29/AQ25</f>
        <v>0.32348759814368927</v>
      </c>
      <c r="AR48" s="181">
        <f>+AR29/AR25</f>
        <v>-0.19356768366380295</v>
      </c>
      <c r="AS48" s="181">
        <f>+AS29/AS25</f>
        <v>-7.1932603686636067</v>
      </c>
      <c r="AU48" s="181">
        <f>+AU29/AU25</f>
        <v>0.13219789288087197</v>
      </c>
      <c r="AV48" s="639"/>
      <c r="AW48" s="639"/>
      <c r="AX48" s="639"/>
      <c r="AY48" s="639"/>
      <c r="AZ48" s="187">
        <f>+AZ29/AZ25</f>
        <v>0.71562994850230732</v>
      </c>
      <c r="BA48" s="639"/>
      <c r="BB48" s="639"/>
      <c r="BC48" s="807"/>
      <c r="BD48" s="639"/>
      <c r="BE48" s="187">
        <f>+BE29/BE25</f>
        <v>1.3732872774256468E-2</v>
      </c>
      <c r="BF48" s="639"/>
      <c r="BG48" s="639"/>
      <c r="BH48" s="639"/>
      <c r="BI48" s="639"/>
      <c r="BJ48" s="187">
        <f>+BJ29/BJ25</f>
        <v>0.22459426330121046</v>
      </c>
      <c r="BK48" s="639"/>
      <c r="BL48" s="1297">
        <f>BL46*A1</f>
        <v>0</v>
      </c>
      <c r="BM48" s="639"/>
      <c r="BN48" s="639"/>
      <c r="BO48" s="639"/>
      <c r="BP48" s="187">
        <f>+BP29/BP25</f>
        <v>0.24019916455632043</v>
      </c>
      <c r="BQ48" s="187"/>
      <c r="BR48" s="187"/>
      <c r="BS48" s="187"/>
      <c r="BT48" s="187"/>
      <c r="BU48" s="187">
        <v>0.31</v>
      </c>
      <c r="BV48" s="187">
        <f>BU48</f>
        <v>0.31</v>
      </c>
      <c r="BW48" s="187">
        <f t="shared" ref="BW48:CE48" si="85">BV48</f>
        <v>0.31</v>
      </c>
      <c r="BX48" s="187">
        <f t="shared" si="85"/>
        <v>0.31</v>
      </c>
      <c r="BY48" s="187">
        <f t="shared" si="85"/>
        <v>0.31</v>
      </c>
      <c r="BZ48" s="187">
        <f t="shared" si="85"/>
        <v>0.31</v>
      </c>
      <c r="CA48" s="187">
        <f t="shared" si="85"/>
        <v>0.31</v>
      </c>
      <c r="CB48" s="187">
        <f t="shared" si="85"/>
        <v>0.31</v>
      </c>
      <c r="CC48" s="187">
        <f t="shared" si="85"/>
        <v>0.31</v>
      </c>
      <c r="CD48" s="187">
        <f t="shared" si="85"/>
        <v>0.31</v>
      </c>
      <c r="CE48" s="187">
        <f t="shared" si="85"/>
        <v>0.31</v>
      </c>
      <c r="CF48" s="768"/>
      <c r="CG48" s="725"/>
      <c r="CH48" s="768"/>
      <c r="CI48" s="768"/>
      <c r="CJ48" s="768"/>
      <c r="CK48" s="768"/>
      <c r="CL48" s="768"/>
      <c r="CM48" s="768"/>
      <c r="CN48" s="768"/>
      <c r="CO48" s="768"/>
      <c r="CP48" s="768"/>
      <c r="CQ48" s="768"/>
      <c r="CR48" s="768"/>
      <c r="CS48" s="768"/>
      <c r="CT48" s="768"/>
      <c r="CU48" s="768"/>
      <c r="CV48" s="768"/>
      <c r="CW48" s="768"/>
      <c r="CX48" s="768"/>
      <c r="CY48" s="768"/>
      <c r="CZ48" s="768"/>
      <c r="DA48" s="768"/>
      <c r="DB48" s="768"/>
      <c r="DC48" s="768"/>
      <c r="DD48" s="768"/>
    </row>
    <row r="49" spans="1:108">
      <c r="I49" s="40"/>
      <c r="J49" s="40"/>
      <c r="K49" s="40"/>
      <c r="L49" s="40"/>
      <c r="N49" s="40"/>
      <c r="O49" s="40"/>
      <c r="P49" s="40"/>
      <c r="Q49" s="40"/>
      <c r="S49" s="178"/>
      <c r="T49" s="178"/>
      <c r="U49" s="178"/>
      <c r="V49" s="178"/>
      <c r="W49" s="34"/>
      <c r="X49" s="178"/>
      <c r="Y49" s="178"/>
      <c r="Z49" s="178"/>
      <c r="AA49" s="178"/>
      <c r="AB49" s="34"/>
      <c r="AC49" s="178"/>
      <c r="AD49" s="188"/>
      <c r="AE49" s="188"/>
      <c r="AF49" s="188"/>
      <c r="AH49" s="188"/>
      <c r="AI49" s="188"/>
      <c r="AJ49" s="188"/>
      <c r="AK49" s="188"/>
      <c r="AM49" s="188"/>
      <c r="AN49" s="188"/>
      <c r="AO49" s="188"/>
      <c r="AP49" s="188"/>
      <c r="AQ49" s="1"/>
      <c r="BE49" s="600">
        <f>AVERAGE(BE52,AZ52,AU52)</f>
        <v>0.25284265738352441</v>
      </c>
      <c r="BK49" s="640"/>
      <c r="BL49" s="622">
        <f>BL48/BL47</f>
        <v>0</v>
      </c>
      <c r="BM49" s="640"/>
      <c r="BN49" s="640"/>
      <c r="BO49" s="640"/>
      <c r="BU49" s="600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269"/>
      <c r="CG49" s="281"/>
      <c r="CH49" s="269"/>
      <c r="CI49" s="269"/>
      <c r="CJ49" s="269"/>
      <c r="CK49" s="269"/>
      <c r="CL49" s="269"/>
      <c r="CM49" s="269"/>
      <c r="CN49" s="269"/>
      <c r="CO49" s="269"/>
      <c r="CP49" s="269"/>
      <c r="CQ49" s="269"/>
      <c r="CR49" s="269"/>
      <c r="CS49" s="269"/>
      <c r="CT49" s="269"/>
      <c r="CU49" s="269"/>
      <c r="CV49" s="269"/>
      <c r="CW49" s="269"/>
      <c r="CX49" s="269"/>
      <c r="CY49" s="269"/>
      <c r="CZ49" s="269"/>
      <c r="DA49" s="269"/>
      <c r="DB49" s="269"/>
      <c r="DC49" s="269"/>
      <c r="DD49" s="269"/>
    </row>
    <row r="50" spans="1:108" s="10" customFormat="1">
      <c r="A50" s="189" t="s">
        <v>164</v>
      </c>
      <c r="B50" s="189"/>
      <c r="C50" s="190">
        <f t="shared" ref="C50:C56" si="86">+C12/C$12</f>
        <v>1</v>
      </c>
      <c r="D50" s="190">
        <f t="shared" ref="D50:AU50" si="87">+D12/D$12</f>
        <v>1</v>
      </c>
      <c r="E50" s="190">
        <f t="shared" si="87"/>
        <v>1</v>
      </c>
      <c r="F50" s="190">
        <f t="shared" si="87"/>
        <v>1</v>
      </c>
      <c r="G50" s="190">
        <f t="shared" si="87"/>
        <v>1</v>
      </c>
      <c r="H50" s="190">
        <f t="shared" si="87"/>
        <v>1</v>
      </c>
      <c r="I50" s="190">
        <f t="shared" si="87"/>
        <v>1</v>
      </c>
      <c r="J50" s="190">
        <f t="shared" si="87"/>
        <v>1</v>
      </c>
      <c r="K50" s="190" t="e">
        <f t="shared" si="87"/>
        <v>#DIV/0!</v>
      </c>
      <c r="L50" s="190">
        <f t="shared" si="87"/>
        <v>1</v>
      </c>
      <c r="M50" s="190">
        <f t="shared" si="87"/>
        <v>1</v>
      </c>
      <c r="N50" s="190">
        <f t="shared" si="87"/>
        <v>1</v>
      </c>
      <c r="O50" s="190">
        <f t="shared" si="87"/>
        <v>1</v>
      </c>
      <c r="P50" s="190">
        <f t="shared" si="87"/>
        <v>1</v>
      </c>
      <c r="Q50" s="190">
        <f t="shared" si="87"/>
        <v>1</v>
      </c>
      <c r="R50" s="190">
        <f t="shared" si="87"/>
        <v>1</v>
      </c>
      <c r="S50" s="190" t="e">
        <f t="shared" ref="S50:V56" si="88">+S12/S$12</f>
        <v>#DIV/0!</v>
      </c>
      <c r="T50" s="190" t="e">
        <f t="shared" si="88"/>
        <v>#DIV/0!</v>
      </c>
      <c r="U50" s="190" t="e">
        <f t="shared" si="88"/>
        <v>#DIV/0!</v>
      </c>
      <c r="V50" s="190" t="e">
        <f t="shared" si="88"/>
        <v>#DIV/0!</v>
      </c>
      <c r="W50" s="190">
        <f t="shared" si="87"/>
        <v>1</v>
      </c>
      <c r="X50" s="190">
        <f t="shared" si="87"/>
        <v>1</v>
      </c>
      <c r="Y50" s="190">
        <f t="shared" si="87"/>
        <v>1</v>
      </c>
      <c r="Z50" s="190">
        <f t="shared" si="87"/>
        <v>1</v>
      </c>
      <c r="AA50" s="190">
        <f>+AA12/AA$12</f>
        <v>1</v>
      </c>
      <c r="AB50" s="190">
        <f t="shared" si="87"/>
        <v>1</v>
      </c>
      <c r="AC50" s="190">
        <f t="shared" ref="AC50:AD56" si="89">+AC12/AC$12</f>
        <v>1</v>
      </c>
      <c r="AD50" s="190">
        <f t="shared" si="89"/>
        <v>1</v>
      </c>
      <c r="AE50" s="190">
        <f t="shared" ref="AE50:AF56" si="90">+AE12/AE$12</f>
        <v>1</v>
      </c>
      <c r="AF50" s="190">
        <f t="shared" si="90"/>
        <v>1</v>
      </c>
      <c r="AG50" s="190">
        <f t="shared" si="87"/>
        <v>1</v>
      </c>
      <c r="AH50" s="190">
        <f t="shared" si="87"/>
        <v>1</v>
      </c>
      <c r="AI50" s="190">
        <f t="shared" ref="AI50:AK56" si="91">+AI12/AI$12</f>
        <v>1</v>
      </c>
      <c r="AJ50" s="190">
        <f t="shared" si="91"/>
        <v>1</v>
      </c>
      <c r="AK50" s="190">
        <f t="shared" si="91"/>
        <v>1</v>
      </c>
      <c r="AL50" s="190">
        <f t="shared" si="87"/>
        <v>1</v>
      </c>
      <c r="AM50" s="190">
        <f t="shared" si="87"/>
        <v>1</v>
      </c>
      <c r="AN50" s="190">
        <f t="shared" ref="AN50:AN56" si="92">+AN12/AN$12</f>
        <v>1</v>
      </c>
      <c r="AO50" s="190">
        <f t="shared" ref="AO50:AO56" si="93">+AO12/AO$12</f>
        <v>1</v>
      </c>
      <c r="AP50" s="190">
        <f t="shared" ref="AP50:AP56" si="94">+AP12/AP$12</f>
        <v>1</v>
      </c>
      <c r="AQ50" s="190">
        <f>+AQ12/AQ$12</f>
        <v>1</v>
      </c>
      <c r="AR50" s="190">
        <f>+AR12/AR$12</f>
        <v>1</v>
      </c>
      <c r="AS50" s="190">
        <f>+AS12/AS$12</f>
        <v>1</v>
      </c>
      <c r="AT50" s="190"/>
      <c r="AU50" s="190">
        <f t="shared" si="87"/>
        <v>1</v>
      </c>
      <c r="AV50" s="641"/>
      <c r="AW50" s="641"/>
      <c r="AX50" s="641"/>
      <c r="AY50" s="641"/>
      <c r="AZ50" s="191">
        <f t="shared" ref="AZ50:BI50" si="95">+AZ12/AZ$12</f>
        <v>1</v>
      </c>
      <c r="BA50" s="662">
        <f t="shared" si="95"/>
        <v>1</v>
      </c>
      <c r="BB50" s="662">
        <f t="shared" si="95"/>
        <v>1</v>
      </c>
      <c r="BC50" s="662">
        <f t="shared" si="95"/>
        <v>1</v>
      </c>
      <c r="BD50" s="662">
        <f t="shared" si="95"/>
        <v>1</v>
      </c>
      <c r="BE50" s="191">
        <f t="shared" si="95"/>
        <v>1</v>
      </c>
      <c r="BF50" s="641">
        <f t="shared" si="95"/>
        <v>1</v>
      </c>
      <c r="BG50" s="641">
        <f t="shared" si="95"/>
        <v>1</v>
      </c>
      <c r="BH50" s="641">
        <f t="shared" si="95"/>
        <v>1</v>
      </c>
      <c r="BI50" s="641">
        <f t="shared" si="95"/>
        <v>1</v>
      </c>
      <c r="BJ50" s="191">
        <f t="shared" ref="BJ50:BP56" si="96">+BJ12/BJ$12</f>
        <v>1</v>
      </c>
      <c r="BK50" s="641">
        <f t="shared" si="96"/>
        <v>1</v>
      </c>
      <c r="BL50" s="641">
        <f t="shared" si="96"/>
        <v>1</v>
      </c>
      <c r="BM50" s="641">
        <f t="shared" si="96"/>
        <v>1</v>
      </c>
      <c r="BN50" s="641">
        <f t="shared" si="96"/>
        <v>1</v>
      </c>
      <c r="BO50" s="641">
        <f t="shared" ref="BO50:BQ50" si="97">+BO12/BO$12</f>
        <v>1</v>
      </c>
      <c r="BP50" s="191">
        <f t="shared" si="96"/>
        <v>1</v>
      </c>
      <c r="BQ50" s="191">
        <f t="shared" si="97"/>
        <v>1</v>
      </c>
      <c r="BR50" s="191">
        <f t="shared" ref="BR50:BS50" si="98">+BR12/BR$12</f>
        <v>1</v>
      </c>
      <c r="BS50" s="191">
        <f t="shared" si="98"/>
        <v>1</v>
      </c>
      <c r="BT50" s="191"/>
      <c r="BU50" s="191">
        <f t="shared" ref="BU50:BV56" si="99">+BU12/BU$12</f>
        <v>1</v>
      </c>
      <c r="BV50" s="191">
        <f t="shared" si="99"/>
        <v>1</v>
      </c>
      <c r="BW50" s="191">
        <f t="shared" ref="BW50:CE50" si="100">+BW12/BW$12</f>
        <v>1</v>
      </c>
      <c r="BX50" s="191">
        <f t="shared" si="100"/>
        <v>1</v>
      </c>
      <c r="BY50" s="191">
        <f t="shared" si="100"/>
        <v>1</v>
      </c>
      <c r="BZ50" s="191">
        <f t="shared" si="100"/>
        <v>1</v>
      </c>
      <c r="CA50" s="191">
        <f t="shared" si="100"/>
        <v>1</v>
      </c>
      <c r="CB50" s="191">
        <f t="shared" si="100"/>
        <v>1</v>
      </c>
      <c r="CC50" s="191">
        <f t="shared" si="100"/>
        <v>1</v>
      </c>
      <c r="CD50" s="191">
        <f t="shared" si="100"/>
        <v>1</v>
      </c>
      <c r="CE50" s="191">
        <f t="shared" si="100"/>
        <v>1</v>
      </c>
      <c r="CF50" s="269"/>
      <c r="CG50" s="769"/>
      <c r="CH50" s="269"/>
      <c r="CI50" s="269"/>
      <c r="CJ50" s="269"/>
      <c r="CK50" s="269"/>
      <c r="CL50" s="269"/>
      <c r="CM50" s="269"/>
      <c r="CN50" s="269"/>
      <c r="CO50" s="269"/>
      <c r="CP50" s="269"/>
      <c r="CQ50" s="269"/>
      <c r="CR50" s="770"/>
      <c r="CS50" s="770"/>
      <c r="CT50" s="770"/>
      <c r="CU50" s="761"/>
      <c r="CV50" s="761"/>
      <c r="CW50" s="761"/>
      <c r="CX50" s="761"/>
      <c r="CY50" s="761"/>
      <c r="CZ50" s="269"/>
      <c r="DA50" s="269"/>
      <c r="DB50" s="269"/>
      <c r="DC50" s="269"/>
      <c r="DD50" s="269"/>
    </row>
    <row r="51" spans="1:108" s="194" customFormat="1" ht="15">
      <c r="A51" s="40" t="s">
        <v>165</v>
      </c>
      <c r="B51" s="40"/>
      <c r="C51" s="192">
        <f t="shared" si="86"/>
        <v>0.79616115833106971</v>
      </c>
      <c r="D51" s="192">
        <f t="shared" ref="D51:R51" si="101">+D13/D$12</f>
        <v>0.88610739614667833</v>
      </c>
      <c r="E51" s="192">
        <f t="shared" si="101"/>
        <v>1.0254976737023489</v>
      </c>
      <c r="F51" s="192">
        <f t="shared" si="101"/>
        <v>0.84751652557548129</v>
      </c>
      <c r="G51" s="192">
        <f t="shared" si="101"/>
        <v>0.99024308810297867</v>
      </c>
      <c r="H51" s="192">
        <f t="shared" si="101"/>
        <v>0.71645564312339871</v>
      </c>
      <c r="I51" s="192">
        <f t="shared" si="101"/>
        <v>0.76518209951211658</v>
      </c>
      <c r="J51" s="192">
        <f t="shared" si="101"/>
        <v>0.82726581556256529</v>
      </c>
      <c r="K51" s="192" t="e">
        <f t="shared" si="101"/>
        <v>#DIV/0!</v>
      </c>
      <c r="L51" s="192">
        <f t="shared" si="101"/>
        <v>0.99760720485231791</v>
      </c>
      <c r="M51" s="192">
        <f t="shared" si="101"/>
        <v>0.77350446489746327</v>
      </c>
      <c r="N51" s="192">
        <f t="shared" si="101"/>
        <v>0.62610986642403554</v>
      </c>
      <c r="O51" s="192">
        <f t="shared" si="101"/>
        <v>0.63134058706743623</v>
      </c>
      <c r="P51" s="192">
        <f t="shared" si="101"/>
        <v>0.64040639885001838</v>
      </c>
      <c r="Q51" s="192">
        <f t="shared" si="101"/>
        <v>0.66772087647784617</v>
      </c>
      <c r="R51" s="192">
        <f t="shared" si="101"/>
        <v>0.64316737904725418</v>
      </c>
      <c r="S51" s="192" t="e">
        <f t="shared" si="88"/>
        <v>#DIV/0!</v>
      </c>
      <c r="T51" s="192" t="e">
        <f t="shared" si="88"/>
        <v>#DIV/0!</v>
      </c>
      <c r="U51" s="192" t="e">
        <f t="shared" si="88"/>
        <v>#DIV/0!</v>
      </c>
      <c r="V51" s="192" t="e">
        <f t="shared" si="88"/>
        <v>#DIV/0!</v>
      </c>
      <c r="W51" s="192">
        <f t="shared" ref="W51:Z56" si="102">+W13/W$12</f>
        <v>0.63088003545750015</v>
      </c>
      <c r="X51" s="192">
        <f t="shared" si="102"/>
        <v>0.53046362402699498</v>
      </c>
      <c r="Y51" s="192">
        <f t="shared" si="102"/>
        <v>0.48136727197105461</v>
      </c>
      <c r="Z51" s="192">
        <f t="shared" si="102"/>
        <v>0.51586349558666844</v>
      </c>
      <c r="AA51" s="192">
        <f>+AA50-AA52</f>
        <v>0.55000000000000004</v>
      </c>
      <c r="AB51" s="192">
        <f t="shared" ref="AB51:AB56" si="103">+AB13/AB$12</f>
        <v>0.5018841291080004</v>
      </c>
      <c r="AC51" s="192">
        <f t="shared" si="89"/>
        <v>0.55782261076759332</v>
      </c>
      <c r="AD51" s="192">
        <f t="shared" si="89"/>
        <v>0.73513198285546644</v>
      </c>
      <c r="AE51" s="192">
        <f t="shared" si="90"/>
        <v>0.70252620304884805</v>
      </c>
      <c r="AF51" s="192">
        <f t="shared" si="90"/>
        <v>0.76419879862735607</v>
      </c>
      <c r="AG51" s="192">
        <f t="shared" ref="AG51:AH56" si="104">+AG13/AG$12</f>
        <v>0.68347294429191741</v>
      </c>
      <c r="AH51" s="192">
        <f t="shared" si="104"/>
        <v>0.83267694586605756</v>
      </c>
      <c r="AI51" s="192">
        <f t="shared" si="91"/>
        <v>0.85044676129917218</v>
      </c>
      <c r="AJ51" s="192">
        <f t="shared" si="91"/>
        <v>0.90994759750536924</v>
      </c>
      <c r="AK51" s="192">
        <f t="shared" si="91"/>
        <v>0.79607231856465055</v>
      </c>
      <c r="AL51" s="192">
        <f t="shared" ref="AL51:AM56" si="105">+AL13/AL$12</f>
        <v>0.84611332029995834</v>
      </c>
      <c r="AM51" s="192">
        <f t="shared" si="105"/>
        <v>0.7002581250841512</v>
      </c>
      <c r="AN51" s="192">
        <f t="shared" si="92"/>
        <v>0.70023939966998539</v>
      </c>
      <c r="AO51" s="192">
        <f t="shared" si="93"/>
        <v>0.74753176358363538</v>
      </c>
      <c r="AP51" s="192">
        <f t="shared" si="94"/>
        <v>1.3383738645355119</v>
      </c>
      <c r="AQ51" s="192">
        <f t="shared" ref="AQ51:AQ56" si="106">+AQ13/AQ$12</f>
        <v>0.68512765623532701</v>
      </c>
      <c r="AR51" s="192">
        <f t="shared" ref="AR51:AS56" si="107">+AR13/AR$12</f>
        <v>0.71319436868031916</v>
      </c>
      <c r="AS51" s="192">
        <f t="shared" si="107"/>
        <v>0.88472964943553178</v>
      </c>
      <c r="AT51" s="192"/>
      <c r="AU51" s="192">
        <f t="shared" ref="AU51:AU56" si="108">+AU13/AU$12</f>
        <v>0.80460623080798233</v>
      </c>
      <c r="AV51" s="642"/>
      <c r="AW51" s="642"/>
      <c r="AX51" s="642"/>
      <c r="AY51" s="642"/>
      <c r="AZ51" s="193">
        <f t="shared" ref="AZ51:BI51" si="109">+AZ13/AZ$12</f>
        <v>0.76395961328506046</v>
      </c>
      <c r="BA51" s="663">
        <f t="shared" si="109"/>
        <v>0.69905796231259631</v>
      </c>
      <c r="BB51" s="663">
        <f t="shared" si="109"/>
        <v>0.65338682679789561</v>
      </c>
      <c r="BC51" s="663">
        <f t="shared" si="109"/>
        <v>0.66093964798601168</v>
      </c>
      <c r="BD51" s="663">
        <f t="shared" si="109"/>
        <v>0.68064603517796485</v>
      </c>
      <c r="BE51" s="193">
        <f t="shared" si="109"/>
        <v>0.672906183756384</v>
      </c>
      <c r="BF51" s="642">
        <f t="shared" si="109"/>
        <v>0.62327788822612318</v>
      </c>
      <c r="BG51" s="642">
        <f t="shared" si="109"/>
        <v>0.5961344692842464</v>
      </c>
      <c r="BH51" s="642">
        <f t="shared" si="109"/>
        <v>0.64946880611565949</v>
      </c>
      <c r="BI51" s="642">
        <f t="shared" si="109"/>
        <v>0.65459249301214961</v>
      </c>
      <c r="BJ51" s="193">
        <f t="shared" si="96"/>
        <v>0.62570093728011056</v>
      </c>
      <c r="BK51" s="642">
        <f t="shared" si="96"/>
        <v>0.65926800024529919</v>
      </c>
      <c r="BL51" s="642">
        <f t="shared" si="96"/>
        <v>0.66247543574356993</v>
      </c>
      <c r="BM51" s="642">
        <f t="shared" si="96"/>
        <v>0.69906063872013291</v>
      </c>
      <c r="BN51" s="642">
        <f t="shared" si="96"/>
        <v>0.56341477869175305</v>
      </c>
      <c r="BO51" s="642">
        <f t="shared" ref="BO51" si="110">+BO13/BO$12</f>
        <v>0.58411198987142199</v>
      </c>
      <c r="BP51" s="193">
        <f t="shared" si="96"/>
        <v>0.65121729825918118</v>
      </c>
      <c r="BQ51" s="191">
        <f>+BQ13/BQ$12</f>
        <v>0.63629600786424867</v>
      </c>
      <c r="BR51" s="191">
        <f>+BR13/BR$12</f>
        <v>0.6857919881890272</v>
      </c>
      <c r="BS51" s="191">
        <f>+BS13/BS$12</f>
        <v>0.61399212804292858</v>
      </c>
      <c r="BT51" s="193"/>
      <c r="BU51" s="193">
        <f t="shared" si="99"/>
        <v>0.61085110438476009</v>
      </c>
      <c r="BV51" s="193">
        <f t="shared" si="99"/>
        <v>0.60614571781661397</v>
      </c>
      <c r="BW51" s="193">
        <f t="shared" ref="BW51:CE51" si="111">+BW13/BW$12</f>
        <v>0.61356881003306407</v>
      </c>
      <c r="BX51" s="193">
        <f t="shared" si="111"/>
        <v>0.62344611508981351</v>
      </c>
      <c r="BY51" s="193">
        <f t="shared" si="111"/>
        <v>0.63442714833920599</v>
      </c>
      <c r="BZ51" s="193">
        <f t="shared" si="111"/>
        <v>0.64295034368840831</v>
      </c>
      <c r="CA51" s="193">
        <f t="shared" si="111"/>
        <v>0.65029111378717608</v>
      </c>
      <c r="CB51" s="193">
        <f t="shared" si="111"/>
        <v>0.65619886628871149</v>
      </c>
      <c r="CC51" s="193">
        <f t="shared" si="111"/>
        <v>0.6604466769405376</v>
      </c>
      <c r="CD51" s="193">
        <f t="shared" si="111"/>
        <v>0.66285220223951313</v>
      </c>
      <c r="CE51" s="193">
        <f t="shared" si="111"/>
        <v>0.61690357150498054</v>
      </c>
      <c r="CF51" s="747"/>
      <c r="CG51" s="771"/>
      <c r="CH51" s="747"/>
      <c r="CI51" s="747"/>
      <c r="CJ51" s="747"/>
      <c r="CK51" s="747"/>
      <c r="CL51" s="747"/>
      <c r="CM51" s="747"/>
      <c r="CN51" s="747"/>
      <c r="CO51" s="747"/>
      <c r="CP51" s="747"/>
      <c r="CQ51" s="747"/>
      <c r="CR51" s="770"/>
      <c r="CS51" s="770"/>
      <c r="CT51" s="770"/>
      <c r="CU51" s="761"/>
      <c r="CV51" s="761"/>
      <c r="CW51" s="761"/>
      <c r="CX51" s="761"/>
      <c r="CY51" s="761"/>
      <c r="CZ51" s="747"/>
      <c r="DA51" s="747"/>
      <c r="DB51" s="747"/>
      <c r="DC51" s="747"/>
      <c r="DD51" s="747"/>
    </row>
    <row r="52" spans="1:108" s="141" customFormat="1">
      <c r="A52" s="189" t="s">
        <v>11</v>
      </c>
      <c r="B52" s="189"/>
      <c r="C52" s="195">
        <f t="shared" si="86"/>
        <v>0.20383884166893029</v>
      </c>
      <c r="D52" s="195">
        <f t="shared" ref="D52:R52" si="112">+D14/D$12</f>
        <v>0.1138926038533217</v>
      </c>
      <c r="E52" s="195">
        <f t="shared" si="112"/>
        <v>-2.5497673702348914E-2</v>
      </c>
      <c r="F52" s="195">
        <f t="shared" si="112"/>
        <v>0.15248347442451868</v>
      </c>
      <c r="G52" s="195">
        <f t="shared" si="112"/>
        <v>9.7569118970213097E-3</v>
      </c>
      <c r="H52" s="195">
        <f t="shared" si="112"/>
        <v>0.28354435687660129</v>
      </c>
      <c r="I52" s="195">
        <f t="shared" si="112"/>
        <v>0.23481790048788348</v>
      </c>
      <c r="J52" s="195">
        <f t="shared" si="112"/>
        <v>0.17273418443743474</v>
      </c>
      <c r="K52" s="195" t="e">
        <f t="shared" si="112"/>
        <v>#DIV/0!</v>
      </c>
      <c r="L52" s="195">
        <f t="shared" si="112"/>
        <v>2.3927951476820654E-3</v>
      </c>
      <c r="M52" s="195">
        <f t="shared" si="112"/>
        <v>0.22649553510253678</v>
      </c>
      <c r="N52" s="195">
        <f t="shared" si="112"/>
        <v>0.37389013357596451</v>
      </c>
      <c r="O52" s="195">
        <f t="shared" si="112"/>
        <v>0.36865941293256382</v>
      </c>
      <c r="P52" s="195">
        <f t="shared" si="112"/>
        <v>0.35959360114998162</v>
      </c>
      <c r="Q52" s="195">
        <f t="shared" si="112"/>
        <v>0.33227912352215377</v>
      </c>
      <c r="R52" s="195">
        <f t="shared" si="112"/>
        <v>0.35683262095274587</v>
      </c>
      <c r="S52" s="195" t="e">
        <f t="shared" si="88"/>
        <v>#DIV/0!</v>
      </c>
      <c r="T52" s="195" t="e">
        <f t="shared" si="88"/>
        <v>#DIV/0!</v>
      </c>
      <c r="U52" s="195" t="e">
        <f t="shared" si="88"/>
        <v>#DIV/0!</v>
      </c>
      <c r="V52" s="195" t="e">
        <f t="shared" si="88"/>
        <v>#DIV/0!</v>
      </c>
      <c r="W52" s="195">
        <f t="shared" si="102"/>
        <v>0.36911996454249985</v>
      </c>
      <c r="X52" s="195">
        <f t="shared" si="102"/>
        <v>0.46953637597300507</v>
      </c>
      <c r="Y52" s="195">
        <f t="shared" si="102"/>
        <v>0.51863272802894544</v>
      </c>
      <c r="Z52" s="195">
        <f t="shared" si="102"/>
        <v>0.48413650441333156</v>
      </c>
      <c r="AA52" s="195">
        <v>0.45</v>
      </c>
      <c r="AB52" s="195">
        <f t="shared" si="103"/>
        <v>0.4981158708919996</v>
      </c>
      <c r="AC52" s="195">
        <f t="shared" si="89"/>
        <v>0.44217738923240668</v>
      </c>
      <c r="AD52" s="195">
        <f t="shared" si="89"/>
        <v>0.26486801714453362</v>
      </c>
      <c r="AE52" s="195">
        <f t="shared" si="90"/>
        <v>0.29747379695115195</v>
      </c>
      <c r="AF52" s="195">
        <f t="shared" si="90"/>
        <v>0.23580120137264393</v>
      </c>
      <c r="AG52" s="195">
        <f t="shared" si="104"/>
        <v>0.31652705570808259</v>
      </c>
      <c r="AH52" s="195">
        <f t="shared" si="104"/>
        <v>0.16732305413394247</v>
      </c>
      <c r="AI52" s="195">
        <f t="shared" si="91"/>
        <v>0.14955323870082785</v>
      </c>
      <c r="AJ52" s="195">
        <f t="shared" si="91"/>
        <v>9.0052402494630812E-2</v>
      </c>
      <c r="AK52" s="195">
        <f t="shared" si="91"/>
        <v>0.20392768143534951</v>
      </c>
      <c r="AL52" s="195">
        <f t="shared" si="105"/>
        <v>0.15388667970004163</v>
      </c>
      <c r="AM52" s="195">
        <f t="shared" si="105"/>
        <v>0.29974187491584875</v>
      </c>
      <c r="AN52" s="195">
        <f t="shared" si="92"/>
        <v>0.29976060033001461</v>
      </c>
      <c r="AO52" s="195">
        <f t="shared" si="93"/>
        <v>0.25246823641636457</v>
      </c>
      <c r="AP52" s="195">
        <f t="shared" si="94"/>
        <v>-0.33837386453551177</v>
      </c>
      <c r="AQ52" s="195">
        <f t="shared" si="106"/>
        <v>0.31487234376467299</v>
      </c>
      <c r="AR52" s="195">
        <f t="shared" si="107"/>
        <v>0.28680563131968079</v>
      </c>
      <c r="AS52" s="195">
        <f t="shared" si="107"/>
        <v>0.11527035056446822</v>
      </c>
      <c r="AT52" s="195"/>
      <c r="AU52" s="195">
        <f t="shared" si="108"/>
        <v>0.19539376919201767</v>
      </c>
      <c r="AV52" s="643"/>
      <c r="AW52" s="643"/>
      <c r="AX52" s="643"/>
      <c r="AY52" s="643"/>
      <c r="AZ52" s="196">
        <f t="shared" ref="AZ52:BI52" si="113">+AZ14/AZ$12</f>
        <v>0.23604038671493952</v>
      </c>
      <c r="BA52" s="643">
        <f t="shared" si="113"/>
        <v>0.30094203768740374</v>
      </c>
      <c r="BB52" s="643">
        <f t="shared" si="113"/>
        <v>0.34661317320210433</v>
      </c>
      <c r="BC52" s="808">
        <f t="shared" si="113"/>
        <v>0.33906035201398838</v>
      </c>
      <c r="BD52" s="643">
        <f t="shared" si="113"/>
        <v>0.31935396482203521</v>
      </c>
      <c r="BE52" s="196">
        <f t="shared" si="113"/>
        <v>0.327093816243616</v>
      </c>
      <c r="BF52" s="643">
        <f t="shared" si="113"/>
        <v>0.37672211177387682</v>
      </c>
      <c r="BG52" s="643">
        <f t="shared" si="113"/>
        <v>0.4038655307157536</v>
      </c>
      <c r="BH52" s="643">
        <f t="shared" si="113"/>
        <v>0.35053119388434051</v>
      </c>
      <c r="BI52" s="643">
        <f t="shared" si="113"/>
        <v>0.34540750698785033</v>
      </c>
      <c r="BJ52" s="196">
        <f t="shared" si="96"/>
        <v>0.37429906271988944</v>
      </c>
      <c r="BK52" s="643">
        <f t="shared" si="96"/>
        <v>0.34073199975470075</v>
      </c>
      <c r="BL52" s="643">
        <f t="shared" si="96"/>
        <v>0.33752456425643007</v>
      </c>
      <c r="BM52" s="643">
        <f t="shared" si="96"/>
        <v>0.30093936127986703</v>
      </c>
      <c r="BN52" s="643">
        <f t="shared" si="96"/>
        <v>0.43658522130824701</v>
      </c>
      <c r="BO52" s="643">
        <f t="shared" ref="BO52:BQ52" si="114">+BO14/BO$12</f>
        <v>0.41588801012857801</v>
      </c>
      <c r="BP52" s="196">
        <f t="shared" si="96"/>
        <v>0.34878270174081882</v>
      </c>
      <c r="BQ52" s="191">
        <f t="shared" si="114"/>
        <v>0.36370399213575139</v>
      </c>
      <c r="BR52" s="191">
        <f t="shared" ref="BR52" si="115">+BR14/BR$12</f>
        <v>0.31420801181097285</v>
      </c>
      <c r="BS52" s="191">
        <f>+BS14/BS$12</f>
        <v>0.38600787195707142</v>
      </c>
      <c r="BT52" s="196"/>
      <c r="BU52" s="196">
        <f t="shared" si="99"/>
        <v>0.38914889561523991</v>
      </c>
      <c r="BV52" s="196">
        <f t="shared" si="99"/>
        <v>0.39385428218338603</v>
      </c>
      <c r="BW52" s="196">
        <f t="shared" ref="BW52:CE52" si="116">+BW14/BW$12</f>
        <v>0.38643118996693593</v>
      </c>
      <c r="BX52" s="196">
        <f t="shared" si="116"/>
        <v>0.37655388491018654</v>
      </c>
      <c r="BY52" s="196">
        <f t="shared" si="116"/>
        <v>0.36557285166079401</v>
      </c>
      <c r="BZ52" s="196">
        <f t="shared" si="116"/>
        <v>0.35704965631159175</v>
      </c>
      <c r="CA52" s="196">
        <f t="shared" si="116"/>
        <v>0.34970888621282392</v>
      </c>
      <c r="CB52" s="196">
        <f t="shared" si="116"/>
        <v>0.34380113371128851</v>
      </c>
      <c r="CC52" s="196">
        <f t="shared" si="116"/>
        <v>0.33955332305946245</v>
      </c>
      <c r="CD52" s="196">
        <f t="shared" si="116"/>
        <v>0.33714779776048687</v>
      </c>
      <c r="CE52" s="196">
        <f t="shared" si="116"/>
        <v>0.3830964284950194</v>
      </c>
      <c r="CF52" s="588"/>
      <c r="CG52" s="772"/>
      <c r="CH52" s="588"/>
      <c r="CI52" s="588"/>
      <c r="CJ52" s="588"/>
      <c r="CK52" s="588"/>
      <c r="CL52" s="588"/>
      <c r="CM52" s="588"/>
      <c r="CN52" s="588"/>
      <c r="CO52" s="588"/>
      <c r="CP52" s="588"/>
      <c r="CQ52" s="588"/>
      <c r="CR52" s="594"/>
      <c r="CS52" s="594"/>
      <c r="CT52" s="594"/>
      <c r="CU52" s="269"/>
      <c r="CV52" s="269"/>
      <c r="CW52" s="269"/>
      <c r="CX52" s="269"/>
      <c r="CY52" s="269"/>
      <c r="CZ52" s="588"/>
      <c r="DA52" s="588"/>
      <c r="DB52" s="588"/>
      <c r="DC52" s="588"/>
      <c r="DD52" s="588"/>
    </row>
    <row r="53" spans="1:108" s="10" customFormat="1">
      <c r="A53" s="40" t="s">
        <v>166</v>
      </c>
      <c r="B53" s="40"/>
      <c r="C53" s="190" t="e">
        <f t="shared" si="86"/>
        <v>#REF!</v>
      </c>
      <c r="D53" s="190" t="e">
        <f t="shared" ref="D53:R53" si="117">+D15/D$12</f>
        <v>#REF!</v>
      </c>
      <c r="E53" s="190" t="e">
        <f t="shared" si="117"/>
        <v>#REF!</v>
      </c>
      <c r="F53" s="190">
        <f t="shared" si="117"/>
        <v>1.196766308281238E-2</v>
      </c>
      <c r="G53" s="190">
        <f t="shared" si="117"/>
        <v>1.4959056865812484E-2</v>
      </c>
      <c r="H53" s="190">
        <f t="shared" si="117"/>
        <v>1.4931285849541726E-2</v>
      </c>
      <c r="I53" s="190">
        <f t="shared" si="117"/>
        <v>1.6701065481230598E-2</v>
      </c>
      <c r="J53" s="190">
        <f t="shared" si="117"/>
        <v>2.0290274454455741E-2</v>
      </c>
      <c r="K53" s="190" t="e">
        <f t="shared" si="117"/>
        <v>#DIV/0!</v>
      </c>
      <c r="L53" s="190">
        <f t="shared" si="117"/>
        <v>2.4306268295658271E-2</v>
      </c>
      <c r="M53" s="190">
        <f t="shared" si="117"/>
        <v>1.9058451085993806E-2</v>
      </c>
      <c r="N53" s="190">
        <f t="shared" si="117"/>
        <v>1.5725017032398547E-2</v>
      </c>
      <c r="O53" s="190">
        <f t="shared" si="117"/>
        <v>1.514024569249103E-2</v>
      </c>
      <c r="P53" s="190">
        <f t="shared" si="117"/>
        <v>1.5067542724434408E-2</v>
      </c>
      <c r="Q53" s="190">
        <f t="shared" si="117"/>
        <v>2.3295867671072654E-2</v>
      </c>
      <c r="R53" s="190">
        <f t="shared" si="117"/>
        <v>1.7679452430181035E-2</v>
      </c>
      <c r="S53" s="190" t="e">
        <f t="shared" si="88"/>
        <v>#DIV/0!</v>
      </c>
      <c r="T53" s="190" t="e">
        <f t="shared" si="88"/>
        <v>#DIV/0!</v>
      </c>
      <c r="U53" s="190" t="e">
        <f t="shared" si="88"/>
        <v>#DIV/0!</v>
      </c>
      <c r="V53" s="190" t="e">
        <f t="shared" si="88"/>
        <v>#DIV/0!</v>
      </c>
      <c r="W53" s="190">
        <f t="shared" si="102"/>
        <v>1.4486055656153164E-2</v>
      </c>
      <c r="X53" s="190">
        <f t="shared" si="102"/>
        <v>9.5888855012942597E-3</v>
      </c>
      <c r="Y53" s="190">
        <f t="shared" si="102"/>
        <v>1.1180015911105767E-2</v>
      </c>
      <c r="Z53" s="190">
        <f t="shared" si="102"/>
        <v>1.2283834397904154E-2</v>
      </c>
      <c r="AA53" s="190">
        <f>+AA15/AA$12</f>
        <v>2.5430354830900087E-2</v>
      </c>
      <c r="AB53" s="190">
        <f t="shared" si="103"/>
        <v>1.5329076827644202E-2</v>
      </c>
      <c r="AC53" s="190">
        <f t="shared" si="89"/>
        <v>1.1522305412445668E-2</v>
      </c>
      <c r="AD53" s="190">
        <f t="shared" si="89"/>
        <v>2.067433257246714E-2</v>
      </c>
      <c r="AE53" s="190">
        <f t="shared" si="90"/>
        <v>1.496038969230888E-2</v>
      </c>
      <c r="AF53" s="190">
        <f t="shared" si="90"/>
        <v>1.8978895038684402E-2</v>
      </c>
      <c r="AG53" s="190">
        <f t="shared" si="104"/>
        <v>1.6226648752847711E-2</v>
      </c>
      <c r="AH53" s="190">
        <f t="shared" si="104"/>
        <v>1.1191648870692638E-2</v>
      </c>
      <c r="AI53" s="190">
        <f t="shared" si="91"/>
        <v>1.070157241132161E-2</v>
      </c>
      <c r="AJ53" s="190">
        <f t="shared" si="91"/>
        <v>6.7390080369079258E-3</v>
      </c>
      <c r="AK53" s="190">
        <f t="shared" si="91"/>
        <v>8.5839229009599446E-3</v>
      </c>
      <c r="AL53" s="190">
        <f t="shared" si="105"/>
        <v>8.9713993158924369E-3</v>
      </c>
      <c r="AM53" s="190">
        <f t="shared" si="105"/>
        <v>7.254753503916603E-3</v>
      </c>
      <c r="AN53" s="190">
        <f t="shared" si="92"/>
        <v>7.9729591931327285E-3</v>
      </c>
      <c r="AO53" s="190">
        <f t="shared" si="93"/>
        <v>7.5074439755138016E-3</v>
      </c>
      <c r="AP53" s="190">
        <f t="shared" si="94"/>
        <v>1.3091295359608325E-2</v>
      </c>
      <c r="AQ53" s="190">
        <f t="shared" si="106"/>
        <v>7.8639716337498815E-3</v>
      </c>
      <c r="AR53" s="190">
        <f t="shared" si="107"/>
        <v>7.787064009670515E-3</v>
      </c>
      <c r="AS53" s="190">
        <f t="shared" si="107"/>
        <v>1.3427510398098634E-2</v>
      </c>
      <c r="AT53" s="190"/>
      <c r="AU53" s="190">
        <f t="shared" si="108"/>
        <v>1.022425507451258E-2</v>
      </c>
      <c r="AV53" s="641"/>
      <c r="AW53" s="641"/>
      <c r="AX53" s="641"/>
      <c r="AY53" s="641"/>
      <c r="AZ53" s="191">
        <f t="shared" ref="AZ53:BI53" si="118">+AZ15/AZ$12</f>
        <v>1.1377496218751611E-2</v>
      </c>
      <c r="BA53" s="641">
        <f t="shared" si="118"/>
        <v>1.0096279235135602E-2</v>
      </c>
      <c r="BB53" s="641">
        <f t="shared" si="118"/>
        <v>1.2260492578823941E-2</v>
      </c>
      <c r="BC53" s="662">
        <f t="shared" si="118"/>
        <v>1.0030626136568846E-2</v>
      </c>
      <c r="BD53" s="641">
        <f t="shared" si="118"/>
        <v>1.3977714047105478E-2</v>
      </c>
      <c r="BE53" s="191">
        <f t="shared" si="118"/>
        <v>1.1664780597941085E-2</v>
      </c>
      <c r="BF53" s="641">
        <f t="shared" si="118"/>
        <v>1.2588274028870772E-2</v>
      </c>
      <c r="BG53" s="641">
        <f t="shared" si="118"/>
        <v>1.9137962523163226E-2</v>
      </c>
      <c r="BH53" s="641">
        <f t="shared" si="118"/>
        <v>1.6160517029982693E-2</v>
      </c>
      <c r="BI53" s="641">
        <f t="shared" si="118"/>
        <v>1.6702852599289303E-2</v>
      </c>
      <c r="BJ53" s="191">
        <f t="shared" si="96"/>
        <v>1.6277903239711278E-2</v>
      </c>
      <c r="BK53" s="641">
        <f t="shared" si="96"/>
        <v>1.831750304446152E-2</v>
      </c>
      <c r="BL53" s="641">
        <f t="shared" si="96"/>
        <v>1.7902323202247623E-2</v>
      </c>
      <c r="BM53" s="641">
        <f t="shared" si="96"/>
        <v>1.6522712534290138E-2</v>
      </c>
      <c r="BN53" s="641">
        <f t="shared" si="96"/>
        <v>1.6077798597443776E-2</v>
      </c>
      <c r="BO53" s="641">
        <f t="shared" ref="BO53:BQ53" si="119">+BO15/BO$12</f>
        <v>1.9747959067604542E-2</v>
      </c>
      <c r="BP53" s="191">
        <f t="shared" si="96"/>
        <v>1.8101830539079784E-2</v>
      </c>
      <c r="BQ53" s="191">
        <f t="shared" si="119"/>
        <v>2.3176994563153478E-2</v>
      </c>
      <c r="BR53" s="191">
        <f t="shared" ref="BR53:BS53" si="120">+BR15/BR$12</f>
        <v>2.0545827314423275E-2</v>
      </c>
      <c r="BS53" s="191">
        <f t="shared" si="120"/>
        <v>1.8008100609604203E-2</v>
      </c>
      <c r="BT53" s="191"/>
      <c r="BU53" s="191">
        <f t="shared" si="99"/>
        <v>1.8101830539079784E-2</v>
      </c>
      <c r="BV53" s="191">
        <f t="shared" si="99"/>
        <v>1.8101830539079787E-2</v>
      </c>
      <c r="BW53" s="191">
        <f t="shared" ref="BW53:CE53" si="121">+BW15/BW$12</f>
        <v>1.8101830539079784E-2</v>
      </c>
      <c r="BX53" s="191">
        <f t="shared" si="121"/>
        <v>1.8101830539079784E-2</v>
      </c>
      <c r="BY53" s="191">
        <f t="shared" si="121"/>
        <v>1.8101830539079784E-2</v>
      </c>
      <c r="BZ53" s="191">
        <f t="shared" si="121"/>
        <v>1.8101830539079784E-2</v>
      </c>
      <c r="CA53" s="191">
        <f t="shared" si="121"/>
        <v>1.8101830539079784E-2</v>
      </c>
      <c r="CB53" s="191">
        <f t="shared" si="121"/>
        <v>1.8101830539079784E-2</v>
      </c>
      <c r="CC53" s="191">
        <f t="shared" si="121"/>
        <v>1.8101830539079784E-2</v>
      </c>
      <c r="CD53" s="191">
        <f t="shared" si="121"/>
        <v>1.8101830539079784E-2</v>
      </c>
      <c r="CE53" s="191">
        <f t="shared" si="121"/>
        <v>1.8101830539079784E-2</v>
      </c>
      <c r="CF53" s="269"/>
      <c r="CG53" s="769"/>
      <c r="CH53" s="269"/>
      <c r="CI53" s="269"/>
      <c r="CJ53" s="269"/>
      <c r="CK53" s="269"/>
      <c r="CL53" s="269"/>
      <c r="CM53" s="269"/>
      <c r="CN53" s="269"/>
      <c r="CO53" s="269"/>
      <c r="CP53" s="269"/>
      <c r="CQ53" s="269"/>
      <c r="CR53" s="773"/>
      <c r="CS53" s="773"/>
      <c r="CT53" s="773"/>
      <c r="CU53" s="764"/>
      <c r="CV53" s="764"/>
      <c r="CW53" s="764"/>
      <c r="CX53" s="764"/>
      <c r="CY53" s="764"/>
      <c r="CZ53" s="269"/>
      <c r="DA53" s="269"/>
      <c r="DB53" s="269"/>
      <c r="DC53" s="269"/>
      <c r="DD53" s="269"/>
    </row>
    <row r="54" spans="1:108" s="194" customFormat="1" ht="15">
      <c r="A54" s="40" t="s">
        <v>167</v>
      </c>
      <c r="B54" s="40"/>
      <c r="C54" s="192" t="e">
        <f t="shared" si="86"/>
        <v>#REF!</v>
      </c>
      <c r="D54" s="192" t="e">
        <f t="shared" ref="D54:R54" si="122">+D16/D$12</f>
        <v>#REF!</v>
      </c>
      <c r="E54" s="192" t="e">
        <f t="shared" si="122"/>
        <v>#REF!</v>
      </c>
      <c r="F54" s="192">
        <f t="shared" si="122"/>
        <v>2.4339333757841451E-2</v>
      </c>
      <c r="G54" s="192">
        <f t="shared" si="122"/>
        <v>7.998567303803699E-3</v>
      </c>
      <c r="H54" s="192">
        <f t="shared" si="122"/>
        <v>8.3122015526801134E-3</v>
      </c>
      <c r="I54" s="192">
        <f t="shared" si="122"/>
        <v>6.5225444538526672E-3</v>
      </c>
      <c r="J54" s="192">
        <f t="shared" si="122"/>
        <v>6.3976129410046453E-3</v>
      </c>
      <c r="K54" s="192" t="e">
        <f t="shared" si="122"/>
        <v>#DIV/0!</v>
      </c>
      <c r="L54" s="192">
        <f t="shared" si="122"/>
        <v>8.523657032408127E-3</v>
      </c>
      <c r="M54" s="192">
        <f t="shared" si="122"/>
        <v>7.226589786250427E-3</v>
      </c>
      <c r="N54" s="192">
        <f t="shared" si="122"/>
        <v>6.4850098329665524E-3</v>
      </c>
      <c r="O54" s="192">
        <f t="shared" si="122"/>
        <v>1.2703510870738182E-2</v>
      </c>
      <c r="P54" s="192">
        <f t="shared" si="122"/>
        <v>8.7650784484388216E-3</v>
      </c>
      <c r="Q54" s="192">
        <f t="shared" si="122"/>
        <v>1.1539909867230301E-2</v>
      </c>
      <c r="R54" s="192">
        <f t="shared" si="122"/>
        <v>9.9310901843947964E-3</v>
      </c>
      <c r="S54" s="192" t="e">
        <f t="shared" si="88"/>
        <v>#DIV/0!</v>
      </c>
      <c r="T54" s="192" t="e">
        <f t="shared" si="88"/>
        <v>#DIV/0!</v>
      </c>
      <c r="U54" s="192" t="e">
        <f t="shared" si="88"/>
        <v>#DIV/0!</v>
      </c>
      <c r="V54" s="192" t="e">
        <f t="shared" si="88"/>
        <v>#DIV/0!</v>
      </c>
      <c r="W54" s="192">
        <f t="shared" si="102"/>
        <v>1.153599921205555E-2</v>
      </c>
      <c r="X54" s="192">
        <f t="shared" si="102"/>
        <v>3.9863112192242917E-3</v>
      </c>
      <c r="Y54" s="192">
        <f t="shared" si="102"/>
        <v>3.9154967563115048E-3</v>
      </c>
      <c r="Z54" s="192">
        <f t="shared" si="102"/>
        <v>4.2771143495840096E-3</v>
      </c>
      <c r="AA54" s="192">
        <f>+AA16/AA$12</f>
        <v>4.9202656758207631E-3</v>
      </c>
      <c r="AB54" s="192">
        <f t="shared" si="103"/>
        <v>4.3179294251329079E-3</v>
      </c>
      <c r="AC54" s="192">
        <f t="shared" si="89"/>
        <v>7.573607671879163E-3</v>
      </c>
      <c r="AD54" s="192">
        <f t="shared" si="89"/>
        <v>7.6649517362775751E-3</v>
      </c>
      <c r="AE54" s="192">
        <f t="shared" si="90"/>
        <v>8.8778838801366593E-3</v>
      </c>
      <c r="AF54" s="192">
        <f t="shared" si="90"/>
        <v>1.6438860611362998E-2</v>
      </c>
      <c r="AG54" s="192">
        <f t="shared" si="104"/>
        <v>1.0144206242576474E-2</v>
      </c>
      <c r="AH54" s="192">
        <f t="shared" si="104"/>
        <v>2.0673630419002831E-2</v>
      </c>
      <c r="AI54" s="192">
        <f t="shared" si="91"/>
        <v>2.8183150120910157E-2</v>
      </c>
      <c r="AJ54" s="192">
        <f t="shared" si="91"/>
        <v>3.6228249436898646E-2</v>
      </c>
      <c r="AK54" s="192">
        <f t="shared" si="91"/>
        <v>7.6666996074850002E-2</v>
      </c>
      <c r="AL54" s="192">
        <f t="shared" si="105"/>
        <v>4.5112098702265374E-2</v>
      </c>
      <c r="AM54" s="192">
        <f t="shared" si="105"/>
        <v>9.8717167208615605E-2</v>
      </c>
      <c r="AN54" s="192">
        <f t="shared" si="92"/>
        <v>0.15341648590021692</v>
      </c>
      <c r="AO54" s="192">
        <f t="shared" si="93"/>
        <v>6.2084782788327922E-2</v>
      </c>
      <c r="AP54" s="192">
        <f t="shared" si="94"/>
        <v>0.17983901097062999</v>
      </c>
      <c r="AQ54" s="192">
        <f t="shared" si="106"/>
        <v>0.1037529016163373</v>
      </c>
      <c r="AR54" s="192">
        <f t="shared" si="107"/>
        <v>8.6465395048847982E-2</v>
      </c>
      <c r="AS54" s="192">
        <f t="shared" si="107"/>
        <v>3.7455733808674986E-2</v>
      </c>
      <c r="AT54" s="192"/>
      <c r="AU54" s="192">
        <f t="shared" si="108"/>
        <v>5.8962068725130774E-2</v>
      </c>
      <c r="AV54" s="642"/>
      <c r="AW54" s="642"/>
      <c r="AX54" s="642"/>
      <c r="AY54" s="642"/>
      <c r="AZ54" s="193">
        <f t="shared" ref="AZ54:BI54" si="123">+AZ16/AZ$12</f>
        <v>0.13299093867654316</v>
      </c>
      <c r="BA54" s="642">
        <f t="shared" si="123"/>
        <v>0.12493836002384427</v>
      </c>
      <c r="BB54" s="642">
        <f t="shared" si="123"/>
        <v>0.10727908738310998</v>
      </c>
      <c r="BC54" s="663">
        <f t="shared" si="123"/>
        <v>9.7423066491901328E-2</v>
      </c>
      <c r="BD54" s="642">
        <f t="shared" si="123"/>
        <v>6.0875209423144921E-2</v>
      </c>
      <c r="BE54" s="193">
        <f t="shared" si="123"/>
        <v>9.5987586500009381E-2</v>
      </c>
      <c r="BF54" s="642">
        <f t="shared" si="123"/>
        <v>9.7890241772354891E-2</v>
      </c>
      <c r="BG54" s="642">
        <f t="shared" si="123"/>
        <v>5.2538709828634546E-2</v>
      </c>
      <c r="BH54" s="642">
        <f t="shared" si="123"/>
        <v>6.2459920217843724E-2</v>
      </c>
      <c r="BI54" s="642">
        <f t="shared" si="123"/>
        <v>6.772068681673013E-2</v>
      </c>
      <c r="BJ54" s="193">
        <f t="shared" si="96"/>
        <v>7.0283325635445024E-2</v>
      </c>
      <c r="BK54" s="642">
        <f t="shared" si="96"/>
        <v>5.4827638808057223E-2</v>
      </c>
      <c r="BL54" s="642">
        <f t="shared" si="96"/>
        <v>6.4062053854316986E-2</v>
      </c>
      <c r="BM54" s="642">
        <f t="shared" si="96"/>
        <v>6.2443000175069034E-2</v>
      </c>
      <c r="BN54" s="642">
        <f t="shared" ca="1" si="96"/>
        <v>3.5569485405742861E-2</v>
      </c>
      <c r="BO54" s="642">
        <f t="shared" ref="BO54:BQ54" si="124">+BO16/BO$12</f>
        <v>3.675372270941768E-2</v>
      </c>
      <c r="BP54" s="193">
        <f t="shared" si="96"/>
        <v>5.4449449371948976E-2</v>
      </c>
      <c r="BQ54" s="191">
        <f t="shared" ca="1" si="124"/>
        <v>4.7872275722014579E-2</v>
      </c>
      <c r="BR54" s="191">
        <f t="shared" ref="BR54:BS54" si="125">+BR16/BR$12</f>
        <v>3.5958079994218406E-2</v>
      </c>
      <c r="BS54" s="191">
        <f t="shared" ca="1" si="125"/>
        <v>4.0676936260779603E-2</v>
      </c>
      <c r="BT54" s="193"/>
      <c r="BU54" s="193">
        <f t="shared" si="99"/>
        <v>5.106984415751116E-2</v>
      </c>
      <c r="BV54" s="193">
        <f t="shared" si="99"/>
        <v>4.9042988148533195E-2</v>
      </c>
      <c r="BW54" s="193">
        <f t="shared" ref="BW54:CE54" si="126">+BW16/BW$12</f>
        <v>4.8271431253292134E-2</v>
      </c>
      <c r="BX54" s="193">
        <f t="shared" si="126"/>
        <v>4.7634119748279337E-2</v>
      </c>
      <c r="BY54" s="193">
        <f t="shared" si="126"/>
        <v>4.7007629713195317E-2</v>
      </c>
      <c r="BZ54" s="193">
        <f t="shared" si="126"/>
        <v>4.6391626568297852E-2</v>
      </c>
      <c r="CA54" s="193">
        <f t="shared" si="126"/>
        <v>4.5785792484291182E-2</v>
      </c>
      <c r="CB54" s="193">
        <f t="shared" si="126"/>
        <v>4.5189825357489194E-2</v>
      </c>
      <c r="CC54" s="193">
        <f t="shared" si="126"/>
        <v>4.4603437856254417E-2</v>
      </c>
      <c r="CD54" s="193">
        <f t="shared" si="126"/>
        <v>4.4026356533080055E-2</v>
      </c>
      <c r="CE54" s="193">
        <f t="shared" si="126"/>
        <v>4.3458320997185697E-2</v>
      </c>
      <c r="CF54" s="747"/>
      <c r="CG54" s="771"/>
      <c r="CH54" s="747"/>
      <c r="CI54" s="747"/>
      <c r="CJ54" s="747"/>
      <c r="CK54" s="747"/>
      <c r="CL54" s="747"/>
      <c r="CM54" s="747"/>
      <c r="CN54" s="747"/>
      <c r="CO54" s="747"/>
      <c r="CP54" s="747"/>
      <c r="CQ54" s="747"/>
      <c r="CR54" s="594"/>
      <c r="CS54" s="594"/>
      <c r="CT54" s="594"/>
      <c r="CU54" s="269"/>
      <c r="CV54" s="269"/>
      <c r="CW54" s="269"/>
      <c r="CX54" s="269"/>
      <c r="CY54" s="269"/>
      <c r="CZ54" s="747"/>
      <c r="DA54" s="747"/>
      <c r="DB54" s="747"/>
      <c r="DC54" s="747"/>
      <c r="DD54" s="747"/>
    </row>
    <row r="55" spans="1:108" s="141" customFormat="1">
      <c r="A55" s="189" t="s">
        <v>168</v>
      </c>
      <c r="B55" s="189"/>
      <c r="C55" s="195" t="e">
        <f t="shared" si="86"/>
        <v>#REF!</v>
      </c>
      <c r="D55" s="195" t="e">
        <f t="shared" ref="D55:R55" si="127">+D17/D$12</f>
        <v>#REF!</v>
      </c>
      <c r="E55" s="195" t="e">
        <f t="shared" si="127"/>
        <v>#REF!</v>
      </c>
      <c r="F55" s="195">
        <f t="shared" si="127"/>
        <v>0.11617647758386485</v>
      </c>
      <c r="G55" s="195">
        <f t="shared" si="127"/>
        <v>-1.3200712272594874E-2</v>
      </c>
      <c r="H55" s="195">
        <f t="shared" si="127"/>
        <v>0.26030086947437947</v>
      </c>
      <c r="I55" s="195">
        <f t="shared" si="127"/>
        <v>0.21159429055280018</v>
      </c>
      <c r="J55" s="195">
        <f t="shared" si="127"/>
        <v>0.14604629704197436</v>
      </c>
      <c r="K55" s="195" t="e">
        <f t="shared" si="127"/>
        <v>#DIV/0!</v>
      </c>
      <c r="L55" s="195">
        <f t="shared" si="127"/>
        <v>-3.0437130180384332E-2</v>
      </c>
      <c r="M55" s="195">
        <f t="shared" si="127"/>
        <v>0.20021049423029255</v>
      </c>
      <c r="N55" s="195">
        <f t="shared" si="127"/>
        <v>0.3516801067105994</v>
      </c>
      <c r="O55" s="195">
        <f t="shared" si="127"/>
        <v>0.34081565636933464</v>
      </c>
      <c r="P55" s="195">
        <f t="shared" si="127"/>
        <v>0.33576097997710835</v>
      </c>
      <c r="Q55" s="195">
        <f t="shared" si="127"/>
        <v>0.29744334598385086</v>
      </c>
      <c r="R55" s="195">
        <f t="shared" si="127"/>
        <v>0.32922207833817008</v>
      </c>
      <c r="S55" s="195" t="e">
        <f t="shared" si="88"/>
        <v>#DIV/0!</v>
      </c>
      <c r="T55" s="195" t="e">
        <f t="shared" si="88"/>
        <v>#DIV/0!</v>
      </c>
      <c r="U55" s="195" t="e">
        <f t="shared" si="88"/>
        <v>#DIV/0!</v>
      </c>
      <c r="V55" s="195" t="e">
        <f t="shared" si="88"/>
        <v>#DIV/0!</v>
      </c>
      <c r="W55" s="195">
        <f t="shared" si="102"/>
        <v>0.34309790967429116</v>
      </c>
      <c r="X55" s="195">
        <f t="shared" si="102"/>
        <v>0.45596117925248647</v>
      </c>
      <c r="Y55" s="195">
        <f t="shared" si="102"/>
        <v>0.50353721536152818</v>
      </c>
      <c r="Z55" s="195">
        <f t="shared" si="102"/>
        <v>0.46757555566584341</v>
      </c>
      <c r="AA55" s="195">
        <f>+AA17/AA$12</f>
        <v>0.48510383882614222</v>
      </c>
      <c r="AB55" s="195">
        <f t="shared" si="103"/>
        <v>0.4784688646392225</v>
      </c>
      <c r="AC55" s="195">
        <f t="shared" si="89"/>
        <v>0.42308147614808184</v>
      </c>
      <c r="AD55" s="195">
        <f t="shared" si="89"/>
        <v>0.2365287328357889</v>
      </c>
      <c r="AE55" s="195">
        <f t="shared" si="90"/>
        <v>0.27363552337870645</v>
      </c>
      <c r="AF55" s="195">
        <f t="shared" si="90"/>
        <v>0.20038344572259653</v>
      </c>
      <c r="AG55" s="195">
        <f t="shared" si="104"/>
        <v>0.29015620071265835</v>
      </c>
      <c r="AH55" s="195">
        <f t="shared" si="104"/>
        <v>0.13545777484424698</v>
      </c>
      <c r="AI55" s="195">
        <f t="shared" si="91"/>
        <v>0.11066851616859609</v>
      </c>
      <c r="AJ55" s="195">
        <f t="shared" si="91"/>
        <v>4.7085145020824233E-2</v>
      </c>
      <c r="AK55" s="195">
        <f t="shared" si="91"/>
        <v>0.1186767624595398</v>
      </c>
      <c r="AL55" s="195">
        <f t="shared" si="105"/>
        <v>9.9803181681883818E-2</v>
      </c>
      <c r="AM55" s="195">
        <f t="shared" si="105"/>
        <v>0.19376995420331652</v>
      </c>
      <c r="AN55" s="195">
        <f t="shared" si="92"/>
        <v>0.13837115523666499</v>
      </c>
      <c r="AO55" s="195">
        <f t="shared" si="93"/>
        <v>0.18287600965252288</v>
      </c>
      <c r="AP55" s="195">
        <f t="shared" si="94"/>
        <v>-0.5313041708657501</v>
      </c>
      <c r="AQ55" s="195">
        <f t="shared" si="106"/>
        <v>0.20325547051458581</v>
      </c>
      <c r="AR55" s="195">
        <f t="shared" si="107"/>
        <v>0.19255317226116228</v>
      </c>
      <c r="AS55" s="195">
        <f t="shared" si="107"/>
        <v>6.4387106357694596E-2</v>
      </c>
      <c r="AT55" s="195"/>
      <c r="AU55" s="195">
        <f t="shared" si="108"/>
        <v>0.12620744539237433</v>
      </c>
      <c r="AV55" s="643"/>
      <c r="AW55" s="643"/>
      <c r="AX55" s="643"/>
      <c r="AY55" s="643"/>
      <c r="AZ55" s="196">
        <f t="shared" ref="AZ55:BI55" si="128">+AZ17/AZ$12</f>
        <v>9.1671951819644742E-2</v>
      </c>
      <c r="BA55" s="643">
        <f t="shared" si="128"/>
        <v>0.16590739842842386</v>
      </c>
      <c r="BB55" s="643">
        <f t="shared" si="128"/>
        <v>0.2270735932401704</v>
      </c>
      <c r="BC55" s="808">
        <f t="shared" si="128"/>
        <v>0.23160665938551819</v>
      </c>
      <c r="BD55" s="643">
        <f t="shared" si="128"/>
        <v>0.2445010413517848</v>
      </c>
      <c r="BE55" s="196">
        <f t="shared" si="128"/>
        <v>0.21944144914566555</v>
      </c>
      <c r="BF55" s="643">
        <f t="shared" si="128"/>
        <v>0.26624359597265118</v>
      </c>
      <c r="BG55" s="643">
        <f t="shared" si="128"/>
        <v>0.33218885836395579</v>
      </c>
      <c r="BH55" s="643">
        <f t="shared" si="128"/>
        <v>0.27191075663651409</v>
      </c>
      <c r="BI55" s="643">
        <f t="shared" si="128"/>
        <v>0.26098396757183095</v>
      </c>
      <c r="BJ55" s="196">
        <f t="shared" si="96"/>
        <v>0.28773783384473312</v>
      </c>
      <c r="BK55" s="643">
        <f t="shared" si="96"/>
        <v>0.26758685790218206</v>
      </c>
      <c r="BL55" s="643">
        <f t="shared" si="96"/>
        <v>0.25556018719986545</v>
      </c>
      <c r="BM55" s="643">
        <f t="shared" si="96"/>
        <v>0.22197364857050789</v>
      </c>
      <c r="BN55" s="643">
        <f t="shared" ca="1" si="96"/>
        <v>0.38493793730506032</v>
      </c>
      <c r="BO55" s="643">
        <f t="shared" ref="BO55:BQ55" si="129">+BO17/BO$12</f>
        <v>0.35938632835155571</v>
      </c>
      <c r="BP55" s="196">
        <f>BP17/BP$12</f>
        <v>0.27623142182979005</v>
      </c>
      <c r="BQ55" s="191">
        <f t="shared" ca="1" si="129"/>
        <v>0.29265472185058328</v>
      </c>
      <c r="BR55" s="191">
        <f t="shared" ref="BR55:BS55" si="130">+BR17/BR$12</f>
        <v>0.25770410450233117</v>
      </c>
      <c r="BS55" s="191">
        <f t="shared" ca="1" si="130"/>
        <v>0.32732283508668764</v>
      </c>
      <c r="BT55" s="196"/>
      <c r="BU55" s="196">
        <f t="shared" ref="BU55:CE55" si="131">BU17/BU$12</f>
        <v>0.319977220918649</v>
      </c>
      <c r="BV55" s="196">
        <f t="shared" si="131"/>
        <v>0.32670946349577301</v>
      </c>
      <c r="BW55" s="196">
        <f t="shared" si="131"/>
        <v>0.32005792817456397</v>
      </c>
      <c r="BX55" s="196">
        <f t="shared" si="131"/>
        <v>0.31081793462282742</v>
      </c>
      <c r="BY55" s="196">
        <f t="shared" si="131"/>
        <v>0.30046339140851891</v>
      </c>
      <c r="BZ55" s="196">
        <f t="shared" si="131"/>
        <v>0.29255619920421411</v>
      </c>
      <c r="CA55" s="196">
        <f t="shared" si="131"/>
        <v>0.285821263189453</v>
      </c>
      <c r="CB55" s="196">
        <f t="shared" si="131"/>
        <v>0.28050947781471952</v>
      </c>
      <c r="CC55" s="196">
        <f t="shared" si="131"/>
        <v>0.27684805466412821</v>
      </c>
      <c r="CD55" s="196">
        <f t="shared" si="131"/>
        <v>0.27501961068832703</v>
      </c>
      <c r="CE55" s="196">
        <f t="shared" si="131"/>
        <v>0.32153627695875392</v>
      </c>
      <c r="CF55" s="588"/>
      <c r="CG55" s="772"/>
      <c r="CH55" s="588"/>
      <c r="CI55" s="588"/>
      <c r="CJ55" s="588"/>
      <c r="CK55" s="588"/>
      <c r="CL55" s="588"/>
      <c r="CM55" s="588"/>
      <c r="CN55" s="588"/>
      <c r="CO55" s="588"/>
      <c r="CP55" s="588"/>
      <c r="CQ55" s="588"/>
      <c r="CR55" s="774"/>
      <c r="CS55" s="774"/>
      <c r="CT55" s="774"/>
      <c r="CU55" s="767"/>
      <c r="CV55" s="767"/>
      <c r="CW55" s="767"/>
      <c r="CX55" s="767"/>
      <c r="CY55" s="767"/>
      <c r="CZ55" s="588"/>
      <c r="DA55" s="588"/>
      <c r="DB55" s="588"/>
      <c r="DC55" s="588"/>
      <c r="DD55" s="588"/>
    </row>
    <row r="56" spans="1:108" s="10" customFormat="1">
      <c r="A56" s="40" t="s">
        <v>16</v>
      </c>
      <c r="B56" s="40"/>
      <c r="C56" s="190">
        <f t="shared" si="86"/>
        <v>3.5151536738810052E-2</v>
      </c>
      <c r="D56" s="190">
        <f t="shared" ref="D56:R56" si="132">+D18/D$12</f>
        <v>3.0035117511701126E-2</v>
      </c>
      <c r="E56" s="190">
        <f t="shared" si="132"/>
        <v>4.4051855595195019E-2</v>
      </c>
      <c r="F56" s="190">
        <f t="shared" si="132"/>
        <v>2.2156537481642966E-2</v>
      </c>
      <c r="G56" s="190" t="e">
        <f t="shared" si="132"/>
        <v>#REF!</v>
      </c>
      <c r="H56" s="190">
        <f t="shared" si="132"/>
        <v>4.3077567060758749E-2</v>
      </c>
      <c r="I56" s="190">
        <f t="shared" si="132"/>
        <v>4.6434619571791458E-2</v>
      </c>
      <c r="J56" s="190">
        <f t="shared" si="132"/>
        <v>2.8747626658950039E-2</v>
      </c>
      <c r="K56" s="190" t="e">
        <f t="shared" si="132"/>
        <v>#DIV/0!</v>
      </c>
      <c r="L56" s="190">
        <f t="shared" si="132"/>
        <v>7.9833405247941608E-2</v>
      </c>
      <c r="M56" s="190">
        <f t="shared" si="132"/>
        <v>6.1899608490089915E-2</v>
      </c>
      <c r="N56" s="190">
        <f t="shared" si="132"/>
        <v>1.1991691943813512E-3</v>
      </c>
      <c r="O56" s="190">
        <f t="shared" si="132"/>
        <v>9.7375404526989173E-2</v>
      </c>
      <c r="P56" s="190">
        <f t="shared" si="132"/>
        <v>1.1518511671191672E-3</v>
      </c>
      <c r="Q56" s="190">
        <f t="shared" si="132"/>
        <v>3.67437671471781E-2</v>
      </c>
      <c r="R56" s="190">
        <f t="shared" si="132"/>
        <v>3.3085262117938906E-2</v>
      </c>
      <c r="S56" s="190" t="e">
        <f t="shared" si="88"/>
        <v>#DIV/0!</v>
      </c>
      <c r="T56" s="190" t="e">
        <f t="shared" si="88"/>
        <v>#DIV/0!</v>
      </c>
      <c r="U56" s="190" t="e">
        <f t="shared" si="88"/>
        <v>#DIV/0!</v>
      </c>
      <c r="V56" s="190" t="e">
        <f t="shared" si="88"/>
        <v>#DIV/0!</v>
      </c>
      <c r="W56" s="190">
        <f t="shared" si="102"/>
        <v>0.13404374606974823</v>
      </c>
      <c r="X56" s="190">
        <f t="shared" si="102"/>
        <v>1.8510396745300528E-3</v>
      </c>
      <c r="Y56" s="190">
        <f t="shared" si="102"/>
        <v>6.9698008512279114E-2</v>
      </c>
      <c r="Z56" s="190">
        <f t="shared" si="102"/>
        <v>2.5443049068812913E-2</v>
      </c>
      <c r="AA56" s="190">
        <f>+AA18/AA$12</f>
        <v>4.792269717798385E-2</v>
      </c>
      <c r="AB56" s="190">
        <f t="shared" si="103"/>
        <v>3.6969128287830118E-2</v>
      </c>
      <c r="AC56" s="190">
        <f t="shared" si="89"/>
        <v>3.4924758524024894E-3</v>
      </c>
      <c r="AD56" s="190">
        <f t="shared" si="89"/>
        <v>0.17316622898971756</v>
      </c>
      <c r="AE56" s="190">
        <f t="shared" si="90"/>
        <v>4.9932545332368718E-2</v>
      </c>
      <c r="AF56" s="190">
        <f t="shared" si="90"/>
        <v>9.4765959707923869E-2</v>
      </c>
      <c r="AG56" s="190">
        <f t="shared" si="104"/>
        <v>7.4680374632474636E-2</v>
      </c>
      <c r="AH56" s="190">
        <f t="shared" si="104"/>
        <v>8.8895088311168408E-2</v>
      </c>
      <c r="AI56" s="190">
        <f t="shared" si="91"/>
        <v>6.5411198806268014E-2</v>
      </c>
      <c r="AJ56" s="190">
        <f t="shared" si="91"/>
        <v>8.3396184652291136E-2</v>
      </c>
      <c r="AK56" s="190">
        <f t="shared" si="91"/>
        <v>4.5349040424225835E-2</v>
      </c>
      <c r="AL56" s="190">
        <f t="shared" si="105"/>
        <v>6.8081654533715105E-2</v>
      </c>
      <c r="AM56" s="190">
        <f t="shared" si="105"/>
        <v>4.4400465528912039E-2</v>
      </c>
      <c r="AN56" s="190">
        <f t="shared" si="92"/>
        <v>5.5577803733985943E-2</v>
      </c>
      <c r="AO56" s="190">
        <f t="shared" si="93"/>
        <v>3.4946864824139195E-2</v>
      </c>
      <c r="AP56" s="190">
        <f t="shared" si="94"/>
        <v>8.3488282360918761E-3</v>
      </c>
      <c r="AQ56" s="190">
        <f t="shared" si="106"/>
        <v>4.2694748908025493E-2</v>
      </c>
      <c r="AR56" s="190">
        <f t="shared" si="107"/>
        <v>3.6451272978850868E-2</v>
      </c>
      <c r="AS56" s="190">
        <f t="shared" si="107"/>
        <v>9.0118241235888297E-2</v>
      </c>
      <c r="AT56" s="190"/>
      <c r="AU56" s="190">
        <f t="shared" si="108"/>
        <v>5.4055806631393866E-2</v>
      </c>
      <c r="AV56" s="641"/>
      <c r="AW56" s="641"/>
      <c r="AX56" s="641"/>
      <c r="AY56" s="641"/>
      <c r="AZ56" s="191">
        <f t="shared" ref="AZ56:BI56" si="133">+AZ18/AZ$12</f>
        <v>5.9570985893566943E-2</v>
      </c>
      <c r="BA56" s="641">
        <f t="shared" si="133"/>
        <v>5.1381551108458254E-2</v>
      </c>
      <c r="BB56" s="641">
        <f t="shared" si="133"/>
        <v>6.9256115193013293E-2</v>
      </c>
      <c r="BC56" s="662">
        <f t="shared" si="133"/>
        <v>3.9937255069205341E-2</v>
      </c>
      <c r="BD56" s="641">
        <f t="shared" si="133"/>
        <v>4.7714533838169065E-2</v>
      </c>
      <c r="BE56" s="191">
        <f t="shared" si="133"/>
        <v>5.1762248760373324E-2</v>
      </c>
      <c r="BF56" s="641">
        <f t="shared" si="133"/>
        <v>6.0561916691720417E-2</v>
      </c>
      <c r="BG56" s="641">
        <f t="shared" si="133"/>
        <v>7.0033299265110968E-2</v>
      </c>
      <c r="BH56" s="641">
        <f t="shared" si="133"/>
        <v>4.9574607226063605E-2</v>
      </c>
      <c r="BI56" s="641">
        <f t="shared" si="133"/>
        <v>5.4959954904042978E-2</v>
      </c>
      <c r="BJ56" s="191">
        <f t="shared" si="96"/>
        <v>5.8849473132122257E-2</v>
      </c>
      <c r="BK56" s="641">
        <f t="shared" si="96"/>
        <v>6.2385453683273168E-2</v>
      </c>
      <c r="BL56" s="641">
        <f t="shared" si="96"/>
        <v>9.1325591870700787E-2</v>
      </c>
      <c r="BM56" s="641">
        <f t="shared" si="96"/>
        <v>4.438978724184086E-2</v>
      </c>
      <c r="BN56" s="641">
        <f t="shared" si="96"/>
        <v>4.4672037786006022E-2</v>
      </c>
      <c r="BO56" s="641">
        <f t="shared" ref="BO56:BQ56" si="134">+BO18/BO$12</f>
        <v>5.2487935767377168E-2</v>
      </c>
      <c r="BP56" s="191">
        <f t="shared" si="96"/>
        <v>6.2056153018540942E-2</v>
      </c>
      <c r="BQ56" s="191">
        <f t="shared" si="134"/>
        <v>5.2030532300649079E-2</v>
      </c>
      <c r="BR56" s="191">
        <f t="shared" ref="BR56" si="135">+BR18/BR$12</f>
        <v>7.517054414961942E-2</v>
      </c>
      <c r="BS56" s="191">
        <f>+BS18/BS$12</f>
        <v>6.4421317379659726E-2</v>
      </c>
      <c r="BT56" s="191"/>
      <c r="BU56" s="191">
        <f t="shared" si="99"/>
        <v>5.9421845635531885E-2</v>
      </c>
      <c r="BV56" s="191">
        <f t="shared" si="99"/>
        <v>5.8104294909640163E-2</v>
      </c>
      <c r="BW56" s="191">
        <f t="shared" ref="BW56:CE56" si="136">+BW18/BW$12</f>
        <v>5.7644347561709552E-2</v>
      </c>
      <c r="BX56" s="191">
        <f t="shared" si="136"/>
        <v>5.7257473917164022E-2</v>
      </c>
      <c r="BY56" s="191">
        <f t="shared" si="136"/>
        <v>5.2595944672682665E-2</v>
      </c>
      <c r="BZ56" s="191">
        <f t="shared" si="136"/>
        <v>5.2259322848718086E-2</v>
      </c>
      <c r="CA56" s="191">
        <f t="shared" si="136"/>
        <v>5.1861137790029321E-2</v>
      </c>
      <c r="CB56" s="191">
        <f t="shared" si="136"/>
        <v>5.1407137950560122E-2</v>
      </c>
      <c r="CC56" s="191">
        <f t="shared" si="136"/>
        <v>5.0902683251423962E-2</v>
      </c>
      <c r="CD56" s="191">
        <f t="shared" si="136"/>
        <v>5.0352769839375915E-2</v>
      </c>
      <c r="CE56" s="191">
        <f t="shared" si="136"/>
        <v>4.976205318131368E-2</v>
      </c>
      <c r="CF56" s="269"/>
      <c r="CG56" s="769"/>
      <c r="CH56" s="269"/>
      <c r="CI56" s="269"/>
      <c r="CJ56" s="269"/>
      <c r="CK56" s="269"/>
      <c r="CL56" s="269"/>
      <c r="CM56" s="269"/>
      <c r="CN56" s="269"/>
      <c r="CO56" s="269"/>
      <c r="CP56" s="269"/>
      <c r="CQ56" s="269"/>
      <c r="CR56" s="758"/>
      <c r="CS56" s="594"/>
      <c r="CT56" s="758"/>
      <c r="CU56" s="593"/>
      <c r="CV56" s="593"/>
      <c r="CW56" s="269"/>
      <c r="CX56" s="269"/>
      <c r="CY56" s="269"/>
      <c r="CZ56" s="269"/>
      <c r="DA56" s="269"/>
      <c r="DB56" s="269"/>
      <c r="DC56" s="269"/>
      <c r="DD56" s="269"/>
    </row>
    <row r="57" spans="1:108" s="10" customFormat="1">
      <c r="A57" s="197" t="s">
        <v>169</v>
      </c>
      <c r="B57" s="197"/>
      <c r="C57" s="190" t="e">
        <f>+C20/C$12</f>
        <v>#REF!</v>
      </c>
      <c r="D57" s="190" t="e">
        <f t="shared" ref="D57:R57" si="137">+D20/D$12</f>
        <v>#REF!</v>
      </c>
      <c r="E57" s="190" t="e">
        <f t="shared" si="137"/>
        <v>#REF!</v>
      </c>
      <c r="F57" s="190">
        <f t="shared" si="137"/>
        <v>0.16221363540914194</v>
      </c>
      <c r="G57" s="190" t="e">
        <f t="shared" si="137"/>
        <v>#REF!</v>
      </c>
      <c r="H57" s="190">
        <f t="shared" si="137"/>
        <v>0.29768333888755233</v>
      </c>
      <c r="I57" s="190">
        <f t="shared" si="137"/>
        <v>0.25181318293617183</v>
      </c>
      <c r="J57" s="190">
        <f t="shared" si="137"/>
        <v>0.17269869522547271</v>
      </c>
      <c r="K57" s="190" t="e">
        <f t="shared" si="137"/>
        <v>#DIV/0!</v>
      </c>
      <c r="L57" s="190">
        <f t="shared" si="137"/>
        <v>4.1330775156139407E-2</v>
      </c>
      <c r="M57" s="190">
        <f t="shared" si="137"/>
        <v>0.25585643879056413</v>
      </c>
      <c r="N57" s="190">
        <f t="shared" si="137"/>
        <v>0.33830925977251125</v>
      </c>
      <c r="O57" s="190">
        <f t="shared" si="137"/>
        <v>0.41847903653825835</v>
      </c>
      <c r="P57" s="190">
        <f t="shared" si="137"/>
        <v>0.32244146747292785</v>
      </c>
      <c r="Q57" s="190">
        <f t="shared" si="137"/>
        <v>0.31889976937533493</v>
      </c>
      <c r="R57" s="190">
        <f t="shared" si="137"/>
        <v>0.34640755174932442</v>
      </c>
      <c r="S57" s="190" t="e">
        <f t="shared" ref="S57:AD57" si="138">+S20/S$12</f>
        <v>#DIV/0!</v>
      </c>
      <c r="T57" s="190" t="e">
        <f t="shared" si="138"/>
        <v>#DIV/0!</v>
      </c>
      <c r="U57" s="190" t="e">
        <f t="shared" si="138"/>
        <v>#DIV/0!</v>
      </c>
      <c r="V57" s="190" t="e">
        <f t="shared" si="138"/>
        <v>#DIV/0!</v>
      </c>
      <c r="W57" s="190">
        <f t="shared" si="138"/>
        <v>0.45937767541234509</v>
      </c>
      <c r="X57" s="190">
        <f t="shared" si="138"/>
        <v>0.43745186943594377</v>
      </c>
      <c r="Y57" s="190">
        <f t="shared" si="138"/>
        <v>0.54367999289470015</v>
      </c>
      <c r="Z57" s="190">
        <f t="shared" si="138"/>
        <v>0.47132733625689927</v>
      </c>
      <c r="AA57" s="190">
        <f t="shared" si="138"/>
        <v>0.50829973790301342</v>
      </c>
      <c r="AB57" s="190">
        <f t="shared" si="138"/>
        <v>0.49132310121152667</v>
      </c>
      <c r="AC57" s="190">
        <f t="shared" si="138"/>
        <v>0.4057563958903273</v>
      </c>
      <c r="AD57" s="190">
        <f t="shared" si="138"/>
        <v>0.37836397071976996</v>
      </c>
      <c r="AE57" s="190">
        <f>+AE20/AE$12</f>
        <v>0.30504249386600207</v>
      </c>
      <c r="AF57" s="190">
        <f>+AF20/AF$12</f>
        <v>0.27770898904034741</v>
      </c>
      <c r="AG57" s="190">
        <f>+AG20/AG$12</f>
        <v>0.34313639815409774</v>
      </c>
      <c r="AH57" s="190">
        <f t="shared" ref="AH57:AK60" si="139">+AH20/AH$12</f>
        <v>0.21652591838644664</v>
      </c>
      <c r="AI57" s="190">
        <f t="shared" si="139"/>
        <v>0.17471382793607787</v>
      </c>
      <c r="AJ57" s="190">
        <f t="shared" si="139"/>
        <v>0.13145347432892296</v>
      </c>
      <c r="AK57" s="190">
        <f t="shared" si="139"/>
        <v>2.6668918974836038E-2</v>
      </c>
      <c r="AL57" s="190">
        <f t="shared" ref="AL57:AS57" si="140">+AL20/AL$12</f>
        <v>0.12112979949535572</v>
      </c>
      <c r="AM57" s="190">
        <f t="shared" si="140"/>
        <v>0.23676451872905435</v>
      </c>
      <c r="AN57" s="190">
        <f t="shared" si="140"/>
        <v>0.18516950330941651</v>
      </c>
      <c r="AO57" s="190">
        <f t="shared" si="140"/>
        <v>0.17160963772467888</v>
      </c>
      <c r="AP57" s="190">
        <f t="shared" si="140"/>
        <v>-0.60508212919545767</v>
      </c>
      <c r="AQ57" s="190">
        <f t="shared" si="140"/>
        <v>0.18756084540228923</v>
      </c>
      <c r="AR57" s="190">
        <f t="shared" si="140"/>
        <v>0.20861640080808294</v>
      </c>
      <c r="AS57" s="190">
        <f t="shared" si="140"/>
        <v>0.14079233511586453</v>
      </c>
      <c r="AT57" s="190"/>
      <c r="AU57" s="190">
        <f>+AU20/AU$12</f>
        <v>0.16905597759784208</v>
      </c>
      <c r="AV57" s="641"/>
      <c r="AW57" s="641"/>
      <c r="AX57" s="641"/>
      <c r="AY57" s="641"/>
      <c r="AZ57" s="191">
        <f t="shared" ref="AZ57:BJ57" si="141">+AZ20/AZ$12</f>
        <v>0.14919935719046548</v>
      </c>
      <c r="BA57" s="641">
        <f t="shared" si="141"/>
        <v>0.19853408393414093</v>
      </c>
      <c r="BB57" s="641">
        <f t="shared" si="141"/>
        <v>0.27052340508312606</v>
      </c>
      <c r="BC57" s="662">
        <f t="shared" si="141"/>
        <v>0.25826709109676355</v>
      </c>
      <c r="BD57" s="641">
        <f t="shared" si="141"/>
        <v>0.26325946310822373</v>
      </c>
      <c r="BE57" s="191">
        <f t="shared" si="141"/>
        <v>0.24938068230763827</v>
      </c>
      <c r="BF57" s="641">
        <f t="shared" si="141"/>
        <v>0.30926834317380991</v>
      </c>
      <c r="BG57" s="641">
        <f t="shared" si="141"/>
        <v>0.37221350307966533</v>
      </c>
      <c r="BH57" s="641">
        <f t="shared" si="141"/>
        <v>0.30120602482774006</v>
      </c>
      <c r="BI57" s="641">
        <f t="shared" si="141"/>
        <v>0.29643132642178049</v>
      </c>
      <c r="BJ57" s="191">
        <f t="shared" si="141"/>
        <v>0.32472153149929328</v>
      </c>
      <c r="BK57" s="641">
        <f t="shared" ref="BK57:BN57" si="142">+BK20/BK$12</f>
        <v>0.30057124330359403</v>
      </c>
      <c r="BL57" s="641">
        <f t="shared" si="142"/>
        <v>0.3193009779895099</v>
      </c>
      <c r="BM57" s="641">
        <f t="shared" si="142"/>
        <v>0.2724436485274695</v>
      </c>
      <c r="BN57" s="641">
        <f t="shared" ca="1" si="142"/>
        <v>0.40360997509106633</v>
      </c>
      <c r="BO57" s="641">
        <f t="shared" ref="BO57:BQ57" si="143">+BO20/BO$12</f>
        <v>0.38163284106641282</v>
      </c>
      <c r="BP57" s="191">
        <f t="shared" ref="BP57:CE57" si="144">+BP20/BP$12</f>
        <v>0.31874364250945525</v>
      </c>
      <c r="BQ57" s="191">
        <f t="shared" ca="1" si="143"/>
        <v>0.31568525415123239</v>
      </c>
      <c r="BR57" s="191">
        <f t="shared" ref="BR57:BS57" si="145">+BR20/BR$12</f>
        <v>0.29398378572307365</v>
      </c>
      <c r="BS57" s="191">
        <f t="shared" ca="1" si="145"/>
        <v>0.36274415246634739</v>
      </c>
      <c r="BT57" s="191"/>
      <c r="BU57" s="191">
        <f t="shared" si="144"/>
        <v>0.35739906655418086</v>
      </c>
      <c r="BV57" s="191">
        <f t="shared" si="144"/>
        <v>0.36281375840541319</v>
      </c>
      <c r="BW57" s="191">
        <f t="shared" si="144"/>
        <v>0.35570227573627361</v>
      </c>
      <c r="BX57" s="191">
        <f t="shared" si="144"/>
        <v>0.34612015004747076</v>
      </c>
      <c r="BY57" s="191">
        <f t="shared" si="144"/>
        <v>0.33084671123638171</v>
      </c>
      <c r="BZ57" s="191">
        <f t="shared" si="144"/>
        <v>0.3226028972081123</v>
      </c>
      <c r="CA57" s="191">
        <f t="shared" si="144"/>
        <v>0.31542503462718319</v>
      </c>
      <c r="CB57" s="191">
        <f t="shared" si="144"/>
        <v>0.30991661576527962</v>
      </c>
      <c r="CC57" s="191">
        <f t="shared" si="144"/>
        <v>0.3057656517513786</v>
      </c>
      <c r="CD57" s="191">
        <f t="shared" si="144"/>
        <v>0.30331641941525611</v>
      </c>
      <c r="CE57" s="191">
        <f t="shared" si="144"/>
        <v>0.3491714940793475</v>
      </c>
      <c r="CF57" s="269"/>
      <c r="CG57" s="769"/>
      <c r="CH57" s="269"/>
      <c r="CI57" s="269"/>
      <c r="CJ57" s="269"/>
      <c r="CK57" s="269"/>
      <c r="CL57" s="269"/>
      <c r="CM57" s="269"/>
      <c r="CN57" s="269"/>
      <c r="CO57" s="269"/>
      <c r="CP57" s="269"/>
      <c r="CQ57" s="269"/>
      <c r="CR57" s="758"/>
      <c r="CS57" s="594"/>
      <c r="CT57" s="758"/>
      <c r="CU57" s="593"/>
      <c r="CV57" s="593"/>
      <c r="CW57" s="269"/>
      <c r="CX57" s="269"/>
      <c r="CY57" s="269"/>
      <c r="CZ57" s="269"/>
      <c r="DA57" s="269"/>
      <c r="DB57" s="269"/>
      <c r="DC57" s="269"/>
      <c r="DD57" s="269"/>
    </row>
    <row r="58" spans="1:108" s="10" customFormat="1">
      <c r="A58" s="197"/>
      <c r="B58" s="197"/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190"/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0"/>
      <c r="AA58" s="190"/>
      <c r="AB58" s="190"/>
      <c r="AC58" s="190">
        <f t="shared" ref="AC58:AF59" si="146">+AC21/AC$12</f>
        <v>5.3750397977920805E-2</v>
      </c>
      <c r="AD58" s="190">
        <f t="shared" si="146"/>
        <v>7.298662640515767E-2</v>
      </c>
      <c r="AE58" s="190">
        <f t="shared" si="146"/>
        <v>7.0872456611458565E-2</v>
      </c>
      <c r="AF58" s="190">
        <f t="shared" si="146"/>
        <v>0</v>
      </c>
      <c r="AG58" s="190"/>
      <c r="AH58" s="190">
        <f t="shared" si="139"/>
        <v>0.14645015657024074</v>
      </c>
      <c r="AI58" s="190">
        <f t="shared" si="139"/>
        <v>0.13052967994914899</v>
      </c>
      <c r="AJ58" s="190">
        <f t="shared" si="139"/>
        <v>9.667448005055039E-2</v>
      </c>
      <c r="AK58" s="190">
        <f t="shared" si="139"/>
        <v>8.7181607924100499E-2</v>
      </c>
      <c r="AL58" s="190"/>
      <c r="AM58" s="190">
        <f t="shared" ref="AM58:AN60" si="147">+AM21/AM$12</f>
        <v>0.31561393930786696</v>
      </c>
      <c r="AN58" s="190">
        <f t="shared" si="147"/>
        <v>0.32272929528894823</v>
      </c>
      <c r="AO58" s="190"/>
      <c r="AP58" s="190"/>
      <c r="AQ58" s="190"/>
      <c r="AR58" s="190"/>
      <c r="AS58" s="190"/>
      <c r="AT58" s="190"/>
      <c r="AU58" s="190"/>
      <c r="AV58" s="641"/>
      <c r="AW58" s="641"/>
      <c r="AX58" s="641"/>
      <c r="AY58" s="641"/>
      <c r="AZ58" s="191"/>
      <c r="BA58" s="641"/>
      <c r="BB58" s="641"/>
      <c r="BC58" s="662"/>
      <c r="BD58" s="641"/>
      <c r="BE58" s="191"/>
      <c r="BF58" s="641"/>
      <c r="BG58" s="641"/>
      <c r="BH58" s="641"/>
      <c r="BI58" s="641"/>
      <c r="BJ58" s="191"/>
      <c r="BK58" s="641"/>
      <c r="BL58" s="641"/>
      <c r="BM58" s="641"/>
      <c r="BN58" s="641"/>
      <c r="BO58" s="641"/>
      <c r="BP58" s="191"/>
      <c r="BQ58" s="191"/>
      <c r="BR58" s="191"/>
      <c r="BS58" s="191"/>
      <c r="BT58" s="191"/>
      <c r="BU58" s="191"/>
      <c r="BV58" s="191"/>
      <c r="BW58" s="191"/>
      <c r="BX58" s="191"/>
      <c r="BY58" s="191"/>
      <c r="BZ58" s="191"/>
      <c r="CA58" s="191"/>
      <c r="CB58" s="191"/>
      <c r="CC58" s="191"/>
      <c r="CD58" s="191"/>
      <c r="CE58" s="191"/>
      <c r="CF58" s="269"/>
      <c r="CG58" s="769"/>
      <c r="CH58" s="269"/>
      <c r="CI58" s="269"/>
      <c r="CJ58" s="269"/>
      <c r="CK58" s="269"/>
      <c r="CL58" s="269"/>
      <c r="CM58" s="269"/>
      <c r="CN58" s="269"/>
      <c r="CO58" s="269"/>
      <c r="CP58" s="269"/>
      <c r="CQ58" s="269"/>
      <c r="CR58" s="758"/>
      <c r="CS58" s="594"/>
      <c r="CT58" s="758"/>
      <c r="CU58" s="593"/>
      <c r="CV58" s="593"/>
      <c r="CW58" s="269"/>
      <c r="CX58" s="269"/>
      <c r="CY58" s="269"/>
      <c r="CZ58" s="269"/>
      <c r="DA58" s="269"/>
      <c r="DB58" s="269"/>
      <c r="DC58" s="269"/>
      <c r="DD58" s="269"/>
    </row>
    <row r="59" spans="1:108" s="141" customFormat="1">
      <c r="A59" s="198" t="s">
        <v>15</v>
      </c>
      <c r="B59" s="198"/>
      <c r="C59" s="195"/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>
        <f t="shared" ref="X59:AB60" si="148">+X22/X$12</f>
        <v>0.48572835367792239</v>
      </c>
      <c r="Y59" s="195">
        <f t="shared" si="148"/>
        <v>0.59163751706598777</v>
      </c>
      <c r="Z59" s="195">
        <f t="shared" si="148"/>
        <v>0.47132733625689927</v>
      </c>
      <c r="AA59" s="195">
        <f t="shared" si="148"/>
        <v>0.50829973790301342</v>
      </c>
      <c r="AB59" s="195">
        <f t="shared" si="148"/>
        <v>0.53706924562560143</v>
      </c>
      <c r="AC59" s="195">
        <f t="shared" si="146"/>
        <v>0.45950679386824811</v>
      </c>
      <c r="AD59" s="195">
        <f t="shared" si="146"/>
        <v>0.45135059712492759</v>
      </c>
      <c r="AE59" s="195">
        <f t="shared" si="146"/>
        <v>0.3759149504774606</v>
      </c>
      <c r="AF59" s="195">
        <f t="shared" si="146"/>
        <v>0.27770898904034741</v>
      </c>
      <c r="AG59" s="195">
        <f>+AG22/AG$12</f>
        <v>0.42011986681465036</v>
      </c>
      <c r="AH59" s="195">
        <f t="shared" si="139"/>
        <v>0.36297607495668738</v>
      </c>
      <c r="AI59" s="195">
        <f t="shared" si="139"/>
        <v>0.30524350788522686</v>
      </c>
      <c r="AJ59" s="195">
        <f t="shared" ref="AJ59:AL60" si="149">+AJ22/AJ$12</f>
        <v>0.22812795437947334</v>
      </c>
      <c r="AK59" s="195">
        <f t="shared" si="149"/>
        <v>0.11385052689893668</v>
      </c>
      <c r="AL59" s="195">
        <f t="shared" si="149"/>
        <v>0.23064590411245509</v>
      </c>
      <c r="AM59" s="195">
        <f t="shared" si="147"/>
        <v>0.55237845803692132</v>
      </c>
      <c r="AN59" s="195">
        <f t="shared" si="147"/>
        <v>0.50789879859836473</v>
      </c>
      <c r="AO59" s="195">
        <f t="shared" ref="AO59:AS60" si="150">+AO22/AO$12</f>
        <v>0.48848894773721091</v>
      </c>
      <c r="AP59" s="195">
        <f t="shared" si="150"/>
        <v>-2.7871472423894955E-2</v>
      </c>
      <c r="AQ59" s="195">
        <f t="shared" si="150"/>
        <v>0.26345272866025127</v>
      </c>
      <c r="AR59" s="195">
        <f t="shared" si="150"/>
        <v>0.20863945836412293</v>
      </c>
      <c r="AS59" s="195">
        <f t="shared" si="150"/>
        <v>0</v>
      </c>
      <c r="AT59" s="195"/>
      <c r="AU59" s="195">
        <f>+AU22/AU$12</f>
        <v>0.16906124284504401</v>
      </c>
      <c r="AV59" s="643"/>
      <c r="AW59" s="643"/>
      <c r="AX59" s="643"/>
      <c r="AY59" s="643"/>
      <c r="AZ59" s="196">
        <f t="shared" ref="AZ59:BJ59" si="151">+AZ22/AZ$12</f>
        <v>0.22619751374776761</v>
      </c>
      <c r="BA59" s="643">
        <f t="shared" si="151"/>
        <v>0</v>
      </c>
      <c r="BB59" s="643">
        <f t="shared" si="151"/>
        <v>0</v>
      </c>
      <c r="BC59" s="808">
        <f t="shared" si="151"/>
        <v>0</v>
      </c>
      <c r="BD59" s="643">
        <f t="shared" si="151"/>
        <v>0</v>
      </c>
      <c r="BE59" s="196">
        <f t="shared" si="151"/>
        <v>0</v>
      </c>
      <c r="BF59" s="643">
        <f t="shared" si="151"/>
        <v>0</v>
      </c>
      <c r="BG59" s="643">
        <f t="shared" si="151"/>
        <v>0</v>
      </c>
      <c r="BH59" s="643">
        <f t="shared" si="151"/>
        <v>0</v>
      </c>
      <c r="BI59" s="643">
        <f t="shared" si="151"/>
        <v>0</v>
      </c>
      <c r="BJ59" s="196">
        <f t="shared" si="151"/>
        <v>0.38804468981363077</v>
      </c>
      <c r="BK59" s="643">
        <f t="shared" ref="BK59:BN59" si="152">+BK22/BK$12</f>
        <v>0</v>
      </c>
      <c r="BL59" s="643">
        <f t="shared" si="152"/>
        <v>0</v>
      </c>
      <c r="BM59" s="643">
        <f t="shared" si="152"/>
        <v>0</v>
      </c>
      <c r="BN59" s="643">
        <f t="shared" si="152"/>
        <v>0</v>
      </c>
      <c r="BO59" s="643">
        <f t="shared" ref="BO59:BQ59" si="153">+BO22/BO$12</f>
        <v>0</v>
      </c>
      <c r="BP59" s="196">
        <f t="shared" ref="BP59:CE59" si="154">+BP22/BP$12</f>
        <v>0.38687789462556077</v>
      </c>
      <c r="BQ59" s="191">
        <f t="shared" si="153"/>
        <v>0</v>
      </c>
      <c r="BR59" s="191">
        <f t="shared" ref="BR59:BS59" si="155">+BR22/BR$12</f>
        <v>0.37413665385022399</v>
      </c>
      <c r="BS59" s="191">
        <f t="shared" si="155"/>
        <v>0</v>
      </c>
      <c r="BT59" s="196"/>
      <c r="BU59" s="196">
        <f t="shared" si="154"/>
        <v>0.41743552621835917</v>
      </c>
      <c r="BV59" s="196">
        <f t="shared" si="154"/>
        <v>0.41990803962489931</v>
      </c>
      <c r="BW59" s="196">
        <f t="shared" si="154"/>
        <v>0.41135302386126249</v>
      </c>
      <c r="BX59" s="196">
        <f t="shared" si="154"/>
        <v>0.40050327008497333</v>
      </c>
      <c r="BY59" s="196">
        <f t="shared" si="154"/>
        <v>0.3839937992301507</v>
      </c>
      <c r="BZ59" s="196">
        <f t="shared" si="154"/>
        <v>0.37454456203564807</v>
      </c>
      <c r="CA59" s="196">
        <f t="shared" si="154"/>
        <v>0.36619094117757606</v>
      </c>
      <c r="CB59" s="196">
        <f t="shared" si="154"/>
        <v>0.35953552558908797</v>
      </c>
      <c r="CC59" s="196">
        <f t="shared" si="154"/>
        <v>0.35426546136068765</v>
      </c>
      <c r="CD59" s="196">
        <f t="shared" si="154"/>
        <v>0.35072419639777225</v>
      </c>
      <c r="CE59" s="196">
        <f t="shared" si="154"/>
        <v>0.39551351117737338</v>
      </c>
      <c r="CF59" s="588"/>
      <c r="CG59" s="772"/>
      <c r="CH59" s="588"/>
      <c r="CI59" s="588"/>
      <c r="CJ59" s="588"/>
      <c r="CK59" s="588"/>
      <c r="CL59" s="588"/>
      <c r="CM59" s="588"/>
      <c r="CN59" s="588"/>
      <c r="CO59" s="588"/>
      <c r="CP59" s="588"/>
      <c r="CQ59" s="588"/>
      <c r="CR59" s="269"/>
      <c r="CS59" s="593"/>
      <c r="CT59" s="593"/>
      <c r="CU59" s="593"/>
      <c r="CV59" s="269"/>
      <c r="CW59" s="269"/>
      <c r="CX59" s="213"/>
      <c r="CY59" s="213"/>
      <c r="CZ59" s="588"/>
      <c r="DA59" s="588"/>
      <c r="DB59" s="588"/>
      <c r="DC59" s="588"/>
      <c r="DD59" s="588"/>
    </row>
    <row r="60" spans="1:108" s="10" customFormat="1">
      <c r="A60" s="40" t="s">
        <v>18</v>
      </c>
      <c r="B60" s="40"/>
      <c r="C60" s="190">
        <f>+C23/C$12</f>
        <v>2.0055743792269778E-2</v>
      </c>
      <c r="D60" s="190">
        <f t="shared" ref="D60:R60" si="156">+D23/D$12</f>
        <v>5.6409167841689506E-2</v>
      </c>
      <c r="E60" s="190">
        <f t="shared" si="156"/>
        <v>0.25584539258540756</v>
      </c>
      <c r="F60" s="190">
        <f t="shared" si="156"/>
        <v>0.19124985474075215</v>
      </c>
      <c r="G60" s="190">
        <f t="shared" si="156"/>
        <v>0.23526117706808286</v>
      </c>
      <c r="H60" s="190">
        <f t="shared" si="156"/>
        <v>0.18947758707066073</v>
      </c>
      <c r="I60" s="190">
        <f t="shared" si="156"/>
        <v>0.13371121628160157</v>
      </c>
      <c r="J60" s="190">
        <f t="shared" si="156"/>
        <v>0.13289754401003526</v>
      </c>
      <c r="K60" s="190" t="e">
        <f t="shared" si="156"/>
        <v>#REF!</v>
      </c>
      <c r="L60" s="190" t="e">
        <f t="shared" si="156"/>
        <v>#REF!</v>
      </c>
      <c r="M60" s="190" t="e">
        <f t="shared" si="156"/>
        <v>#REF!</v>
      </c>
      <c r="N60" s="190">
        <f t="shared" si="156"/>
        <v>6.1470119596699298E-2</v>
      </c>
      <c r="O60" s="190">
        <f t="shared" si="156"/>
        <v>5.252788030758556E-2</v>
      </c>
      <c r="P60" s="190">
        <f t="shared" si="156"/>
        <v>4.3822276323797933E-2</v>
      </c>
      <c r="Q60" s="190">
        <f t="shared" si="156"/>
        <v>7.0689323067151852E-2</v>
      </c>
      <c r="R60" s="190">
        <f t="shared" si="156"/>
        <v>5.7845767284887335E-2</v>
      </c>
      <c r="S60" s="190" t="e">
        <f>+S23/S$12</f>
        <v>#DIV/0!</v>
      </c>
      <c r="T60" s="190" t="e">
        <f>+T23/T$12</f>
        <v>#DIV/0!</v>
      </c>
      <c r="U60" s="190" t="e">
        <f>+U23/U$12</f>
        <v>#DIV/0!</v>
      </c>
      <c r="V60" s="190" t="e">
        <f>+V23/V$12</f>
        <v>#DIV/0!</v>
      </c>
      <c r="W60" s="190">
        <f>+W23/W$12</f>
        <v>5.7588321754085563E-2</v>
      </c>
      <c r="X60" s="190">
        <f t="shared" si="148"/>
        <v>5.0612837606865475E-2</v>
      </c>
      <c r="Y60" s="190">
        <f t="shared" si="148"/>
        <v>6.4570494917706875E-2</v>
      </c>
      <c r="Z60" s="190">
        <f t="shared" si="148"/>
        <v>5.919693099490294E-2</v>
      </c>
      <c r="AA60" s="190">
        <f t="shared" si="148"/>
        <v>5.3141479742744996E-2</v>
      </c>
      <c r="AB60" s="190">
        <f t="shared" si="148"/>
        <v>5.6650952497371371E-2</v>
      </c>
      <c r="AC60" s="190">
        <f>+AC23/AC$12</f>
        <v>7.1850082460484632E-2</v>
      </c>
      <c r="AD60" s="190">
        <f>+AD23/AD$12</f>
        <v>8.4222163388263577E-2</v>
      </c>
      <c r="AE60" s="190">
        <f>+AE23/AE$12</f>
        <v>7.0185680558380481E-2</v>
      </c>
      <c r="AF60" s="190">
        <f>+AF23/AF$12</f>
        <v>6.7041833026255479E-2</v>
      </c>
      <c r="AG60" s="190">
        <f>+AG23/AG$12</f>
        <v>7.2928403138812631E-2</v>
      </c>
      <c r="AH60" s="190">
        <f t="shared" si="139"/>
        <v>0.16715199784343693</v>
      </c>
      <c r="AI60" s="190">
        <f t="shared" si="139"/>
        <v>0.18221906248479453</v>
      </c>
      <c r="AJ60" s="190">
        <f t="shared" si="149"/>
        <v>0.14487971096833516</v>
      </c>
      <c r="AK60" s="190">
        <f t="shared" si="149"/>
        <v>9.6255992024102954E-2</v>
      </c>
      <c r="AL60" s="190">
        <f t="shared" si="149"/>
        <v>0.14059437268017763</v>
      </c>
      <c r="AM60" s="190">
        <f t="shared" si="147"/>
        <v>0.31668531057086319</v>
      </c>
      <c r="AN60" s="190">
        <f t="shared" si="147"/>
        <v>0.16183232289522961</v>
      </c>
      <c r="AO60" s="190">
        <f t="shared" si="150"/>
        <v>0.13504626551792812</v>
      </c>
      <c r="AP60" s="190">
        <f t="shared" si="150"/>
        <v>0.25652273772951334</v>
      </c>
      <c r="AQ60" s="190">
        <f t="shared" si="150"/>
        <v>0.14449091573891856</v>
      </c>
      <c r="AR60" s="190">
        <f>+AR23/AR$12</f>
        <v>0.1019532880686692</v>
      </c>
      <c r="AS60" s="190">
        <f>+AS23/AS$12</f>
        <v>0.14491830065359479</v>
      </c>
      <c r="AT60" s="190"/>
      <c r="AU60" s="190">
        <f>+AU23/AU$12</f>
        <v>0.1128204295250386</v>
      </c>
      <c r="AV60" s="641"/>
      <c r="AW60" s="641"/>
      <c r="AX60" s="641"/>
      <c r="AY60" s="641"/>
      <c r="AZ60" s="191">
        <f t="shared" ref="AZ60:BJ60" si="157">+AZ23/AZ$12</f>
        <v>0.11044065956555987</v>
      </c>
      <c r="BA60" s="641">
        <f t="shared" si="157"/>
        <v>8.8219703841165495E-2</v>
      </c>
      <c r="BB60" s="641">
        <f t="shared" si="157"/>
        <v>7.7842361379813568E-2</v>
      </c>
      <c r="BC60" s="662">
        <f t="shared" si="157"/>
        <v>6.9557180449649786E-2</v>
      </c>
      <c r="BD60" s="641">
        <f t="shared" si="157"/>
        <v>5.8828850696027772E-2</v>
      </c>
      <c r="BE60" s="191">
        <f t="shared" si="157"/>
        <v>7.280151206197269E-2</v>
      </c>
      <c r="BF60" s="641">
        <f t="shared" si="157"/>
        <v>5.1557548657329082E-2</v>
      </c>
      <c r="BG60" s="641">
        <f t="shared" si="157"/>
        <v>4.612819385384178E-2</v>
      </c>
      <c r="BH60" s="641">
        <f t="shared" si="157"/>
        <v>3.5626843035679971E-2</v>
      </c>
      <c r="BI60" s="641">
        <f t="shared" si="157"/>
        <v>2.7806696837991765E-2</v>
      </c>
      <c r="BJ60" s="191">
        <f t="shared" si="157"/>
        <v>3.9929444318420625E-2</v>
      </c>
      <c r="BK60" s="641">
        <f t="shared" ref="BK60:BN60" si="158">+BK23/BK$12</f>
        <v>3.6439586592104334E-2</v>
      </c>
      <c r="BL60" s="641">
        <f t="shared" si="158"/>
        <v>2.3244695876564136E-2</v>
      </c>
      <c r="BM60" s="641">
        <f t="shared" si="158"/>
        <v>2.8614276553258679E-2</v>
      </c>
      <c r="BN60" s="641">
        <f t="shared" si="158"/>
        <v>1.9404264115029827E-2</v>
      </c>
      <c r="BO60" s="641">
        <f t="shared" ref="BO60:BQ60" si="159">+BO23/BO$12</f>
        <v>5.363146629244836E-3</v>
      </c>
      <c r="BP60" s="191">
        <f t="shared" ref="BP60:CE60" si="160">+BP23/BP$12</f>
        <v>2.2939014544555682E-2</v>
      </c>
      <c r="BQ60" s="191">
        <f t="shared" si="159"/>
        <v>2.7155930311530962E-2</v>
      </c>
      <c r="BR60" s="191">
        <f t="shared" ref="BR60:BS60" si="161">+BR23/BR$12</f>
        <v>1.1476294169622706E-2</v>
      </c>
      <c r="BS60" s="191">
        <f t="shared" si="161"/>
        <v>1.0537784981659208E-2</v>
      </c>
      <c r="BT60" s="191"/>
      <c r="BU60" s="191">
        <f t="shared" si="160"/>
        <v>1.7018576639327921E-2</v>
      </c>
      <c r="BV60" s="191">
        <f t="shared" si="160"/>
        <v>1.3163338994748138E-2</v>
      </c>
      <c r="BW60" s="191">
        <f t="shared" si="160"/>
        <v>1.2077983025898938E-2</v>
      </c>
      <c r="BX60" s="191">
        <f t="shared" si="160"/>
        <v>0</v>
      </c>
      <c r="BY60" s="191">
        <f t="shared" si="160"/>
        <v>0</v>
      </c>
      <c r="BZ60" s="191">
        <f t="shared" si="160"/>
        <v>0</v>
      </c>
      <c r="CA60" s="191">
        <f t="shared" si="160"/>
        <v>0</v>
      </c>
      <c r="CB60" s="191">
        <f t="shared" si="160"/>
        <v>0</v>
      </c>
      <c r="CC60" s="191">
        <f t="shared" si="160"/>
        <v>0</v>
      </c>
      <c r="CD60" s="191">
        <f t="shared" si="160"/>
        <v>0</v>
      </c>
      <c r="CE60" s="191">
        <f t="shared" si="160"/>
        <v>0</v>
      </c>
      <c r="CF60" s="269"/>
      <c r="CG60" s="769"/>
      <c r="CH60" s="269"/>
      <c r="CI60" s="269"/>
      <c r="CJ60" s="269"/>
      <c r="CK60" s="269"/>
      <c r="CL60" s="269"/>
      <c r="CM60" s="269"/>
      <c r="CN60" s="269"/>
      <c r="CO60" s="269"/>
      <c r="CP60" s="269"/>
      <c r="CQ60" s="269"/>
      <c r="CR60" s="269"/>
      <c r="CS60" s="593"/>
      <c r="CT60" s="593"/>
      <c r="CU60" s="593"/>
      <c r="CV60" s="269"/>
      <c r="CW60" s="269"/>
      <c r="CX60" s="213"/>
      <c r="CY60" s="213"/>
      <c r="CZ60" s="269"/>
      <c r="DA60" s="269"/>
      <c r="DB60" s="269"/>
      <c r="DC60" s="269"/>
      <c r="DD60" s="269"/>
    </row>
    <row r="61" spans="1:108" s="194" customFormat="1" ht="15">
      <c r="A61" s="40" t="s">
        <v>170</v>
      </c>
      <c r="B61" s="40"/>
      <c r="C61" s="192">
        <f t="shared" ref="C61:AU61" si="162">+C19/C$12</f>
        <v>1.2339769990071194E-2</v>
      </c>
      <c r="D61" s="192">
        <f t="shared" si="162"/>
        <v>6.0585173485027628E-2</v>
      </c>
      <c r="E61" s="192">
        <f t="shared" si="162"/>
        <v>-4.5539146142116139E-3</v>
      </c>
      <c r="F61" s="192">
        <f t="shared" si="162"/>
        <v>-2.3880620343634112E-2</v>
      </c>
      <c r="G61" s="192">
        <f t="shared" si="162"/>
        <v>8.4488320547747666E-4</v>
      </c>
      <c r="H61" s="192">
        <f t="shared" si="162"/>
        <v>5.6950976475859021E-3</v>
      </c>
      <c r="I61" s="192">
        <f t="shared" si="162"/>
        <v>6.2157271884198222E-3</v>
      </c>
      <c r="J61" s="192">
        <f t="shared" si="162"/>
        <v>2.0952284754517025E-3</v>
      </c>
      <c r="K61" s="192" t="e">
        <f t="shared" si="162"/>
        <v>#DIV/0!</v>
      </c>
      <c r="L61" s="192">
        <f t="shared" si="162"/>
        <v>8.0654999114178703E-3</v>
      </c>
      <c r="M61" s="192">
        <f t="shared" si="162"/>
        <v>6.2536639298183209E-3</v>
      </c>
      <c r="N61" s="192">
        <f t="shared" si="162"/>
        <v>1.4570016132469547E-2</v>
      </c>
      <c r="O61" s="192">
        <f t="shared" si="162"/>
        <v>1.9712024358065423E-2</v>
      </c>
      <c r="P61" s="192">
        <f t="shared" si="162"/>
        <v>1.447136367129969E-2</v>
      </c>
      <c r="Q61" s="192">
        <f t="shared" si="162"/>
        <v>1.5287343755694035E-2</v>
      </c>
      <c r="R61" s="192">
        <f t="shared" si="162"/>
        <v>1.5899788706784563E-2</v>
      </c>
      <c r="S61" s="192" t="e">
        <f t="shared" si="162"/>
        <v>#DIV/0!</v>
      </c>
      <c r="T61" s="192" t="e">
        <f t="shared" si="162"/>
        <v>#DIV/0!</v>
      </c>
      <c r="U61" s="192" t="e">
        <f t="shared" si="162"/>
        <v>#DIV/0!</v>
      </c>
      <c r="V61" s="192" t="e">
        <f t="shared" si="162"/>
        <v>#DIV/0!</v>
      </c>
      <c r="W61" s="192">
        <f t="shared" si="162"/>
        <v>1.7763980331694306E-2</v>
      </c>
      <c r="X61" s="192">
        <f t="shared" si="162"/>
        <v>2.0360349491072783E-2</v>
      </c>
      <c r="Y61" s="192">
        <f t="shared" si="162"/>
        <v>2.9555230979107061E-2</v>
      </c>
      <c r="Z61" s="192">
        <f t="shared" si="162"/>
        <v>2.1691268477757E-2</v>
      </c>
      <c r="AA61" s="192">
        <f t="shared" si="162"/>
        <v>2.4726798101112602E-2</v>
      </c>
      <c r="AB61" s="192">
        <f t="shared" si="162"/>
        <v>2.4114891715525982E-2</v>
      </c>
      <c r="AC61" s="192">
        <f t="shared" si="162"/>
        <v>2.0817556110157044E-2</v>
      </c>
      <c r="AD61" s="192">
        <f>+AD19/AD$12</f>
        <v>3.1330991105736554E-2</v>
      </c>
      <c r="AE61" s="192">
        <f>+AE19/AE$12</f>
        <v>1.8525574845073105E-2</v>
      </c>
      <c r="AF61" s="192">
        <f>+AF19/AF$12</f>
        <v>1.7440416390173009E-2</v>
      </c>
      <c r="AG61" s="192">
        <f t="shared" si="162"/>
        <v>2.17001771910353E-2</v>
      </c>
      <c r="AH61" s="192">
        <f>+AH19/AH$12</f>
        <v>7.8269447689687764E-3</v>
      </c>
      <c r="AI61" s="192">
        <f>+AI19/AI$12</f>
        <v>1.365887038786249E-3</v>
      </c>
      <c r="AJ61" s="192">
        <f>+AJ19/AJ$12</f>
        <v>-9.7214465580758986E-4</v>
      </c>
      <c r="AK61" s="192">
        <f>+AK19/AK$12</f>
        <v>0.13735688390892953</v>
      </c>
      <c r="AL61" s="192">
        <f t="shared" si="162"/>
        <v>4.6755036720243205E-2</v>
      </c>
      <c r="AM61" s="192">
        <f t="shared" ref="AM61:AS61" si="163">+AM19/AM$12</f>
        <v>1.4059010031742284E-3</v>
      </c>
      <c r="AN61" s="192">
        <f t="shared" si="163"/>
        <v>8.7794556612344043E-3</v>
      </c>
      <c r="AO61" s="192">
        <f t="shared" si="163"/>
        <v>4.6213236751983196E-2</v>
      </c>
      <c r="AP61" s="192">
        <f t="shared" si="163"/>
        <v>8.2126786565799553E-2</v>
      </c>
      <c r="AQ61" s="192">
        <f t="shared" si="163"/>
        <v>5.8389374020322064E-2</v>
      </c>
      <c r="AR61" s="192">
        <f t="shared" si="163"/>
        <v>2.0388044431930204E-2</v>
      </c>
      <c r="AS61" s="192">
        <f t="shared" si="163"/>
        <v>1.371301247771836E-2</v>
      </c>
      <c r="AT61" s="192"/>
      <c r="AU61" s="192">
        <f t="shared" si="162"/>
        <v>1.1207274425926112E-2</v>
      </c>
      <c r="AV61" s="642"/>
      <c r="AW61" s="642"/>
      <c r="AX61" s="642"/>
      <c r="AY61" s="642"/>
      <c r="AZ61" s="193">
        <f>+AZ19/AZ$12</f>
        <v>2.043580522746218E-3</v>
      </c>
      <c r="BA61" s="642">
        <f>+BA19/BA$12</f>
        <v>1.8754865602741189E-2</v>
      </c>
      <c r="BB61" s="642">
        <f>+BB19/BB$12</f>
        <v>2.5806303350057611E-2</v>
      </c>
      <c r="BC61" s="663">
        <f>+BC19/BC$12</f>
        <v>1.3276823357959964E-2</v>
      </c>
      <c r="BD61" s="642">
        <f>+BD19/BD$12</f>
        <v>2.8956112081730104E-2</v>
      </c>
      <c r="BE61" s="193">
        <f t="shared" ref="BE61:CE61" si="164">+BE19/BE$12</f>
        <v>2.1823015598400566E-2</v>
      </c>
      <c r="BF61" s="642">
        <f>+BF19/BF$12</f>
        <v>1.753716949056169E-2</v>
      </c>
      <c r="BG61" s="642">
        <f>+BG19/BG$12</f>
        <v>3.0008654549401412E-2</v>
      </c>
      <c r="BH61" s="642">
        <f>+BH19/BH$12</f>
        <v>2.0279339034837619E-2</v>
      </c>
      <c r="BI61" s="642">
        <f>+BI19/BI$12</f>
        <v>1.9512596054093386E-2</v>
      </c>
      <c r="BJ61" s="193">
        <f t="shared" si="164"/>
        <v>2.1865775477562063E-2</v>
      </c>
      <c r="BK61" s="642">
        <f>+BK19/BK$12</f>
        <v>2.9401068281861193E-2</v>
      </c>
      <c r="BL61" s="642">
        <f>+BL19/BL$12</f>
        <v>2.7584801081056324E-2</v>
      </c>
      <c r="BM61" s="642">
        <f>+BM19/BM$12</f>
        <v>-6.0802127151207584E-3</v>
      </c>
      <c r="BN61" s="642">
        <f>+BN19/BN$12</f>
        <v>2.5999999999999999E-2</v>
      </c>
      <c r="BO61" s="642">
        <f>+BO19/BO$12</f>
        <v>3.0241423052520089E-2</v>
      </c>
      <c r="BP61" s="193">
        <f t="shared" si="164"/>
        <v>1.9543932338875726E-2</v>
      </c>
      <c r="BQ61" s="191">
        <f>+BQ19/BQ$12</f>
        <v>2.8999999999999998E-2</v>
      </c>
      <c r="BR61" s="191">
        <f>+BR19/BR$12</f>
        <v>3.8890862928876911E-2</v>
      </c>
      <c r="BS61" s="191">
        <f>+BS19/BS$12</f>
        <v>2.9000000000000001E-2</v>
      </c>
      <c r="BT61" s="193"/>
      <c r="BU61" s="193">
        <f t="shared" si="164"/>
        <v>2.1999999999999999E-2</v>
      </c>
      <c r="BV61" s="193">
        <f t="shared" si="164"/>
        <v>2.1999999999999999E-2</v>
      </c>
      <c r="BW61" s="193">
        <f t="shared" si="164"/>
        <v>2.2000000000000002E-2</v>
      </c>
      <c r="BX61" s="193">
        <f t="shared" si="164"/>
        <v>2.1955258492520686E-2</v>
      </c>
      <c r="BY61" s="193">
        <f t="shared" si="164"/>
        <v>2.2212624844819839E-2</v>
      </c>
      <c r="BZ61" s="193">
        <f t="shared" si="164"/>
        <v>2.2212624844819839E-2</v>
      </c>
      <c r="CA61" s="193">
        <f t="shared" si="164"/>
        <v>2.2257366352299152E-2</v>
      </c>
      <c r="CB61" s="193">
        <f t="shared" si="164"/>
        <v>2.2000000000000002E-2</v>
      </c>
      <c r="CC61" s="193">
        <f t="shared" si="164"/>
        <v>2.1985086164173561E-2</v>
      </c>
      <c r="CD61" s="193">
        <f t="shared" si="164"/>
        <v>2.2055961112446842E-2</v>
      </c>
      <c r="CE61" s="193">
        <f t="shared" si="164"/>
        <v>2.212683606072012E-2</v>
      </c>
      <c r="CF61" s="747"/>
      <c r="CG61" s="771"/>
      <c r="CH61" s="747"/>
      <c r="CI61" s="747"/>
      <c r="CJ61" s="747"/>
      <c r="CK61" s="747"/>
      <c r="CL61" s="747"/>
      <c r="CM61" s="747"/>
      <c r="CN61" s="747"/>
      <c r="CO61" s="747"/>
      <c r="CP61" s="747"/>
      <c r="CQ61" s="747"/>
      <c r="CR61" s="593"/>
      <c r="CS61" s="593"/>
      <c r="CT61" s="593"/>
      <c r="CU61" s="593"/>
      <c r="CV61" s="768"/>
      <c r="CW61" s="768"/>
      <c r="CX61" s="768"/>
      <c r="CY61" s="768"/>
      <c r="CZ61" s="747"/>
      <c r="DA61" s="747"/>
      <c r="DB61" s="747"/>
      <c r="DC61" s="747"/>
      <c r="DD61" s="747"/>
    </row>
    <row r="62" spans="1:108" s="141" customFormat="1">
      <c r="A62" s="189" t="s">
        <v>171</v>
      </c>
      <c r="B62" s="189"/>
      <c r="C62" s="195" t="e">
        <f>+C25/C$12</f>
        <v>#REF!</v>
      </c>
      <c r="D62" s="195" t="e">
        <f t="shared" ref="D62:R62" si="165">+D25/D$12</f>
        <v>#REF!</v>
      </c>
      <c r="E62" s="195" t="e">
        <f t="shared" si="165"/>
        <v>#REF!</v>
      </c>
      <c r="F62" s="195">
        <f t="shared" si="165"/>
        <v>-2.9036219331610231E-2</v>
      </c>
      <c r="G62" s="195" t="e">
        <f t="shared" si="165"/>
        <v>#REF!</v>
      </c>
      <c r="H62" s="195">
        <f t="shared" si="165"/>
        <v>0.10820575181689158</v>
      </c>
      <c r="I62" s="195">
        <f t="shared" si="165"/>
        <v>0.11810196665457028</v>
      </c>
      <c r="J62" s="195">
        <f t="shared" si="165"/>
        <v>3.9801151215437446E-2</v>
      </c>
      <c r="K62" s="195" t="e">
        <f t="shared" si="165"/>
        <v>#REF!</v>
      </c>
      <c r="L62" s="195" t="e">
        <f t="shared" si="165"/>
        <v>#REF!</v>
      </c>
      <c r="M62" s="195" t="e">
        <f t="shared" si="165"/>
        <v>#REF!</v>
      </c>
      <c r="N62" s="195">
        <f t="shared" si="165"/>
        <v>0.27683914017581196</v>
      </c>
      <c r="O62" s="195">
        <f t="shared" si="165"/>
        <v>0.36595115623067276</v>
      </c>
      <c r="P62" s="195">
        <f t="shared" si="165"/>
        <v>0.27861919114912992</v>
      </c>
      <c r="Q62" s="195">
        <f t="shared" si="165"/>
        <v>0.24821044630818306</v>
      </c>
      <c r="R62" s="195">
        <f t="shared" si="165"/>
        <v>0.28856178446443714</v>
      </c>
      <c r="S62" s="195" t="e">
        <f t="shared" ref="S62:AK62" si="166">+S25/S$12</f>
        <v>#DIV/0!</v>
      </c>
      <c r="T62" s="195" t="e">
        <f t="shared" si="166"/>
        <v>#DIV/0!</v>
      </c>
      <c r="U62" s="195" t="e">
        <f t="shared" si="166"/>
        <v>#DIV/0!</v>
      </c>
      <c r="V62" s="195" t="e">
        <f t="shared" si="166"/>
        <v>#DIV/0!</v>
      </c>
      <c r="W62" s="195">
        <f t="shared" si="166"/>
        <v>0.40178935365825952</v>
      </c>
      <c r="X62" s="195">
        <f t="shared" si="166"/>
        <v>0.38683903182907831</v>
      </c>
      <c r="Y62" s="195">
        <f t="shared" si="166"/>
        <v>0.47910949797699331</v>
      </c>
      <c r="Z62" s="195">
        <f t="shared" si="166"/>
        <v>0.41213040526199635</v>
      </c>
      <c r="AA62" s="195">
        <f t="shared" si="166"/>
        <v>0.4551582581602685</v>
      </c>
      <c r="AB62" s="195">
        <f t="shared" si="166"/>
        <v>0.43467214871415527</v>
      </c>
      <c r="AC62" s="195">
        <f t="shared" si="166"/>
        <v>0.33390631342984267</v>
      </c>
      <c r="AD62" s="195">
        <f t="shared" si="166"/>
        <v>0.29414180733150641</v>
      </c>
      <c r="AE62" s="195">
        <f t="shared" si="166"/>
        <v>0.23485681330762156</v>
      </c>
      <c r="AF62" s="195">
        <f t="shared" si="166"/>
        <v>0.21066715601409192</v>
      </c>
      <c r="AG62" s="195">
        <f t="shared" si="166"/>
        <v>0.27020799501528514</v>
      </c>
      <c r="AH62" s="195">
        <f t="shared" si="166"/>
        <v>4.9373920543009694E-2</v>
      </c>
      <c r="AI62" s="195">
        <f t="shared" si="166"/>
        <v>-7.5052345487166394E-3</v>
      </c>
      <c r="AJ62" s="195">
        <f t="shared" si="166"/>
        <v>-1.3426236639412207E-2</v>
      </c>
      <c r="AK62" s="195">
        <f t="shared" si="166"/>
        <v>-7.1698368553234679E-2</v>
      </c>
      <c r="AL62" s="195">
        <f t="shared" ref="AL62:AS62" si="167">+AL25/AL$12</f>
        <v>-2.0161504149607698E-2</v>
      </c>
      <c r="AM62" s="195">
        <f t="shared" si="167"/>
        <v>-7.9920791841808822E-2</v>
      </c>
      <c r="AN62" s="195">
        <f t="shared" si="167"/>
        <v>2.3337180414186913E-2</v>
      </c>
      <c r="AO62" s="195">
        <f t="shared" si="167"/>
        <v>3.6563372206750752E-2</v>
      </c>
      <c r="AP62" s="195">
        <f t="shared" si="167"/>
        <v>-0.86160486692497096</v>
      </c>
      <c r="AQ62" s="195">
        <f t="shared" si="167"/>
        <v>4.3069929663370685E-2</v>
      </c>
      <c r="AR62" s="195">
        <f t="shared" si="167"/>
        <v>0.10666311273941374</v>
      </c>
      <c r="AS62" s="195">
        <f t="shared" si="167"/>
        <v>-4.1259655377302367E-3</v>
      </c>
      <c r="AT62" s="195"/>
      <c r="AU62" s="195">
        <f>+AU25/AU$12</f>
        <v>5.6235548072803482E-2</v>
      </c>
      <c r="AV62" s="643"/>
      <c r="AW62" s="643"/>
      <c r="AX62" s="643"/>
      <c r="AY62" s="643"/>
      <c r="AZ62" s="196">
        <f t="shared" ref="AZ62:BU62" si="168">+AZ25/AZ$12</f>
        <v>3.2361823349247885E-2</v>
      </c>
      <c r="BA62" s="643">
        <f t="shared" si="168"/>
        <v>0.11031438009297542</v>
      </c>
      <c r="BB62" s="643">
        <f t="shared" si="168"/>
        <v>0.19268104370331246</v>
      </c>
      <c r="BC62" s="808">
        <f t="shared" si="168"/>
        <v>0.18870991064711376</v>
      </c>
      <c r="BD62" s="643">
        <f t="shared" si="168"/>
        <v>0.20443061241219598</v>
      </c>
      <c r="BE62" s="196">
        <f t="shared" si="168"/>
        <v>0.17657917024566558</v>
      </c>
      <c r="BF62" s="643">
        <f t="shared" si="168"/>
        <v>0.25771079451648082</v>
      </c>
      <c r="BG62" s="643">
        <f t="shared" si="168"/>
        <v>0.32608530922582352</v>
      </c>
      <c r="BH62" s="643">
        <f t="shared" si="168"/>
        <v>0.26557918179206008</v>
      </c>
      <c r="BI62" s="643">
        <f t="shared" si="168"/>
        <v>0.26862462958378874</v>
      </c>
      <c r="BJ62" s="196">
        <f t="shared" si="168"/>
        <v>0.28479208718087268</v>
      </c>
      <c r="BK62" s="643">
        <f t="shared" ref="BK62:BN62" si="169">+BK25/BK$12</f>
        <v>0.26413165671148969</v>
      </c>
      <c r="BL62" s="643">
        <f t="shared" si="169"/>
        <v>0.29605628211294577</v>
      </c>
      <c r="BM62" s="643">
        <f t="shared" si="169"/>
        <v>0.24382937197421081</v>
      </c>
      <c r="BN62" s="643">
        <f t="shared" si="169"/>
        <v>0.34399315318859863</v>
      </c>
      <c r="BO62" s="643">
        <f t="shared" ref="BO62:BQ62" si="170">+BO25/BO$12</f>
        <v>0.37626969443716796</v>
      </c>
      <c r="BP62" s="196">
        <f t="shared" si="168"/>
        <v>0.29580462796489954</v>
      </c>
      <c r="BQ62" s="191">
        <f t="shared" ca="1" si="170"/>
        <v>0.28852932383970142</v>
      </c>
      <c r="BR62" s="191">
        <f t="shared" ref="BR62:BS62" si="171">+BR25/BR$12</f>
        <v>0.28250749155345095</v>
      </c>
      <c r="BS62" s="191">
        <f t="shared" ca="1" si="171"/>
        <v>0.3522063674846882</v>
      </c>
      <c r="BT62" s="196"/>
      <c r="BU62" s="196">
        <f t="shared" si="168"/>
        <v>0.34038048991485292</v>
      </c>
      <c r="BV62" s="196">
        <f t="shared" ref="BV62:CE62" si="172">+BV25/BV$12</f>
        <v>0.34965041941066505</v>
      </c>
      <c r="BW62" s="196">
        <f t="shared" si="172"/>
        <v>0.34362429271037465</v>
      </c>
      <c r="BX62" s="196">
        <f t="shared" si="172"/>
        <v>0.34612015004747076</v>
      </c>
      <c r="BY62" s="196">
        <f t="shared" si="172"/>
        <v>0.33084671123638171</v>
      </c>
      <c r="BZ62" s="196">
        <f t="shared" si="172"/>
        <v>0.3226028972081123</v>
      </c>
      <c r="CA62" s="196">
        <f t="shared" si="172"/>
        <v>0.31542503462718319</v>
      </c>
      <c r="CB62" s="196">
        <f t="shared" si="172"/>
        <v>0.30991661576527962</v>
      </c>
      <c r="CC62" s="196">
        <f t="shared" si="172"/>
        <v>0.3057656517513786</v>
      </c>
      <c r="CD62" s="196">
        <f t="shared" si="172"/>
        <v>0.30331641941525611</v>
      </c>
      <c r="CE62" s="196">
        <f t="shared" si="172"/>
        <v>0.3491714940793475</v>
      </c>
      <c r="CF62" s="588"/>
      <c r="CG62" s="772"/>
      <c r="CH62" s="588"/>
      <c r="CI62" s="588"/>
      <c r="CJ62" s="588"/>
      <c r="CK62" s="588"/>
      <c r="CL62" s="588"/>
      <c r="CM62" s="588"/>
      <c r="CN62" s="588"/>
      <c r="CO62" s="588"/>
      <c r="CP62" s="588"/>
      <c r="CQ62" s="588"/>
      <c r="CR62" s="269"/>
      <c r="CS62" s="593"/>
      <c r="CT62" s="593"/>
      <c r="CU62" s="593"/>
      <c r="CV62" s="269"/>
      <c r="CW62" s="269"/>
      <c r="CX62" s="269"/>
      <c r="CY62" s="269"/>
      <c r="CZ62" s="588"/>
      <c r="DA62" s="588"/>
      <c r="DB62" s="588"/>
      <c r="DC62" s="588"/>
      <c r="DD62" s="588"/>
    </row>
    <row r="63" spans="1:108" s="194" customFormat="1" ht="15">
      <c r="A63" s="40" t="s">
        <v>172</v>
      </c>
      <c r="B63" s="40"/>
      <c r="C63" s="192">
        <f>+C29/C$12</f>
        <v>8.9915805502250677E-3</v>
      </c>
      <c r="D63" s="192">
        <f t="shared" ref="D63:R63" si="173">+D29/D$12</f>
        <v>9.4577568860912519E-3</v>
      </c>
      <c r="E63" s="192">
        <f t="shared" si="173"/>
        <v>1.1899209403959797E-3</v>
      </c>
      <c r="F63" s="192">
        <f t="shared" si="173"/>
        <v>5.3499575605144923E-3</v>
      </c>
      <c r="G63" s="192">
        <f t="shared" si="173"/>
        <v>5.1727543192498565E-3</v>
      </c>
      <c r="H63" s="192">
        <f t="shared" si="173"/>
        <v>5.2621628202779765E-3</v>
      </c>
      <c r="I63" s="192">
        <f t="shared" si="173"/>
        <v>7.1191685819120207E-3</v>
      </c>
      <c r="J63" s="192">
        <f t="shared" si="173"/>
        <v>6.4153575469856694E-3</v>
      </c>
      <c r="K63" s="192" t="e">
        <f t="shared" si="173"/>
        <v>#DIV/0!</v>
      </c>
      <c r="L63" s="192">
        <f t="shared" si="173"/>
        <v>6.8969054878245915E-3</v>
      </c>
      <c r="M63" s="192">
        <f t="shared" si="173"/>
        <v>-4.2808069235155261E-2</v>
      </c>
      <c r="N63" s="192">
        <f t="shared" si="173"/>
        <v>5.349884665541111E-3</v>
      </c>
      <c r="O63" s="192">
        <f t="shared" si="173"/>
        <v>0.16042417751497143</v>
      </c>
      <c r="P63" s="192">
        <f t="shared" si="173"/>
        <v>0.1037600825926103</v>
      </c>
      <c r="Q63" s="192">
        <f t="shared" si="173"/>
        <v>7.1948301203794834E-2</v>
      </c>
      <c r="R63" s="192">
        <f t="shared" si="173"/>
        <v>8.3940891469873477E-2</v>
      </c>
      <c r="S63" s="192" t="e">
        <f t="shared" ref="S63:V64" si="174">+S29/S$12</f>
        <v>#DIV/0!</v>
      </c>
      <c r="T63" s="192" t="e">
        <f t="shared" si="174"/>
        <v>#DIV/0!</v>
      </c>
      <c r="U63" s="192" t="e">
        <f t="shared" si="174"/>
        <v>#DIV/0!</v>
      </c>
      <c r="V63" s="192" t="e">
        <f t="shared" si="174"/>
        <v>#DIV/0!</v>
      </c>
      <c r="W63" s="192">
        <f t="shared" ref="W63:Z64" si="175">+W29/W$12</f>
        <v>8.3187424709634888E-2</v>
      </c>
      <c r="X63" s="192">
        <f t="shared" si="175"/>
        <v>0.11141019767429854</v>
      </c>
      <c r="Y63" s="192">
        <f t="shared" si="175"/>
        <v>0.1402646832482268</v>
      </c>
      <c r="Z63" s="192">
        <f t="shared" si="175"/>
        <v>0.11404230335886262</v>
      </c>
      <c r="AA63" s="192">
        <f t="shared" ref="AA63:AC64" si="176">+AA29/AA$12</f>
        <v>0.14739660852815178</v>
      </c>
      <c r="AB63" s="192">
        <f t="shared" si="176"/>
        <v>0.12947729699528573</v>
      </c>
      <c r="AC63" s="192">
        <f t="shared" si="176"/>
        <v>7.012033122573956E-2</v>
      </c>
      <c r="AD63" s="192">
        <f t="shared" ref="AD63:AF64" si="177">+AD29/AD$12</f>
        <v>2.3812726739318658E-2</v>
      </c>
      <c r="AE63" s="192">
        <f t="shared" si="177"/>
        <v>4.1901706706075292E-2</v>
      </c>
      <c r="AF63" s="192">
        <f t="shared" si="177"/>
        <v>-8.0383964727442136E-2</v>
      </c>
      <c r="AG63" s="192">
        <f>+AG29/AG$12</f>
        <v>1.5265689195241156E-2</v>
      </c>
      <c r="AH63" s="192">
        <f>+AH29/AH$12</f>
        <v>-7.0601468845141666E-2</v>
      </c>
      <c r="AI63" s="192">
        <f t="shared" ref="AI63:AK64" si="178">+AI29/AI$12</f>
        <v>-3.1712367437129421E-2</v>
      </c>
      <c r="AJ63" s="192">
        <f t="shared" si="178"/>
        <v>-5.8311324702858595E-2</v>
      </c>
      <c r="AK63" s="192">
        <f t="shared" si="178"/>
        <v>6.0132003432985012E-2</v>
      </c>
      <c r="AL63" s="192">
        <f t="shared" ref="AL63:AP64" si="179">+AL29/AL$12</f>
        <v>-1.5884626670296213E-2</v>
      </c>
      <c r="AM63" s="192">
        <f t="shared" si="179"/>
        <v>-4.1038107340933529E-2</v>
      </c>
      <c r="AN63" s="192">
        <f t="shared" si="179"/>
        <v>-4.519161243673174E-2</v>
      </c>
      <c r="AO63" s="192">
        <f t="shared" si="179"/>
        <v>-6.4243818138599619E-3</v>
      </c>
      <c r="AP63" s="192">
        <f t="shared" si="179"/>
        <v>-0.30156170342373984</v>
      </c>
      <c r="AQ63" s="192">
        <f t="shared" ref="AQ63:AS64" si="180">+AQ29/AQ$12</f>
        <v>1.3932588099021419E-2</v>
      </c>
      <c r="AR63" s="192">
        <f t="shared" si="180"/>
        <v>-2.064653166533939E-2</v>
      </c>
      <c r="AS63" s="192">
        <f t="shared" si="180"/>
        <v>2.9679144385026741E-2</v>
      </c>
      <c r="AT63" s="192"/>
      <c r="AU63" s="192">
        <f>+AU29/AU$12</f>
        <v>7.4342209602256005E-3</v>
      </c>
      <c r="AV63" s="642"/>
      <c r="AW63" s="642"/>
      <c r="AX63" s="642"/>
      <c r="AY63" s="642"/>
      <c r="AZ63" s="193">
        <f t="shared" ref="AZ63:BJ63" si="181">+AZ29/AZ$12</f>
        <v>2.3159089976863032E-2</v>
      </c>
      <c r="BA63" s="642">
        <f t="shared" si="181"/>
        <v>4.7863871416995205E-2</v>
      </c>
      <c r="BB63" s="642">
        <f t="shared" si="181"/>
        <v>2.1360331606749283E-2</v>
      </c>
      <c r="BC63" s="663">
        <f t="shared" si="181"/>
        <v>5.6743813966877658E-2</v>
      </c>
      <c r="BD63" s="642">
        <f t="shared" si="181"/>
        <v>-0.10381511971062463</v>
      </c>
      <c r="BE63" s="193">
        <f t="shared" si="181"/>
        <v>2.424939279567499E-3</v>
      </c>
      <c r="BF63" s="642">
        <f t="shared" si="181"/>
        <v>1.2751875285791478E-2</v>
      </c>
      <c r="BG63" s="642">
        <f t="shared" si="181"/>
        <v>7.8360887821346981E-2</v>
      </c>
      <c r="BH63" s="642">
        <f t="shared" si="181"/>
        <v>5.492079822751425E-2</v>
      </c>
      <c r="BI63" s="642">
        <f t="shared" si="181"/>
        <v>0.1018241048333728</v>
      </c>
      <c r="BJ63" s="193">
        <f t="shared" si="181"/>
        <v>6.3962669014402201E-2</v>
      </c>
      <c r="BK63" s="642">
        <f t="shared" ref="BK63:BN63" si="182">+BK29/BK$12</f>
        <v>8.182217748224184E-2</v>
      </c>
      <c r="BL63" s="642">
        <f t="shared" si="182"/>
        <v>5.1472175778536147E-2</v>
      </c>
      <c r="BM63" s="642">
        <f t="shared" si="182"/>
        <v>6.6854989668705816E-2</v>
      </c>
      <c r="BN63" s="642">
        <f t="shared" si="182"/>
        <v>7.753257262043356E-2</v>
      </c>
      <c r="BO63" s="642">
        <f t="shared" ref="BO63:BQ63" si="183">+BO29/BO$12</f>
        <v>8.4807378107387796E-2</v>
      </c>
      <c r="BP63" s="193">
        <f t="shared" ref="BP63:CE63" si="184">+BP29/BP$12</f>
        <v>7.1052024509062048E-2</v>
      </c>
      <c r="BQ63" s="191">
        <f t="shared" ca="1" si="183"/>
        <v>8.9444090390307429E-2</v>
      </c>
      <c r="BR63" s="191">
        <f t="shared" ref="BR63:BS63" si="185">+BR29/BR$12</f>
        <v>8.3345478698005432E-2</v>
      </c>
      <c r="BS63" s="191">
        <f t="shared" ca="1" si="185"/>
        <v>0.10918397392025334</v>
      </c>
      <c r="BT63" s="193"/>
      <c r="BU63" s="193">
        <f t="shared" si="184"/>
        <v>0.10551795187360441</v>
      </c>
      <c r="BV63" s="193">
        <f t="shared" si="184"/>
        <v>0.10839163001730616</v>
      </c>
      <c r="BW63" s="193">
        <f t="shared" si="184"/>
        <v>0.10652353074021614</v>
      </c>
      <c r="BX63" s="193">
        <f t="shared" si="184"/>
        <v>0.10729724651471594</v>
      </c>
      <c r="BY63" s="193">
        <f t="shared" si="184"/>
        <v>0.10256248048327833</v>
      </c>
      <c r="BZ63" s="193">
        <f t="shared" si="184"/>
        <v>0.10000689813451483</v>
      </c>
      <c r="CA63" s="193">
        <f t="shared" si="184"/>
        <v>9.7781760734426779E-2</v>
      </c>
      <c r="CB63" s="193">
        <f t="shared" si="184"/>
        <v>9.6074150887236684E-2</v>
      </c>
      <c r="CC63" s="193">
        <f t="shared" si="184"/>
        <v>9.4787352042927361E-2</v>
      </c>
      <c r="CD63" s="193">
        <f t="shared" si="184"/>
        <v>9.4028090018729388E-2</v>
      </c>
      <c r="CE63" s="193">
        <f t="shared" si="184"/>
        <v>0.10824316316459773</v>
      </c>
      <c r="CF63" s="747"/>
      <c r="CG63" s="771"/>
      <c r="CH63" s="747"/>
      <c r="CI63" s="747"/>
      <c r="CJ63" s="747"/>
      <c r="CK63" s="747"/>
      <c r="CL63" s="747"/>
      <c r="CM63" s="747"/>
      <c r="CN63" s="747"/>
      <c r="CO63" s="747"/>
      <c r="CP63" s="747"/>
      <c r="CQ63" s="747"/>
      <c r="CR63" s="747"/>
      <c r="CS63" s="747"/>
      <c r="CT63" s="747"/>
      <c r="CU63" s="747"/>
      <c r="CV63" s="747"/>
      <c r="CW63" s="747"/>
      <c r="CX63" s="747"/>
      <c r="CY63" s="747"/>
      <c r="CZ63" s="747"/>
      <c r="DA63" s="747"/>
      <c r="DB63" s="747"/>
      <c r="DC63" s="747"/>
      <c r="DD63" s="747"/>
    </row>
    <row r="64" spans="1:108" s="201" customFormat="1" ht="15">
      <c r="A64" s="189" t="s">
        <v>173</v>
      </c>
      <c r="B64" s="189"/>
      <c r="C64" s="199" t="e">
        <f>+C30/C$12</f>
        <v>#REF!</v>
      </c>
      <c r="D64" s="199" t="e">
        <f t="shared" ref="D64:R64" si="186">+D30/D$12</f>
        <v>#REF!</v>
      </c>
      <c r="E64" s="199" t="e">
        <f t="shared" si="186"/>
        <v>#REF!</v>
      </c>
      <c r="F64" s="199">
        <f t="shared" si="186"/>
        <v>-3.4386176892124726E-2</v>
      </c>
      <c r="G64" s="199" t="e">
        <f t="shared" si="186"/>
        <v>#REF!</v>
      </c>
      <c r="H64" s="199">
        <f t="shared" si="186"/>
        <v>0.10294358899661361</v>
      </c>
      <c r="I64" s="199">
        <f t="shared" si="186"/>
        <v>0.11098279807265826</v>
      </c>
      <c r="J64" s="199">
        <f t="shared" si="186"/>
        <v>3.3385793668451777E-2</v>
      </c>
      <c r="K64" s="199" t="e">
        <f t="shared" si="186"/>
        <v>#REF!</v>
      </c>
      <c r="L64" s="199" t="e">
        <f t="shared" si="186"/>
        <v>#REF!</v>
      </c>
      <c r="M64" s="199" t="e">
        <f t="shared" si="186"/>
        <v>#REF!</v>
      </c>
      <c r="N64" s="199">
        <f t="shared" si="186"/>
        <v>0.27148925551027087</v>
      </c>
      <c r="O64" s="199">
        <f t="shared" si="186"/>
        <v>0.20552697871570133</v>
      </c>
      <c r="P64" s="199">
        <f t="shared" si="186"/>
        <v>0.17485910855651959</v>
      </c>
      <c r="Q64" s="199">
        <f t="shared" si="186"/>
        <v>0.17626214510438823</v>
      </c>
      <c r="R64" s="199">
        <f t="shared" si="186"/>
        <v>0.20462089299456365</v>
      </c>
      <c r="S64" s="199" t="e">
        <f t="shared" si="174"/>
        <v>#DIV/0!</v>
      </c>
      <c r="T64" s="199" t="e">
        <f t="shared" si="174"/>
        <v>#DIV/0!</v>
      </c>
      <c r="U64" s="199" t="e">
        <f t="shared" si="174"/>
        <v>#DIV/0!</v>
      </c>
      <c r="V64" s="199" t="e">
        <f t="shared" si="174"/>
        <v>#DIV/0!</v>
      </c>
      <c r="W64" s="199">
        <f t="shared" si="175"/>
        <v>0.3186019289486246</v>
      </c>
      <c r="X64" s="199">
        <f t="shared" si="175"/>
        <v>0.27542883415477976</v>
      </c>
      <c r="Y64" s="199">
        <f t="shared" si="175"/>
        <v>0.33884481472876654</v>
      </c>
      <c r="Z64" s="199">
        <f t="shared" si="175"/>
        <v>0.29808810190313373</v>
      </c>
      <c r="AA64" s="199">
        <f t="shared" si="176"/>
        <v>0.30776164963211672</v>
      </c>
      <c r="AB64" s="199">
        <f t="shared" si="176"/>
        <v>0.30519485171886956</v>
      </c>
      <c r="AC64" s="199">
        <f t="shared" si="176"/>
        <v>0.2637859822041031</v>
      </c>
      <c r="AD64" s="199">
        <f t="shared" si="177"/>
        <v>0.27032908059218774</v>
      </c>
      <c r="AE64" s="199">
        <f t="shared" si="177"/>
        <v>0.19295510660154627</v>
      </c>
      <c r="AF64" s="199">
        <f t="shared" si="177"/>
        <v>0.29105112074153405</v>
      </c>
      <c r="AG64" s="199">
        <f>+AG30/AG$12</f>
        <v>0.25494230582004396</v>
      </c>
      <c r="AH64" s="199">
        <f>+AH30/AH$12</f>
        <v>0.11997538938815136</v>
      </c>
      <c r="AI64" s="199">
        <f t="shared" si="178"/>
        <v>2.4207132888412784E-2</v>
      </c>
      <c r="AJ64" s="199">
        <f t="shared" si="178"/>
        <v>4.4885088063446384E-2</v>
      </c>
      <c r="AK64" s="199">
        <f t="shared" si="178"/>
        <v>-0.13183037198621966</v>
      </c>
      <c r="AL64" s="199">
        <f t="shared" si="179"/>
        <v>-4.2768774793114821E-3</v>
      </c>
      <c r="AM64" s="199">
        <f t="shared" si="179"/>
        <v>-3.8882684500875293E-2</v>
      </c>
      <c r="AN64" s="199">
        <f t="shared" si="179"/>
        <v>6.852879285091866E-2</v>
      </c>
      <c r="AO64" s="199">
        <f t="shared" si="179"/>
        <v>4.2987754020610718E-2</v>
      </c>
      <c r="AP64" s="199">
        <f t="shared" si="179"/>
        <v>-0.56004316350123118</v>
      </c>
      <c r="AQ64" s="199">
        <f t="shared" si="180"/>
        <v>2.9137341564349269E-2</v>
      </c>
      <c r="AR64" s="199">
        <f t="shared" si="180"/>
        <v>0.12730964440475312</v>
      </c>
      <c r="AS64" s="199">
        <f t="shared" si="180"/>
        <v>-3.3805109922756975E-2</v>
      </c>
      <c r="AT64" s="199"/>
      <c r="AU64" s="199">
        <f>+AU30/AU$12</f>
        <v>4.8801327112577883E-2</v>
      </c>
      <c r="AV64" s="644"/>
      <c r="AW64" s="644"/>
      <c r="AX64" s="644"/>
      <c r="AY64" s="644"/>
      <c r="AZ64" s="200">
        <f t="shared" ref="AZ64:BJ64" si="187">+AZ30/AZ$12</f>
        <v>9.2027333723848533E-3</v>
      </c>
      <c r="BA64" s="644">
        <f t="shared" si="187"/>
        <v>6.2450508675980218E-2</v>
      </c>
      <c r="BB64" s="644">
        <f t="shared" si="187"/>
        <v>0.17132071209656319</v>
      </c>
      <c r="BC64" s="809">
        <f t="shared" si="187"/>
        <v>0.13196609668023609</v>
      </c>
      <c r="BD64" s="644">
        <f t="shared" si="187"/>
        <v>0.32606655301031345</v>
      </c>
      <c r="BE64" s="200">
        <f t="shared" si="187"/>
        <v>0.17900410952523307</v>
      </c>
      <c r="BF64" s="644">
        <f t="shared" si="187"/>
        <v>0.24495891923068935</v>
      </c>
      <c r="BG64" s="644">
        <f t="shared" si="187"/>
        <v>0.24772442140447656</v>
      </c>
      <c r="BH64" s="644">
        <f t="shared" si="187"/>
        <v>0.21065838356454586</v>
      </c>
      <c r="BI64" s="644">
        <f t="shared" si="187"/>
        <v>0.16680052475041596</v>
      </c>
      <c r="BJ64" s="200">
        <f t="shared" si="187"/>
        <v>0.22082941816647045</v>
      </c>
      <c r="BK64" s="644">
        <f t="shared" ref="BK64:BN64" si="188">+BK30/BK$12</f>
        <v>0.18230947922924787</v>
      </c>
      <c r="BL64" s="644">
        <f t="shared" si="188"/>
        <v>0.24458410633440963</v>
      </c>
      <c r="BM64" s="644">
        <f t="shared" si="188"/>
        <v>0.176974382305505</v>
      </c>
      <c r="BN64" s="644">
        <f t="shared" si="188"/>
        <v>0.26646058056816507</v>
      </c>
      <c r="BO64" s="644">
        <f t="shared" ref="BO64:BQ64" si="189">+BO30/BO$12</f>
        <v>0.29146231632978015</v>
      </c>
      <c r="BP64" s="200">
        <f t="shared" ref="BP64:CE64" si="190">+BP30/BP$12</f>
        <v>0.2247526034558375</v>
      </c>
      <c r="BQ64" s="191">
        <f t="shared" ca="1" si="189"/>
        <v>0.19908523344939397</v>
      </c>
      <c r="BR64" s="191">
        <f t="shared" ref="BR64:BS64" si="191">+BR30/BR$12</f>
        <v>0.19916201285544552</v>
      </c>
      <c r="BS64" s="191">
        <f t="shared" ca="1" si="191"/>
        <v>0.24302239356443484</v>
      </c>
      <c r="BT64" s="200"/>
      <c r="BU64" s="200">
        <f t="shared" si="190"/>
        <v>0.23486253804124851</v>
      </c>
      <c r="BV64" s="200">
        <f t="shared" si="190"/>
        <v>0.24125878939335887</v>
      </c>
      <c r="BW64" s="200">
        <f t="shared" si="190"/>
        <v>0.2371007619701585</v>
      </c>
      <c r="BX64" s="200">
        <f t="shared" si="190"/>
        <v>0.23882290353275484</v>
      </c>
      <c r="BY64" s="200">
        <f t="shared" si="190"/>
        <v>0.22828423075310342</v>
      </c>
      <c r="BZ64" s="200">
        <f t="shared" si="190"/>
        <v>0.22259599907359748</v>
      </c>
      <c r="CA64" s="200">
        <f t="shared" si="190"/>
        <v>0.21764327389275639</v>
      </c>
      <c r="CB64" s="200">
        <f t="shared" si="190"/>
        <v>0.21384246487804295</v>
      </c>
      <c r="CC64" s="200">
        <f t="shared" si="190"/>
        <v>0.21097829970845128</v>
      </c>
      <c r="CD64" s="200">
        <f t="shared" si="190"/>
        <v>0.2092883293965267</v>
      </c>
      <c r="CE64" s="200">
        <f t="shared" si="190"/>
        <v>0.24092833091474977</v>
      </c>
      <c r="CF64" s="776"/>
      <c r="CG64" s="775"/>
      <c r="CH64" s="776"/>
      <c r="CI64" s="776"/>
      <c r="CJ64" s="776"/>
      <c r="CK64" s="776"/>
      <c r="CL64" s="776"/>
      <c r="CM64" s="776"/>
      <c r="CN64" s="776"/>
      <c r="CO64" s="776"/>
      <c r="CP64" s="776"/>
      <c r="CQ64" s="776"/>
      <c r="CR64" s="776"/>
      <c r="CS64" s="776"/>
      <c r="CT64" s="776"/>
      <c r="CU64" s="776"/>
      <c r="CV64" s="776"/>
      <c r="CW64" s="776"/>
      <c r="CX64" s="776"/>
      <c r="CY64" s="776"/>
      <c r="CZ64" s="776"/>
      <c r="DA64" s="776"/>
      <c r="DB64" s="776"/>
      <c r="DC64" s="776"/>
      <c r="DD64" s="776"/>
    </row>
    <row r="65" spans="1:108">
      <c r="I65" s="40"/>
      <c r="J65" s="40"/>
      <c r="K65" s="40"/>
      <c r="L65" s="40"/>
      <c r="N65" s="40"/>
      <c r="O65" s="40"/>
      <c r="P65" s="40"/>
      <c r="Q65" s="40"/>
      <c r="S65" s="202"/>
      <c r="T65" s="202"/>
      <c r="U65" s="202"/>
      <c r="V65" s="202"/>
      <c r="X65" s="202"/>
      <c r="Y65" s="202"/>
      <c r="Z65" s="202"/>
      <c r="AA65" s="202"/>
      <c r="AC65" s="202"/>
      <c r="AD65" s="202"/>
      <c r="AE65" s="202"/>
      <c r="AF65" s="202"/>
      <c r="AH65" s="202"/>
      <c r="AI65" s="202"/>
      <c r="AJ65" s="202"/>
      <c r="AK65" s="202"/>
      <c r="AM65" s="202"/>
      <c r="AN65" s="202"/>
      <c r="AO65" s="202"/>
      <c r="AP65" s="202"/>
      <c r="AQ65" s="1"/>
      <c r="BK65" s="640"/>
      <c r="BL65" s="640"/>
      <c r="BM65" s="640"/>
      <c r="BN65" s="640"/>
      <c r="BO65" s="640"/>
      <c r="BV65" s="76"/>
      <c r="BW65" s="76"/>
      <c r="BX65" s="76"/>
      <c r="BY65" s="76"/>
      <c r="BZ65" s="76"/>
      <c r="CA65" s="76"/>
      <c r="CB65" s="76"/>
      <c r="CC65" s="76"/>
      <c r="CD65" s="76"/>
      <c r="CE65" s="76"/>
      <c r="CF65" s="269"/>
      <c r="CG65" s="740"/>
      <c r="CH65" s="269"/>
      <c r="CI65" s="269"/>
      <c r="CJ65" s="269"/>
      <c r="CK65" s="269"/>
      <c r="CL65" s="269"/>
      <c r="CM65" s="269"/>
      <c r="CN65" s="269"/>
      <c r="CO65" s="269"/>
      <c r="CP65" s="269"/>
      <c r="CQ65" s="269"/>
      <c r="CR65" s="269"/>
      <c r="CS65" s="269"/>
      <c r="CT65" s="269"/>
      <c r="CU65" s="269"/>
      <c r="CV65" s="269"/>
      <c r="CW65" s="269"/>
      <c r="CX65" s="269"/>
      <c r="CY65" s="269"/>
      <c r="CZ65" s="269"/>
      <c r="DA65" s="269"/>
      <c r="DB65" s="269"/>
      <c r="DC65" s="269"/>
      <c r="DD65" s="269"/>
    </row>
    <row r="66" spans="1:108">
      <c r="I66" s="40"/>
      <c r="J66" s="40"/>
      <c r="K66" s="40"/>
      <c r="L66" s="40"/>
      <c r="N66" s="40"/>
      <c r="O66" s="40"/>
      <c r="P66" s="40"/>
      <c r="Q66" s="40"/>
      <c r="S66" s="202"/>
      <c r="T66" s="202"/>
      <c r="U66" s="202"/>
      <c r="V66" s="202"/>
      <c r="X66" s="202"/>
      <c r="Y66" s="202"/>
      <c r="Z66" s="202"/>
      <c r="AA66" s="202"/>
      <c r="AC66" s="202"/>
      <c r="AD66" s="202"/>
      <c r="AE66" s="202"/>
      <c r="AF66" s="202"/>
      <c r="AH66" s="202"/>
      <c r="AI66" s="202"/>
      <c r="AJ66" s="202"/>
      <c r="AK66" s="202"/>
      <c r="AM66" s="202"/>
      <c r="AN66" s="202"/>
      <c r="AO66" s="202"/>
      <c r="AP66" s="202"/>
      <c r="AQ66" s="1"/>
      <c r="BK66" s="640"/>
      <c r="BL66" s="640"/>
      <c r="BM66" s="640"/>
      <c r="BN66" s="640"/>
      <c r="BO66" s="640"/>
      <c r="BV66" s="76"/>
      <c r="BW66" s="76"/>
      <c r="BX66" s="76"/>
      <c r="BY66" s="76"/>
      <c r="BZ66" s="76"/>
      <c r="CA66" s="76"/>
      <c r="CB66" s="76"/>
      <c r="CC66" s="76"/>
      <c r="CD66" s="76"/>
      <c r="CE66" s="76"/>
      <c r="CF66" s="269"/>
      <c r="CG66" s="740"/>
      <c r="CH66" s="269"/>
      <c r="CI66" s="269"/>
      <c r="CJ66" s="269"/>
      <c r="CK66" s="269"/>
      <c r="CL66" s="269"/>
      <c r="CM66" s="269"/>
      <c r="CN66" s="269"/>
      <c r="CO66" s="269"/>
      <c r="CP66" s="269"/>
      <c r="CQ66" s="269"/>
      <c r="CR66" s="269"/>
      <c r="CS66" s="269"/>
      <c r="CT66" s="269"/>
      <c r="CU66" s="269"/>
      <c r="CV66" s="269"/>
      <c r="CW66" s="269"/>
      <c r="CX66" s="269"/>
      <c r="CY66" s="269"/>
      <c r="CZ66" s="269"/>
      <c r="DA66" s="269"/>
      <c r="DB66" s="269"/>
      <c r="DC66" s="269"/>
      <c r="DD66" s="269"/>
    </row>
    <row r="67" spans="1:108">
      <c r="I67" s="40"/>
      <c r="J67" s="40"/>
      <c r="K67" s="40"/>
      <c r="L67" s="40"/>
      <c r="N67" s="40"/>
      <c r="O67" s="40"/>
      <c r="P67" s="40"/>
      <c r="Q67" s="40"/>
      <c r="S67" s="202"/>
      <c r="T67" s="202"/>
      <c r="U67" s="202"/>
      <c r="V67" s="202"/>
      <c r="X67" s="202"/>
      <c r="Y67" s="202"/>
      <c r="Z67" s="202"/>
      <c r="AA67" s="202"/>
      <c r="AC67" s="202"/>
      <c r="AD67" s="202"/>
      <c r="AE67" s="202"/>
      <c r="AF67" s="202"/>
      <c r="AH67" s="202"/>
      <c r="AI67" s="202"/>
      <c r="AJ67" s="202"/>
      <c r="AK67" s="202"/>
      <c r="AM67" s="202"/>
      <c r="AN67" s="202"/>
      <c r="AO67" s="202"/>
      <c r="AP67" s="202"/>
      <c r="AQ67" s="1"/>
      <c r="BK67" s="640"/>
      <c r="BL67" s="640"/>
      <c r="BM67" s="640"/>
      <c r="BN67" s="640"/>
      <c r="BO67" s="640"/>
      <c r="BV67" s="76"/>
      <c r="BW67" s="76"/>
      <c r="BX67" s="76"/>
      <c r="BY67" s="76"/>
      <c r="BZ67" s="76"/>
      <c r="CA67" s="76"/>
      <c r="CB67" s="76"/>
      <c r="CC67" s="76"/>
      <c r="CD67" s="76"/>
      <c r="CE67" s="76"/>
      <c r="CF67" s="269"/>
      <c r="CG67" s="740"/>
      <c r="CH67" s="269"/>
      <c r="CI67" s="269"/>
      <c r="CJ67" s="269"/>
      <c r="CK67" s="269"/>
      <c r="CL67" s="269"/>
      <c r="CM67" s="269"/>
      <c r="CN67" s="269"/>
      <c r="CO67" s="269"/>
      <c r="CP67" s="269"/>
      <c r="CQ67" s="269"/>
      <c r="CR67" s="269"/>
      <c r="CS67" s="269"/>
      <c r="CT67" s="269"/>
      <c r="CU67" s="269"/>
      <c r="CV67" s="269"/>
      <c r="CW67" s="269"/>
      <c r="CX67" s="269"/>
      <c r="CY67" s="269"/>
      <c r="CZ67" s="269"/>
      <c r="DA67" s="269"/>
      <c r="DB67" s="269"/>
      <c r="DC67" s="269"/>
      <c r="DD67" s="269"/>
    </row>
    <row r="68" spans="1:108">
      <c r="I68" s="40"/>
      <c r="J68" s="40"/>
      <c r="K68" s="40"/>
      <c r="L68" s="40"/>
      <c r="N68" s="40"/>
      <c r="O68" s="40"/>
      <c r="P68" s="40"/>
      <c r="Q68" s="40"/>
      <c r="S68" s="202"/>
      <c r="T68" s="202"/>
      <c r="U68" s="202"/>
      <c r="V68" s="202"/>
      <c r="X68" s="202"/>
      <c r="Y68" s="202"/>
      <c r="Z68" s="202"/>
      <c r="AA68" s="202"/>
      <c r="AC68" s="202"/>
      <c r="AD68" s="202"/>
      <c r="AE68" s="202"/>
      <c r="AF68" s="202"/>
      <c r="AH68" s="202"/>
      <c r="AI68" s="202"/>
      <c r="AJ68" s="202"/>
      <c r="AK68" s="202"/>
      <c r="AM68" s="202"/>
      <c r="AN68" s="202"/>
      <c r="AO68" s="202"/>
      <c r="AP68" s="202"/>
      <c r="AQ68" s="1"/>
      <c r="BK68" s="640"/>
      <c r="BL68" s="640"/>
      <c r="BM68" s="640"/>
      <c r="BN68" s="640"/>
      <c r="BO68" s="640"/>
      <c r="BV68" s="76"/>
      <c r="BW68" s="76"/>
      <c r="BX68" s="76"/>
      <c r="BY68" s="76"/>
      <c r="BZ68" s="76"/>
      <c r="CA68" s="76"/>
      <c r="CB68" s="76"/>
      <c r="CC68" s="76"/>
      <c r="CD68" s="76"/>
      <c r="CE68" s="76"/>
      <c r="CF68" s="269"/>
      <c r="CG68" s="740"/>
      <c r="CH68" s="269"/>
      <c r="CI68" s="269"/>
      <c r="CJ68" s="269"/>
      <c r="CK68" s="269"/>
      <c r="CL68" s="269"/>
      <c r="CM68" s="269"/>
      <c r="CN68" s="269"/>
      <c r="CO68" s="269"/>
      <c r="CP68" s="269"/>
      <c r="CQ68" s="269"/>
      <c r="CR68" s="269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69"/>
      <c r="DD68" s="269"/>
    </row>
    <row r="69" spans="1:108">
      <c r="A69" s="203" t="s">
        <v>184</v>
      </c>
      <c r="B69" s="203"/>
      <c r="C69" s="204">
        <v>0.997</v>
      </c>
      <c r="D69" s="204" t="e">
        <f>C76</f>
        <v>#REF!</v>
      </c>
      <c r="E69" s="204" t="e">
        <f>D76</f>
        <v>#REF!</v>
      </c>
      <c r="F69" s="204" t="e">
        <f>E76+0.384</f>
        <v>#REF!</v>
      </c>
      <c r="G69" s="205" t="e">
        <f>F76</f>
        <v>#REF!</v>
      </c>
      <c r="H69" s="206">
        <v>-1137.1600000000001</v>
      </c>
      <c r="I69" s="207" t="e">
        <f>D76</f>
        <v>#REF!</v>
      </c>
      <c r="J69" s="207" t="e">
        <f>E76</f>
        <v>#REF!</v>
      </c>
      <c r="K69" s="207" t="e">
        <f>F76</f>
        <v>#REF!</v>
      </c>
      <c r="L69" s="207"/>
      <c r="M69" s="206">
        <f>H76</f>
        <v>2.7079999999994016</v>
      </c>
      <c r="N69" s="208" t="e">
        <f>M76</f>
        <v>#REF!</v>
      </c>
      <c r="O69" s="208" t="e">
        <f>N76</f>
        <v>#REF!</v>
      </c>
      <c r="P69" s="208" t="e">
        <f>O76</f>
        <v>#REF!</v>
      </c>
      <c r="Q69" s="208" t="e">
        <f>P76</f>
        <v>#REF!</v>
      </c>
      <c r="R69" s="209" t="e">
        <f>M76</f>
        <v>#REF!</v>
      </c>
      <c r="S69" s="207"/>
      <c r="T69" s="207"/>
      <c r="U69" s="207"/>
      <c r="V69" s="207"/>
      <c r="W69" s="206">
        <v>251.661</v>
      </c>
      <c r="X69" s="207"/>
      <c r="Y69" s="207"/>
      <c r="Z69" s="207"/>
      <c r="AA69" s="207"/>
      <c r="AB69" s="206">
        <f>W76</f>
        <v>277.49300000000068</v>
      </c>
      <c r="AC69" s="207"/>
      <c r="AD69" s="207"/>
      <c r="AE69" s="207"/>
      <c r="AF69" s="207"/>
      <c r="AG69" s="206">
        <f>AB76</f>
        <v>2330.5570000000012</v>
      </c>
      <c r="AH69" s="207"/>
      <c r="AI69" s="207"/>
      <c r="AJ69" s="207"/>
      <c r="AK69" s="207"/>
      <c r="AL69" s="206">
        <f>AG76</f>
        <v>1757.6948750000015</v>
      </c>
      <c r="AM69" s="207"/>
      <c r="AN69" s="207"/>
      <c r="AO69" s="207">
        <f>AK76</f>
        <v>0</v>
      </c>
      <c r="AP69" s="207"/>
      <c r="AQ69" s="206">
        <f>AL76</f>
        <v>-50.846864999999184</v>
      </c>
      <c r="AR69" s="206">
        <f>AL76</f>
        <v>-50.846864999999184</v>
      </c>
      <c r="AS69" s="206">
        <f>AL76</f>
        <v>-50.846864999999184</v>
      </c>
      <c r="AT69" s="206"/>
      <c r="AU69" s="206">
        <f>AQ76</f>
        <v>474.73872560000007</v>
      </c>
      <c r="AV69" s="645"/>
      <c r="AW69" s="645"/>
      <c r="AX69" s="645"/>
      <c r="AY69" s="645"/>
      <c r="AZ69" s="210">
        <v>707.75</v>
      </c>
      <c r="BA69" s="645"/>
      <c r="BB69" s="645"/>
      <c r="BC69" s="645"/>
      <c r="BD69" s="645"/>
      <c r="BE69" s="210">
        <f>AZ76</f>
        <v>878.71100000000115</v>
      </c>
      <c r="BF69" s="645">
        <f>BA76</f>
        <v>0</v>
      </c>
      <c r="BG69" s="645"/>
      <c r="BH69" s="645"/>
      <c r="BI69" s="645"/>
      <c r="BJ69" s="210">
        <f>BE76</f>
        <v>4986.8289999999997</v>
      </c>
      <c r="BK69" s="645"/>
      <c r="BL69" s="645"/>
      <c r="BM69" s="645"/>
      <c r="BN69" s="645"/>
      <c r="BO69" s="645"/>
      <c r="BP69" s="210">
        <f>BJ76</f>
        <v>9790.4029999999966</v>
      </c>
      <c r="BQ69" s="210"/>
      <c r="BR69" s="210"/>
      <c r="BS69" s="210"/>
      <c r="BT69" s="210"/>
      <c r="BU69" s="210">
        <f>BP76</f>
        <v>14429.949999999995</v>
      </c>
      <c r="BV69" s="210">
        <f t="shared" ref="BV69:CE69" si="192">BU76</f>
        <v>19961.356150690113</v>
      </c>
      <c r="BW69" s="210">
        <f t="shared" si="192"/>
        <v>25751.39353692353</v>
      </c>
      <c r="BX69" s="210">
        <f t="shared" si="192"/>
        <v>31317.728271509721</v>
      </c>
      <c r="BY69" s="210">
        <f t="shared" si="192"/>
        <v>36844.355373783335</v>
      </c>
      <c r="BZ69" s="210">
        <f t="shared" si="192"/>
        <v>41913.862099493017</v>
      </c>
      <c r="CA69" s="210">
        <f t="shared" si="192"/>
        <v>47127.146500518371</v>
      </c>
      <c r="CB69" s="210">
        <f t="shared" si="192"/>
        <v>52509.414099818023</v>
      </c>
      <c r="CC69" s="210">
        <f t="shared" si="192"/>
        <v>58105.94349736852</v>
      </c>
      <c r="CD69" s="210">
        <f t="shared" si="192"/>
        <v>63958.597438872435</v>
      </c>
      <c r="CE69" s="210">
        <f t="shared" si="192"/>
        <v>70124.702280768397</v>
      </c>
      <c r="CF69" s="269"/>
      <c r="CG69" s="740"/>
      <c r="CH69" s="269"/>
      <c r="CI69" s="269"/>
      <c r="CJ69" s="269"/>
      <c r="CK69" s="269"/>
      <c r="CL69" s="269"/>
      <c r="CM69" s="269"/>
      <c r="CN69" s="269"/>
      <c r="CO69" s="269"/>
      <c r="CP69" s="269"/>
      <c r="CQ69" s="269"/>
      <c r="CR69" s="269"/>
      <c r="CS69" s="269"/>
      <c r="CT69" s="269"/>
      <c r="CU69" s="269"/>
      <c r="CV69" s="269"/>
      <c r="CW69" s="269"/>
      <c r="CX69" s="269"/>
      <c r="CY69" s="269"/>
      <c r="CZ69" s="269"/>
      <c r="DA69" s="269"/>
      <c r="DB69" s="269"/>
      <c r="DC69" s="269"/>
      <c r="DD69" s="269"/>
    </row>
    <row r="70" spans="1:108">
      <c r="A70" s="56" t="s">
        <v>185</v>
      </c>
      <c r="B70" s="56"/>
      <c r="C70" s="212" t="e">
        <f t="shared" ref="C70:K70" si="193">C30+C69</f>
        <v>#REF!</v>
      </c>
      <c r="D70" s="212" t="e">
        <f t="shared" si="193"/>
        <v>#REF!</v>
      </c>
      <c r="E70" s="212" t="e">
        <f t="shared" si="193"/>
        <v>#REF!</v>
      </c>
      <c r="F70" s="212" t="e">
        <f t="shared" si="193"/>
        <v>#REF!</v>
      </c>
      <c r="G70" s="213" t="e">
        <f t="shared" si="193"/>
        <v>#REF!</v>
      </c>
      <c r="H70" s="211">
        <f t="shared" si="193"/>
        <v>-857.2920000000006</v>
      </c>
      <c r="I70" s="202" t="e">
        <f t="shared" si="193"/>
        <v>#REF!</v>
      </c>
      <c r="J70" s="202" t="e">
        <f t="shared" si="193"/>
        <v>#REF!</v>
      </c>
      <c r="K70" s="202" t="e">
        <f t="shared" si="193"/>
        <v>#REF!</v>
      </c>
      <c r="L70" s="202"/>
      <c r="M70" s="211" t="e">
        <f t="shared" ref="M70:R70" si="194">M30+M69</f>
        <v>#REF!</v>
      </c>
      <c r="N70" s="214" t="e">
        <f t="shared" si="194"/>
        <v>#REF!</v>
      </c>
      <c r="O70" s="214" t="e">
        <f t="shared" si="194"/>
        <v>#REF!</v>
      </c>
      <c r="P70" s="214" t="e">
        <f t="shared" si="194"/>
        <v>#REF!</v>
      </c>
      <c r="Q70" s="214" t="e">
        <f t="shared" si="194"/>
        <v>#REF!</v>
      </c>
      <c r="R70" s="215" t="e">
        <f t="shared" si="194"/>
        <v>#REF!</v>
      </c>
      <c r="S70" s="202"/>
      <c r="T70" s="202"/>
      <c r="U70" s="202"/>
      <c r="V70" s="202"/>
      <c r="W70" s="211">
        <f>W30+W69</f>
        <v>1933.7390000000007</v>
      </c>
      <c r="X70" s="202"/>
      <c r="Y70" s="202"/>
      <c r="Z70" s="202"/>
      <c r="AA70" s="202"/>
      <c r="AB70" s="211">
        <f>AB31+AB69</f>
        <v>2695.9480000000012</v>
      </c>
      <c r="AC70" s="202"/>
      <c r="AD70" s="202"/>
      <c r="AE70" s="202"/>
      <c r="AF70" s="202"/>
      <c r="AG70" s="211">
        <f>AG31+AG69</f>
        <v>3953.0280000000012</v>
      </c>
      <c r="AH70" s="202"/>
      <c r="AI70" s="202"/>
      <c r="AJ70" s="202"/>
      <c r="AK70" s="202"/>
      <c r="AL70" s="211">
        <f>AL31+AL69</f>
        <v>1704.4648750000008</v>
      </c>
      <c r="AM70" s="202"/>
      <c r="AN70" s="202"/>
      <c r="AO70" s="202">
        <f>AO30+AO69</f>
        <v>194.04899999999986</v>
      </c>
      <c r="AP70" s="202"/>
      <c r="AQ70" s="211">
        <f>AQ30+AQ69</f>
        <v>474.73872560000007</v>
      </c>
      <c r="AR70" s="211">
        <f>AR30+AR69</f>
        <v>533.77213500000084</v>
      </c>
      <c r="AS70" s="211">
        <f>AS30+AS69</f>
        <v>-164.63486499999917</v>
      </c>
      <c r="AT70" s="211"/>
      <c r="AU70" s="211">
        <f>AU30+AU69</f>
        <v>1297.791904600002</v>
      </c>
      <c r="AV70" s="646"/>
      <c r="AW70" s="646"/>
      <c r="AX70" s="646"/>
      <c r="AY70" s="646"/>
      <c r="AZ70" s="216">
        <f>AZ30+AZ69</f>
        <v>878.71100000000115</v>
      </c>
      <c r="BA70" s="646"/>
      <c r="BB70" s="646"/>
      <c r="BC70" s="646"/>
      <c r="BD70" s="646"/>
      <c r="BE70" s="216">
        <f>BE30+BE69</f>
        <v>4986.8289999999997</v>
      </c>
      <c r="BF70" s="646">
        <f>BF30+BF69</f>
        <v>1438.8979999999999</v>
      </c>
      <c r="BG70" s="646"/>
      <c r="BH70" s="646"/>
      <c r="BI70" s="646"/>
      <c r="BJ70" s="216">
        <f>BJ30+BJ69</f>
        <v>10488.997999999996</v>
      </c>
      <c r="BK70" s="646"/>
      <c r="BL70" s="646"/>
      <c r="BM70" s="646"/>
      <c r="BN70" s="646"/>
      <c r="BO70" s="646"/>
      <c r="BP70" s="216">
        <f>BP30+BP69</f>
        <v>15755.900999999994</v>
      </c>
      <c r="BQ70" s="216"/>
      <c r="BR70" s="216"/>
      <c r="BS70" s="216"/>
      <c r="BT70" s="216"/>
      <c r="BU70" s="216">
        <f t="shared" ref="BU70:CE70" si="195">BU30+BU69</f>
        <v>21275.713750690113</v>
      </c>
      <c r="BV70" s="216">
        <f t="shared" si="195"/>
        <v>27503.87033692353</v>
      </c>
      <c r="BW70" s="216">
        <f t="shared" si="195"/>
        <v>33508.324271509722</v>
      </c>
      <c r="BX70" s="216">
        <f t="shared" si="195"/>
        <v>39473.070573783334</v>
      </c>
      <c r="BY70" s="216">
        <f t="shared" si="195"/>
        <v>44980.696499493017</v>
      </c>
      <c r="BZ70" s="216">
        <f t="shared" si="195"/>
        <v>50193.980900518371</v>
      </c>
      <c r="CA70" s="216">
        <f t="shared" si="195"/>
        <v>55576.248499818023</v>
      </c>
      <c r="CB70" s="216">
        <f t="shared" si="195"/>
        <v>61172.77789736852</v>
      </c>
      <c r="CC70" s="216">
        <f t="shared" si="195"/>
        <v>67025.431838872435</v>
      </c>
      <c r="CD70" s="216">
        <f t="shared" si="195"/>
        <v>73191.536680768404</v>
      </c>
      <c r="CE70" s="216">
        <f t="shared" si="195"/>
        <v>81215.425466127374</v>
      </c>
      <c r="CF70" s="269"/>
      <c r="CG70" s="740"/>
      <c r="CH70" s="269"/>
      <c r="CI70" s="269"/>
      <c r="CJ70" s="269"/>
      <c r="CK70" s="269"/>
      <c r="CL70" s="269"/>
      <c r="CM70" s="269"/>
      <c r="CN70" s="269"/>
      <c r="CO70" s="269"/>
      <c r="CP70" s="269"/>
      <c r="CQ70" s="269"/>
      <c r="CR70" s="269"/>
      <c r="CS70" s="269"/>
      <c r="CT70" s="269"/>
      <c r="CU70" s="269"/>
      <c r="CV70" s="269"/>
      <c r="CW70" s="269"/>
      <c r="CX70" s="269"/>
      <c r="CY70" s="269"/>
      <c r="CZ70" s="269"/>
      <c r="DA70" s="269"/>
      <c r="DB70" s="269"/>
      <c r="DC70" s="269"/>
      <c r="DD70" s="269"/>
    </row>
    <row r="71" spans="1:108">
      <c r="A71" s="56" t="s">
        <v>186</v>
      </c>
      <c r="B71" s="56"/>
      <c r="C71" s="212">
        <v>72</v>
      </c>
      <c r="D71" s="212">
        <v>0</v>
      </c>
      <c r="E71" s="212">
        <v>0</v>
      </c>
      <c r="F71" s="212">
        <v>0</v>
      </c>
      <c r="G71" s="213">
        <v>0</v>
      </c>
      <c r="H71" s="211">
        <v>-860</v>
      </c>
      <c r="I71" s="202">
        <v>0</v>
      </c>
      <c r="J71" s="202">
        <v>0</v>
      </c>
      <c r="K71" s="202">
        <v>0</v>
      </c>
      <c r="L71" s="202"/>
      <c r="M71" s="211">
        <f>290+18</f>
        <v>308</v>
      </c>
      <c r="N71" s="214">
        <v>0</v>
      </c>
      <c r="O71" s="214">
        <v>0</v>
      </c>
      <c r="P71" s="214">
        <v>0</v>
      </c>
      <c r="Q71" s="214">
        <v>0</v>
      </c>
      <c r="R71" s="211">
        <v>290</v>
      </c>
      <c r="S71" s="202"/>
      <c r="T71" s="202"/>
      <c r="U71" s="202"/>
      <c r="V71" s="202"/>
      <c r="W71" s="211">
        <v>1316</v>
      </c>
      <c r="X71" s="202"/>
      <c r="Y71" s="202"/>
      <c r="Z71" s="202"/>
      <c r="AA71" s="202"/>
      <c r="AB71" s="211"/>
      <c r="AC71" s="202"/>
      <c r="AD71" s="202"/>
      <c r="AE71" s="202"/>
      <c r="AF71" s="202"/>
      <c r="AG71" s="211">
        <v>1550</v>
      </c>
      <c r="AH71" s="202"/>
      <c r="AI71" s="202"/>
      <c r="AJ71" s="202"/>
      <c r="AK71" s="202"/>
      <c r="AL71" s="211">
        <v>1375</v>
      </c>
      <c r="AM71" s="202"/>
      <c r="AN71" s="202"/>
      <c r="AO71" s="202">
        <v>0</v>
      </c>
      <c r="AP71" s="202"/>
      <c r="AQ71" s="211">
        <v>0</v>
      </c>
      <c r="AR71" s="211">
        <v>1000</v>
      </c>
      <c r="AS71" s="211">
        <v>1000</v>
      </c>
      <c r="AT71" s="211"/>
      <c r="AU71" s="211">
        <v>0</v>
      </c>
      <c r="AV71" s="646"/>
      <c r="AW71" s="646"/>
      <c r="AX71" s="646"/>
      <c r="AY71" s="646"/>
      <c r="AZ71" s="216">
        <v>0</v>
      </c>
      <c r="BA71" s="646"/>
      <c r="BB71" s="646"/>
      <c r="BC71" s="646"/>
      <c r="BD71" s="646"/>
      <c r="BE71" s="216">
        <v>0</v>
      </c>
      <c r="BF71" s="646">
        <v>0</v>
      </c>
      <c r="BG71" s="646"/>
      <c r="BH71" s="646"/>
      <c r="BI71" s="646"/>
      <c r="BJ71" s="216">
        <v>0</v>
      </c>
      <c r="BK71" s="646"/>
      <c r="BL71" s="646"/>
      <c r="BM71" s="646"/>
      <c r="BN71" s="646"/>
      <c r="BO71" s="646"/>
      <c r="BP71" s="216">
        <v>0</v>
      </c>
      <c r="BQ71" s="216"/>
      <c r="BR71" s="216"/>
      <c r="BS71" s="216"/>
      <c r="BT71" s="216"/>
      <c r="BU71" s="216">
        <v>0</v>
      </c>
      <c r="BV71" s="216">
        <v>0</v>
      </c>
      <c r="BW71" s="216">
        <v>0</v>
      </c>
      <c r="BX71" s="216">
        <v>0</v>
      </c>
      <c r="BY71" s="216">
        <v>0</v>
      </c>
      <c r="BZ71" s="216">
        <v>0</v>
      </c>
      <c r="CA71" s="216">
        <v>0</v>
      </c>
      <c r="CB71" s="216">
        <v>0</v>
      </c>
      <c r="CC71" s="216">
        <v>0</v>
      </c>
      <c r="CD71" s="216">
        <v>0</v>
      </c>
      <c r="CE71" s="216">
        <v>0</v>
      </c>
      <c r="CF71" s="269"/>
      <c r="CG71" s="740"/>
      <c r="CH71" s="269"/>
      <c r="CI71" s="269"/>
      <c r="CJ71" s="269"/>
      <c r="CK71" s="269"/>
      <c r="CL71" s="269"/>
      <c r="CM71" s="269"/>
      <c r="CN71" s="269"/>
      <c r="CO71" s="269"/>
      <c r="CP71" s="269"/>
      <c r="CQ71" s="269"/>
      <c r="CR71" s="269"/>
      <c r="CS71" s="269"/>
      <c r="CT71" s="269"/>
      <c r="CU71" s="269"/>
      <c r="CV71" s="269"/>
      <c r="CW71" s="269"/>
      <c r="CX71" s="269"/>
      <c r="CY71" s="269"/>
      <c r="CZ71" s="269"/>
      <c r="DA71" s="269"/>
      <c r="DB71" s="269"/>
      <c r="DC71" s="269"/>
      <c r="DD71" s="269"/>
    </row>
    <row r="72" spans="1:108">
      <c r="A72" s="56" t="s">
        <v>187</v>
      </c>
      <c r="B72" s="56"/>
      <c r="C72" s="212">
        <v>0</v>
      </c>
      <c r="D72" s="212">
        <v>0</v>
      </c>
      <c r="E72" s="212">
        <v>0</v>
      </c>
      <c r="F72" s="212">
        <v>0</v>
      </c>
      <c r="G72" s="213">
        <v>0</v>
      </c>
      <c r="H72" s="211">
        <v>0</v>
      </c>
      <c r="I72" s="202">
        <v>0</v>
      </c>
      <c r="J72" s="202">
        <v>0</v>
      </c>
      <c r="K72" s="202">
        <v>0</v>
      </c>
      <c r="L72" s="202"/>
      <c r="M72" s="211">
        <f>7.07+167.631</f>
        <v>174.70099999999999</v>
      </c>
      <c r="N72" s="214">
        <f>+N36*N44</f>
        <v>0</v>
      </c>
      <c r="O72" s="214">
        <f>+O36*O44</f>
        <v>125.72295000000001</v>
      </c>
      <c r="P72" s="214">
        <f>+P36*P44</f>
        <v>0</v>
      </c>
      <c r="Q72" s="214">
        <f>+Q36*Q44</f>
        <v>125.72295000000001</v>
      </c>
      <c r="R72" s="211">
        <v>167.631</v>
      </c>
      <c r="S72" s="202"/>
      <c r="T72" s="202"/>
      <c r="U72" s="202"/>
      <c r="V72" s="202"/>
      <c r="W72" s="211">
        <v>251.446</v>
      </c>
      <c r="X72" s="202"/>
      <c r="Y72" s="202"/>
      <c r="Z72" s="202"/>
      <c r="AA72" s="202"/>
      <c r="AB72" s="211">
        <v>276.59100000000001</v>
      </c>
      <c r="AC72" s="202"/>
      <c r="AD72" s="202"/>
      <c r="AE72" s="202"/>
      <c r="AF72" s="202"/>
      <c r="AG72" s="211">
        <v>345.73099999999999</v>
      </c>
      <c r="AH72" s="202"/>
      <c r="AI72" s="202"/>
      <c r="AJ72" s="202"/>
      <c r="AK72" s="202"/>
      <c r="AL72" s="211">
        <f>+AG36*AG44</f>
        <v>380.31173999999999</v>
      </c>
      <c r="AM72" s="202"/>
      <c r="AN72" s="202"/>
      <c r="AO72" s="202">
        <f>+AK36*AK44</f>
        <v>32.454774544634653</v>
      </c>
      <c r="AP72" s="202"/>
      <c r="AQ72" s="211">
        <f>+AL36*AL44</f>
        <v>0</v>
      </c>
      <c r="AR72" s="211">
        <f>+AL36*AL44</f>
        <v>0</v>
      </c>
      <c r="AS72" s="211">
        <f>+AL36*AL44</f>
        <v>0</v>
      </c>
      <c r="AT72" s="211"/>
      <c r="AU72" s="211">
        <f>+AM36*AM44</f>
        <v>0</v>
      </c>
      <c r="AV72" s="646"/>
      <c r="AW72" s="646"/>
      <c r="AX72" s="646"/>
      <c r="AY72" s="646"/>
      <c r="AZ72" s="216">
        <f>+AU36*AU44</f>
        <v>0</v>
      </c>
      <c r="BA72" s="646"/>
      <c r="BB72" s="646"/>
      <c r="BC72" s="646"/>
      <c r="BD72" s="646"/>
      <c r="BE72" s="216">
        <f>+AZ36*AZ44</f>
        <v>0</v>
      </c>
      <c r="BF72" s="646">
        <f>+BA36*BA44</f>
        <v>0</v>
      </c>
      <c r="BG72" s="646"/>
      <c r="BH72" s="646"/>
      <c r="BI72" s="646"/>
      <c r="BJ72" s="1328">
        <v>657.17899999999997</v>
      </c>
      <c r="BK72" s="646"/>
      <c r="BL72" s="646"/>
      <c r="BM72" s="646"/>
      <c r="BN72" s="646"/>
      <c r="BO72" s="646"/>
      <c r="BP72" s="1333">
        <v>1314.357</v>
      </c>
      <c r="BQ72" s="1333"/>
      <c r="BR72" s="1333"/>
      <c r="BS72" s="1333"/>
      <c r="BT72" s="216"/>
      <c r="BU72" s="216">
        <f>+BP36*BP44</f>
        <v>1314.3575999999998</v>
      </c>
      <c r="BV72" s="216">
        <f t="shared" ref="BV72:CE72" si="196">+BU36*BU44</f>
        <v>1752.4767999999999</v>
      </c>
      <c r="BW72" s="216">
        <f t="shared" si="196"/>
        <v>2190.596</v>
      </c>
      <c r="BX72" s="216">
        <f t="shared" si="196"/>
        <v>2628.7151999999996</v>
      </c>
      <c r="BY72" s="216">
        <f t="shared" si="196"/>
        <v>3066.8343999999997</v>
      </c>
      <c r="BZ72" s="216">
        <f t="shared" si="196"/>
        <v>3066.8343999999997</v>
      </c>
      <c r="CA72" s="216">
        <f t="shared" si="196"/>
        <v>3066.8343999999997</v>
      </c>
      <c r="CB72" s="216">
        <f t="shared" si="196"/>
        <v>3066.8343999999997</v>
      </c>
      <c r="CC72" s="216">
        <f t="shared" si="196"/>
        <v>3066.8343999999997</v>
      </c>
      <c r="CD72" s="216">
        <f t="shared" si="196"/>
        <v>3066.8343999999997</v>
      </c>
      <c r="CE72" s="216">
        <f t="shared" si="196"/>
        <v>3066.8343999999997</v>
      </c>
      <c r="CF72" s="269"/>
      <c r="CG72" s="740"/>
      <c r="CH72" s="269"/>
      <c r="CI72" s="269"/>
      <c r="CJ72" s="269"/>
      <c r="CK72" s="269"/>
      <c r="CL72" s="269"/>
      <c r="CM72" s="269"/>
      <c r="CN72" s="269"/>
      <c r="CO72" s="269"/>
      <c r="CP72" s="269"/>
      <c r="CQ72" s="269"/>
      <c r="CR72" s="269"/>
      <c r="CS72" s="269"/>
      <c r="CT72" s="269"/>
      <c r="CU72" s="269"/>
      <c r="CV72" s="269"/>
      <c r="CW72" s="269"/>
      <c r="CX72" s="269"/>
      <c r="CY72" s="269"/>
      <c r="CZ72" s="269"/>
      <c r="DA72" s="269"/>
      <c r="DB72" s="269"/>
      <c r="DC72" s="269"/>
      <c r="DD72" s="269"/>
    </row>
    <row r="73" spans="1:108">
      <c r="A73" s="56" t="s">
        <v>188</v>
      </c>
      <c r="B73" s="56"/>
      <c r="C73" s="212"/>
      <c r="D73" s="212"/>
      <c r="E73" s="212"/>
      <c r="F73" s="212"/>
      <c r="G73" s="213"/>
      <c r="H73" s="211"/>
      <c r="I73" s="202"/>
      <c r="J73" s="202"/>
      <c r="K73" s="202"/>
      <c r="L73" s="202"/>
      <c r="M73" s="211"/>
      <c r="N73" s="214"/>
      <c r="O73" s="214"/>
      <c r="P73" s="214"/>
      <c r="Q73" s="214"/>
      <c r="R73" s="211">
        <v>167.631</v>
      </c>
      <c r="S73" s="202"/>
      <c r="T73" s="202"/>
      <c r="U73" s="202"/>
      <c r="V73" s="202"/>
      <c r="W73" s="211"/>
      <c r="X73" s="202"/>
      <c r="Y73" s="202"/>
      <c r="Z73" s="202"/>
      <c r="AA73" s="202"/>
      <c r="AB73" s="211"/>
      <c r="AC73" s="202"/>
      <c r="AD73" s="202"/>
      <c r="AE73" s="202"/>
      <c r="AF73" s="202"/>
      <c r="AG73" s="211">
        <f>+BS!K7*1.25*0.1</f>
        <v>230.49212500000004</v>
      </c>
      <c r="AH73" s="202"/>
      <c r="AI73" s="202"/>
      <c r="AJ73" s="202"/>
      <c r="AK73" s="202"/>
      <c r="AL73" s="211">
        <v>0</v>
      </c>
      <c r="AM73" s="202"/>
      <c r="AN73" s="202"/>
      <c r="AO73" s="202"/>
      <c r="AP73" s="202"/>
      <c r="AQ73" s="211">
        <v>0</v>
      </c>
      <c r="AR73" s="211"/>
      <c r="AS73" s="211"/>
      <c r="AT73" s="211"/>
      <c r="AU73" s="211">
        <v>0</v>
      </c>
      <c r="AV73" s="646"/>
      <c r="AW73" s="646"/>
      <c r="AX73" s="646"/>
      <c r="AY73" s="646"/>
      <c r="AZ73" s="216"/>
      <c r="BA73" s="646"/>
      <c r="BB73" s="646"/>
      <c r="BC73" s="646"/>
      <c r="BD73" s="646"/>
      <c r="BE73" s="216"/>
      <c r="BF73" s="646"/>
      <c r="BG73" s="646"/>
      <c r="BH73" s="646"/>
      <c r="BI73" s="646"/>
      <c r="BJ73" s="216">
        <f>31.107+10.309</f>
        <v>41.415999999999997</v>
      </c>
      <c r="BK73" s="646"/>
      <c r="BL73" s="646"/>
      <c r="BM73" s="646"/>
      <c r="BN73" s="646"/>
      <c r="BO73" s="646"/>
      <c r="BP73" s="216">
        <v>11.593999999999999</v>
      </c>
      <c r="BQ73" s="216"/>
      <c r="BR73" s="216"/>
      <c r="BS73" s="216"/>
      <c r="BT73" s="216"/>
      <c r="BU73" s="216"/>
      <c r="BV73" s="216"/>
      <c r="BW73" s="216"/>
      <c r="BX73" s="216"/>
      <c r="BY73" s="216"/>
      <c r="BZ73" s="216"/>
      <c r="CA73" s="216"/>
      <c r="CB73" s="216"/>
      <c r="CC73" s="216"/>
      <c r="CD73" s="216"/>
      <c r="CE73" s="216"/>
      <c r="CF73" s="269"/>
      <c r="CG73" s="740"/>
      <c r="CH73" s="269"/>
      <c r="CI73" s="269"/>
      <c r="CJ73" s="269"/>
      <c r="CK73" s="269"/>
      <c r="CL73" s="269"/>
      <c r="CM73" s="269"/>
      <c r="CN73" s="269"/>
      <c r="CO73" s="269"/>
      <c r="CP73" s="269"/>
      <c r="CQ73" s="269"/>
      <c r="CR73" s="269"/>
      <c r="CS73" s="269"/>
      <c r="CT73" s="269"/>
      <c r="CU73" s="269"/>
      <c r="CV73" s="269"/>
      <c r="CW73" s="269"/>
      <c r="CX73" s="269"/>
      <c r="CY73" s="269"/>
      <c r="CZ73" s="269"/>
      <c r="DA73" s="269"/>
      <c r="DB73" s="269"/>
      <c r="DC73" s="269"/>
      <c r="DD73" s="269"/>
    </row>
    <row r="74" spans="1:108">
      <c r="A74" s="56" t="s">
        <v>589</v>
      </c>
      <c r="B74" s="56"/>
      <c r="C74" s="212"/>
      <c r="D74" s="212"/>
      <c r="E74" s="212"/>
      <c r="F74" s="212"/>
      <c r="G74" s="213"/>
      <c r="H74" s="211"/>
      <c r="I74" s="202"/>
      <c r="J74" s="202"/>
      <c r="K74" s="202"/>
      <c r="L74" s="202"/>
      <c r="M74" s="211"/>
      <c r="N74" s="214"/>
      <c r="O74" s="214"/>
      <c r="P74" s="214"/>
      <c r="Q74" s="214"/>
      <c r="R74" s="211"/>
      <c r="S74" s="202"/>
      <c r="T74" s="202"/>
      <c r="U74" s="202"/>
      <c r="V74" s="202"/>
      <c r="W74" s="211"/>
      <c r="X74" s="202"/>
      <c r="Y74" s="202"/>
      <c r="Z74" s="202"/>
      <c r="AA74" s="202"/>
      <c r="AB74" s="211"/>
      <c r="AC74" s="202"/>
      <c r="AD74" s="202"/>
      <c r="AE74" s="202"/>
      <c r="AF74" s="202"/>
      <c r="AG74" s="211"/>
      <c r="AH74" s="202"/>
      <c r="AI74" s="202"/>
      <c r="AJ74" s="202"/>
      <c r="AK74" s="202"/>
      <c r="AL74" s="211"/>
      <c r="AM74" s="202"/>
      <c r="AN74" s="202"/>
      <c r="AO74" s="202"/>
      <c r="AP74" s="202"/>
      <c r="AQ74" s="211">
        <v>507.08199999999999</v>
      </c>
      <c r="AR74" s="211"/>
      <c r="AS74" s="211"/>
      <c r="AT74" s="211"/>
      <c r="AU74" s="211">
        <v>608.49900000000002</v>
      </c>
      <c r="AV74" s="646"/>
      <c r="AW74" s="646"/>
      <c r="AX74" s="646"/>
      <c r="AY74" s="646"/>
      <c r="AZ74" s="216"/>
      <c r="BA74" s="646"/>
      <c r="BB74" s="646"/>
      <c r="BC74" s="646"/>
      <c r="BD74" s="646"/>
      <c r="BE74" s="216"/>
      <c r="BF74" s="646"/>
      <c r="BG74" s="646"/>
      <c r="BH74" s="646"/>
      <c r="BI74" s="646"/>
      <c r="BJ74" s="216"/>
      <c r="BK74" s="646"/>
      <c r="BL74" s="646"/>
      <c r="BM74" s="646"/>
      <c r="BN74" s="646"/>
      <c r="BO74" s="646"/>
      <c r="BP74" s="216"/>
      <c r="BQ74" s="216"/>
      <c r="BR74" s="216"/>
      <c r="BS74" s="216"/>
      <c r="BT74" s="216"/>
      <c r="BU74" s="216"/>
      <c r="BV74" s="216"/>
      <c r="BW74" s="216"/>
      <c r="BX74" s="216"/>
      <c r="BY74" s="216"/>
      <c r="BZ74" s="216"/>
      <c r="CA74" s="216"/>
      <c r="CB74" s="216"/>
      <c r="CC74" s="216"/>
      <c r="CD74" s="216"/>
      <c r="CE74" s="216"/>
      <c r="CF74" s="269"/>
      <c r="CG74" s="740"/>
      <c r="CH74" s="269"/>
      <c r="CI74" s="269"/>
      <c r="CJ74" s="269"/>
      <c r="CK74" s="269"/>
      <c r="CL74" s="269"/>
      <c r="CM74" s="269"/>
      <c r="CN74" s="269"/>
      <c r="CO74" s="269"/>
      <c r="CP74" s="269"/>
      <c r="CQ74" s="269"/>
      <c r="CR74" s="269"/>
      <c r="CS74" s="269"/>
      <c r="CT74" s="269"/>
      <c r="CU74" s="269"/>
      <c r="CV74" s="269"/>
      <c r="CW74" s="269"/>
      <c r="CX74" s="269"/>
      <c r="CY74" s="269"/>
      <c r="CZ74" s="269"/>
      <c r="DA74" s="269"/>
      <c r="DB74" s="269"/>
      <c r="DC74" s="269"/>
      <c r="DD74" s="269"/>
    </row>
    <row r="75" spans="1:108">
      <c r="A75" s="56" t="s">
        <v>189</v>
      </c>
      <c r="B75" s="56"/>
      <c r="C75" s="212"/>
      <c r="D75" s="212"/>
      <c r="E75" s="212"/>
      <c r="F75" s="212"/>
      <c r="G75" s="213"/>
      <c r="H75" s="211"/>
      <c r="I75" s="202"/>
      <c r="J75" s="202"/>
      <c r="K75" s="202"/>
      <c r="L75" s="202"/>
      <c r="M75" s="211"/>
      <c r="N75" s="214"/>
      <c r="O75" s="214"/>
      <c r="P75" s="214"/>
      <c r="Q75" s="214"/>
      <c r="R75" s="211">
        <v>88.8</v>
      </c>
      <c r="S75" s="202"/>
      <c r="T75" s="202"/>
      <c r="U75" s="202"/>
      <c r="V75" s="202"/>
      <c r="W75" s="211">
        <v>88.8</v>
      </c>
      <c r="X75" s="202"/>
      <c r="Y75" s="202"/>
      <c r="Z75" s="202"/>
      <c r="AA75" s="202"/>
      <c r="AB75" s="211">
        <v>88.8</v>
      </c>
      <c r="AC75" s="202"/>
      <c r="AD75" s="202"/>
      <c r="AE75" s="202"/>
      <c r="AF75" s="202"/>
      <c r="AG75" s="211">
        <v>69.11</v>
      </c>
      <c r="AH75" s="202"/>
      <c r="AI75" s="202"/>
      <c r="AJ75" s="202"/>
      <c r="AK75" s="202"/>
      <c r="AL75" s="211"/>
      <c r="AM75" s="202"/>
      <c r="AN75" s="202"/>
      <c r="AO75" s="202"/>
      <c r="AP75" s="202"/>
      <c r="AQ75" s="211"/>
      <c r="AR75" s="211"/>
      <c r="AS75" s="211"/>
      <c r="AT75" s="211"/>
      <c r="AU75" s="211"/>
      <c r="AV75" s="646"/>
      <c r="AW75" s="646"/>
      <c r="AX75" s="646"/>
      <c r="AY75" s="646"/>
      <c r="AZ75" s="216"/>
      <c r="BA75" s="646"/>
      <c r="BB75" s="646"/>
      <c r="BC75" s="646"/>
      <c r="BD75" s="646"/>
      <c r="BE75" s="216"/>
      <c r="BF75" s="646"/>
      <c r="BG75" s="646"/>
      <c r="BH75" s="646"/>
      <c r="BI75" s="646"/>
      <c r="BJ75" s="216"/>
      <c r="BK75" s="646"/>
      <c r="BL75" s="646"/>
      <c r="BM75" s="646"/>
      <c r="BN75" s="646"/>
      <c r="BO75" s="646"/>
      <c r="BP75" s="216"/>
      <c r="BQ75" s="216"/>
      <c r="BR75" s="216"/>
      <c r="BS75" s="216"/>
      <c r="BT75" s="216"/>
      <c r="BU75" s="216"/>
      <c r="BV75" s="216"/>
      <c r="BW75" s="216"/>
      <c r="BX75" s="216"/>
      <c r="BY75" s="216"/>
      <c r="BZ75" s="216"/>
      <c r="CA75" s="216"/>
      <c r="CB75" s="216"/>
      <c r="CC75" s="216"/>
      <c r="CD75" s="216"/>
      <c r="CE75" s="216"/>
      <c r="CF75" s="269"/>
      <c r="CG75" s="740"/>
      <c r="CH75" s="269"/>
      <c r="CI75" s="269"/>
      <c r="CJ75" s="269"/>
      <c r="CK75" s="269"/>
      <c r="CL75" s="269"/>
      <c r="CM75" s="269"/>
      <c r="CN75" s="269"/>
      <c r="CO75" s="269"/>
      <c r="CP75" s="269"/>
      <c r="CQ75" s="269"/>
      <c r="CR75" s="269"/>
      <c r="CS75" s="269"/>
      <c r="CT75" s="269"/>
      <c r="CU75" s="269"/>
      <c r="CV75" s="269"/>
      <c r="CW75" s="269"/>
      <c r="CX75" s="269"/>
      <c r="CY75" s="269"/>
      <c r="CZ75" s="269"/>
      <c r="DA75" s="269"/>
      <c r="DB75" s="269"/>
      <c r="DC75" s="269"/>
      <c r="DD75" s="269"/>
    </row>
    <row r="76" spans="1:108" s="36" customFormat="1">
      <c r="A76" s="217" t="s">
        <v>190</v>
      </c>
      <c r="B76" s="217"/>
      <c r="C76" s="217" t="e">
        <f t="shared" ref="C76:H76" si="197">C70-C71-C72</f>
        <v>#REF!</v>
      </c>
      <c r="D76" s="217" t="e">
        <f t="shared" si="197"/>
        <v>#REF!</v>
      </c>
      <c r="E76" s="217" t="e">
        <f t="shared" si="197"/>
        <v>#REF!</v>
      </c>
      <c r="F76" s="217" t="e">
        <f t="shared" si="197"/>
        <v>#REF!</v>
      </c>
      <c r="G76" s="218" t="e">
        <f t="shared" si="197"/>
        <v>#REF!</v>
      </c>
      <c r="H76" s="219">
        <f t="shared" si="197"/>
        <v>2.7079999999994016</v>
      </c>
      <c r="I76" s="220" t="e">
        <f>I70-I71-I72</f>
        <v>#REF!</v>
      </c>
      <c r="J76" s="220" t="e">
        <f>J70-J71-J72</f>
        <v>#REF!</v>
      </c>
      <c r="K76" s="220" t="e">
        <f>K70-K71-K72</f>
        <v>#REF!</v>
      </c>
      <c r="L76" s="220"/>
      <c r="M76" s="219" t="e">
        <f>M70-M71-M72+167.631</f>
        <v>#REF!</v>
      </c>
      <c r="N76" s="221" t="e">
        <f>N70-N71-N72</f>
        <v>#REF!</v>
      </c>
      <c r="O76" s="221" t="e">
        <f>O70-O71-O72</f>
        <v>#REF!</v>
      </c>
      <c r="P76" s="221" t="e">
        <f>P70-P71-P72</f>
        <v>#REF!</v>
      </c>
      <c r="Q76" s="221" t="e">
        <f>Q70-Q71-Q72</f>
        <v>#REF!</v>
      </c>
      <c r="R76" s="219" t="e">
        <f>R70-R71-R72-R73-R75</f>
        <v>#REF!</v>
      </c>
      <c r="S76" s="220"/>
      <c r="T76" s="220"/>
      <c r="U76" s="220"/>
      <c r="V76" s="220"/>
      <c r="W76" s="219">
        <f>W70-W71-W72-W73-W75</f>
        <v>277.49300000000068</v>
      </c>
      <c r="X76" s="220"/>
      <c r="Y76" s="220"/>
      <c r="Z76" s="220"/>
      <c r="AA76" s="220"/>
      <c r="AB76" s="219">
        <f>AB70-AB71-AB72-AB73-AB75</f>
        <v>2330.5570000000012</v>
      </c>
      <c r="AC76" s="220"/>
      <c r="AD76" s="220"/>
      <c r="AE76" s="220"/>
      <c r="AF76" s="220"/>
      <c r="AG76" s="219">
        <f>AG70-AG71-AG72-AG73-AG75</f>
        <v>1757.6948750000015</v>
      </c>
      <c r="AH76" s="220"/>
      <c r="AI76" s="220"/>
      <c r="AJ76" s="220"/>
      <c r="AK76" s="220"/>
      <c r="AL76" s="219">
        <f>AL70-AL71-AL72-AL73-AL75</f>
        <v>-50.846864999999184</v>
      </c>
      <c r="AM76" s="220"/>
      <c r="AN76" s="220"/>
      <c r="AO76" s="220">
        <f>AO70-AO71-AO72-AO73-AO75</f>
        <v>161.5942254553652</v>
      </c>
      <c r="AP76" s="220"/>
      <c r="AQ76" s="219">
        <f>AQ70-AQ71-AQ72-AQ73-AQ75</f>
        <v>474.73872560000007</v>
      </c>
      <c r="AR76" s="219">
        <f>AR70-AR71-AR72-AR73-AR75</f>
        <v>-466.22786499999916</v>
      </c>
      <c r="AS76" s="219">
        <f>AS70-AS71-AS72-AS73-AS75</f>
        <v>-1164.6348649999991</v>
      </c>
      <c r="AT76" s="219"/>
      <c r="AU76" s="219">
        <f>AU70-AU71-AU72-AU73-AU75</f>
        <v>1297.791904600002</v>
      </c>
      <c r="AV76" s="647"/>
      <c r="AW76" s="647"/>
      <c r="AX76" s="647"/>
      <c r="AY76" s="647"/>
      <c r="AZ76" s="222">
        <f>AZ70-AZ71-AZ72-AZ73-AZ75</f>
        <v>878.71100000000115</v>
      </c>
      <c r="BA76" s="647"/>
      <c r="BB76" s="647"/>
      <c r="BC76" s="647"/>
      <c r="BD76" s="647"/>
      <c r="BE76" s="222">
        <f>BE70-BE71-BE72-BE73-BE75</f>
        <v>4986.8289999999997</v>
      </c>
      <c r="BF76" s="647">
        <f>BF70-BF71-BF72-BF73-BF75</f>
        <v>1438.8979999999999</v>
      </c>
      <c r="BG76" s="647"/>
      <c r="BH76" s="647"/>
      <c r="BI76" s="647"/>
      <c r="BJ76" s="1329">
        <f>BJ70-BJ71-BJ72-BJ73-BJ75</f>
        <v>9790.4029999999966</v>
      </c>
      <c r="BK76" s="647"/>
      <c r="BL76" s="647"/>
      <c r="BM76" s="647"/>
      <c r="BN76" s="647"/>
      <c r="BO76" s="647"/>
      <c r="BP76" s="1329">
        <f>BP70-BP71-BP72-BP73-BP75</f>
        <v>14429.949999999995</v>
      </c>
      <c r="BQ76" s="1329"/>
      <c r="BR76" s="1329"/>
      <c r="BS76" s="1329"/>
      <c r="BT76" s="222"/>
      <c r="BU76" s="222">
        <f t="shared" ref="BU76:CE76" si="198">BU70-BU71-BU72-BU73-BU75</f>
        <v>19961.356150690113</v>
      </c>
      <c r="BV76" s="222">
        <f t="shared" si="198"/>
        <v>25751.39353692353</v>
      </c>
      <c r="BW76" s="222">
        <f t="shared" si="198"/>
        <v>31317.728271509721</v>
      </c>
      <c r="BX76" s="222">
        <f t="shared" si="198"/>
        <v>36844.355373783335</v>
      </c>
      <c r="BY76" s="222">
        <f t="shared" si="198"/>
        <v>41913.862099493017</v>
      </c>
      <c r="BZ76" s="222">
        <f t="shared" si="198"/>
        <v>47127.146500518371</v>
      </c>
      <c r="CA76" s="222">
        <f t="shared" si="198"/>
        <v>52509.414099818023</v>
      </c>
      <c r="CB76" s="222">
        <f t="shared" si="198"/>
        <v>58105.94349736852</v>
      </c>
      <c r="CC76" s="222">
        <f t="shared" si="198"/>
        <v>63958.597438872435</v>
      </c>
      <c r="CD76" s="222">
        <f t="shared" si="198"/>
        <v>70124.702280768397</v>
      </c>
      <c r="CE76" s="222">
        <f t="shared" si="198"/>
        <v>78148.591066127381</v>
      </c>
      <c r="CF76" s="213"/>
      <c r="CG76" s="740"/>
      <c r="CH76" s="213"/>
      <c r="CI76" s="213"/>
      <c r="CJ76" s="213"/>
      <c r="CK76" s="213"/>
      <c r="CL76" s="213"/>
      <c r="CM76" s="213"/>
      <c r="CN76" s="213"/>
      <c r="CO76" s="213"/>
      <c r="CP76" s="213"/>
      <c r="CQ76" s="213"/>
      <c r="CR76" s="213"/>
      <c r="CS76" s="213"/>
      <c r="CT76" s="213"/>
      <c r="CU76" s="213"/>
      <c r="CV76" s="213"/>
      <c r="CW76" s="213"/>
      <c r="CX76" s="213"/>
      <c r="CY76" s="213"/>
      <c r="CZ76" s="213"/>
      <c r="DA76" s="213"/>
      <c r="DB76" s="213"/>
      <c r="DC76" s="213"/>
      <c r="DD76" s="213"/>
    </row>
    <row r="77" spans="1:108">
      <c r="C77" s="36"/>
      <c r="D77" s="36"/>
      <c r="E77" s="36"/>
      <c r="F77" s="131"/>
      <c r="G77" s="92"/>
      <c r="H77" s="131"/>
      <c r="I77" s="132"/>
      <c r="J77" s="132"/>
      <c r="K77" s="132"/>
      <c r="L77" s="132"/>
      <c r="M77" s="130" t="e">
        <f>M30/$R$78</f>
        <v>#REF!</v>
      </c>
      <c r="N77" s="223">
        <f t="shared" ref="N77:W77" si="199">N30/$R$78</f>
        <v>1.2112822048895076</v>
      </c>
      <c r="O77" s="223">
        <f t="shared" si="199"/>
        <v>0.87261604007456739</v>
      </c>
      <c r="P77" s="223">
        <f t="shared" si="199"/>
        <v>0.8294052268777069</v>
      </c>
      <c r="Q77" s="223">
        <f t="shared" si="199"/>
        <v>1.0008099256287255</v>
      </c>
      <c r="R77" s="130">
        <f>R30/$R$78</f>
        <v>3.9141133974705089</v>
      </c>
      <c r="S77" s="223"/>
      <c r="T77" s="223"/>
      <c r="U77" s="223"/>
      <c r="V77" s="223"/>
      <c r="W77" s="36">
        <f t="shared" si="199"/>
        <v>8.2868496454851108</v>
      </c>
      <c r="X77" s="223"/>
      <c r="Y77" s="223"/>
      <c r="Z77" s="223"/>
      <c r="AA77" s="223"/>
      <c r="AB77" s="130">
        <f>AB30/$R$78</f>
        <v>11.961813287509804</v>
      </c>
      <c r="AC77" s="223"/>
      <c r="AD77" s="223"/>
      <c r="AE77" s="223"/>
      <c r="AF77" s="223"/>
      <c r="AG77" s="130">
        <f>AG30/$R$78</f>
        <v>8.0629672837340909</v>
      </c>
      <c r="AH77" s="223"/>
      <c r="AI77" s="223"/>
      <c r="AJ77" s="223"/>
      <c r="AK77" s="223"/>
      <c r="AL77" s="130">
        <f>AL30/$R$78</f>
        <v>-0.26224051835240625</v>
      </c>
      <c r="AM77" s="223"/>
      <c r="AN77" s="223"/>
      <c r="AO77" s="223">
        <f>AO30/$R$78</f>
        <v>0.95599305552818503</v>
      </c>
      <c r="AP77" s="223"/>
      <c r="AQ77" s="130">
        <f>AQ30/$R$78</f>
        <v>2.5893262768645</v>
      </c>
      <c r="AR77" s="130">
        <f>AR30/$R$78</f>
        <v>2.8801576103449769</v>
      </c>
      <c r="AS77" s="130">
        <f>AS30/$R$78</f>
        <v>-0.56058283115316843</v>
      </c>
      <c r="AT77" s="130"/>
      <c r="AU77" s="130">
        <f>AU30/$R$78</f>
        <v>4.0548166878180183</v>
      </c>
      <c r="AV77" s="648"/>
      <c r="AW77" s="648"/>
      <c r="AX77" s="648"/>
      <c r="AY77" s="648"/>
      <c r="AZ77" s="224">
        <f>AZ30/$R$78</f>
        <v>0.842248755552233</v>
      </c>
      <c r="BA77" s="648"/>
      <c r="BB77" s="648"/>
      <c r="BD77" s="648"/>
      <c r="BE77" s="224">
        <f>BE30/$R$78</f>
        <v>20.238868941815408</v>
      </c>
      <c r="BF77" s="648">
        <f>BF30/$R$78</f>
        <v>7.0888100202185802</v>
      </c>
      <c r="BG77" s="648"/>
      <c r="BH77" s="648"/>
      <c r="BI77" s="648"/>
      <c r="BJ77" s="224">
        <f>BJ30/$R$78</f>
        <v>27.106737753569767</v>
      </c>
      <c r="BK77" s="648"/>
      <c r="BL77" s="648"/>
      <c r="BM77" s="648"/>
      <c r="BN77" s="648"/>
      <c r="BO77" s="648"/>
      <c r="BP77" s="224">
        <f t="shared" ref="BP77:CE77" si="200">BP30/$R$78</f>
        <v>29.389353517757261</v>
      </c>
      <c r="BQ77" s="224"/>
      <c r="BR77" s="224"/>
      <c r="BS77" s="224"/>
      <c r="BT77" s="224"/>
      <c r="BU77" s="224">
        <f t="shared" si="200"/>
        <v>33.726031082078947</v>
      </c>
      <c r="BV77" s="224">
        <f t="shared" si="200"/>
        <v>37.158610367803867</v>
      </c>
      <c r="BW77" s="224">
        <f t="shared" si="200"/>
        <v>38.214945268862756</v>
      </c>
      <c r="BX77" s="224">
        <f t="shared" si="200"/>
        <v>40.17774173754475</v>
      </c>
      <c r="BY77" s="224">
        <f t="shared" si="200"/>
        <v>40.084131397671932</v>
      </c>
      <c r="BZ77" s="224">
        <f t="shared" si="200"/>
        <v>40.792460011278621</v>
      </c>
      <c r="CA77" s="224">
        <f t="shared" si="200"/>
        <v>41.624965018009753</v>
      </c>
      <c r="CB77" s="224">
        <f t="shared" si="200"/>
        <v>42.680537534192716</v>
      </c>
      <c r="CC77" s="224">
        <f t="shared" si="200"/>
        <v>43.942349166150564</v>
      </c>
      <c r="CD77" s="224">
        <f t="shared" si="200"/>
        <v>45.486582241424678</v>
      </c>
      <c r="CE77" s="224">
        <f t="shared" si="200"/>
        <v>54.639056867021331</v>
      </c>
      <c r="CF77" s="269"/>
      <c r="CG77" s="777"/>
      <c r="CH77" s="269"/>
      <c r="CI77" s="269"/>
      <c r="CJ77" s="269"/>
      <c r="CK77" s="269"/>
      <c r="CL77" s="269"/>
      <c r="CM77" s="269"/>
      <c r="CN77" s="269"/>
      <c r="CO77" s="269"/>
      <c r="CP77" s="269"/>
      <c r="CQ77" s="269"/>
      <c r="CR77" s="269"/>
      <c r="CS77" s="269"/>
      <c r="CT77" s="269"/>
      <c r="CU77" s="269"/>
      <c r="CV77" s="269"/>
      <c r="CW77" s="269"/>
      <c r="CX77" s="269"/>
      <c r="CY77" s="269"/>
      <c r="CZ77" s="269"/>
      <c r="DA77" s="269"/>
      <c r="DB77" s="269"/>
      <c r="DC77" s="269"/>
      <c r="DD77" s="269"/>
    </row>
    <row r="78" spans="1:108">
      <c r="I78" s="40"/>
      <c r="J78" s="40"/>
      <c r="K78" s="40"/>
      <c r="L78" s="40"/>
      <c r="N78" s="40"/>
      <c r="O78" s="40"/>
      <c r="P78" s="40"/>
      <c r="Q78" s="40"/>
      <c r="R78" s="12">
        <f>R44+R46</f>
        <v>202.98160000000001</v>
      </c>
      <c r="S78" s="40"/>
      <c r="T78" s="40"/>
      <c r="U78" s="40"/>
      <c r="V78" s="40"/>
      <c r="X78" s="40"/>
      <c r="Y78" s="40"/>
      <c r="Z78" s="40"/>
      <c r="AA78" s="40"/>
      <c r="AC78" s="40"/>
      <c r="AD78" s="40"/>
      <c r="AE78" s="40"/>
      <c r="AF78" s="40"/>
      <c r="AH78" s="40"/>
      <c r="AI78" s="40"/>
      <c r="AJ78" s="40"/>
      <c r="AK78" s="40"/>
      <c r="AQ78" s="1"/>
      <c r="BK78" s="640"/>
      <c r="BL78" s="640"/>
      <c r="BM78" s="640"/>
      <c r="BN78" s="640"/>
      <c r="BO78" s="640"/>
      <c r="BV78" s="76"/>
      <c r="BW78" s="76"/>
      <c r="BX78" s="76"/>
      <c r="BY78" s="76"/>
      <c r="BZ78" s="76"/>
      <c r="CA78" s="76"/>
      <c r="CB78" s="76"/>
      <c r="CC78" s="76"/>
      <c r="CD78" s="76"/>
      <c r="CE78" s="76"/>
      <c r="CF78" s="269"/>
      <c r="CG78" s="269"/>
      <c r="CH78" s="269"/>
      <c r="CI78" s="269"/>
      <c r="CJ78" s="269"/>
      <c r="CK78" s="269"/>
      <c r="CL78" s="269"/>
      <c r="CM78" s="269"/>
      <c r="CN78" s="269"/>
      <c r="CO78" s="269"/>
      <c r="CP78" s="269"/>
      <c r="CQ78" s="269"/>
      <c r="CR78" s="269"/>
      <c r="CS78" s="269"/>
      <c r="CT78" s="269"/>
      <c r="CU78" s="269"/>
      <c r="CV78" s="269"/>
      <c r="CW78" s="269"/>
      <c r="CX78" s="269"/>
      <c r="CY78" s="269"/>
      <c r="CZ78" s="269"/>
      <c r="DA78" s="269"/>
      <c r="DB78" s="269"/>
      <c r="DC78" s="269"/>
      <c r="DD78" s="269"/>
    </row>
    <row r="79" spans="1:108">
      <c r="I79" s="40"/>
      <c r="J79" s="40"/>
      <c r="K79" s="40"/>
      <c r="L79" s="40"/>
      <c r="N79" s="40"/>
      <c r="O79" s="40"/>
      <c r="P79" s="40"/>
      <c r="Q79" s="40"/>
      <c r="AG79" s="12"/>
      <c r="BK79" s="640"/>
      <c r="BL79" s="640"/>
      <c r="BM79" s="640"/>
      <c r="BN79" s="640"/>
      <c r="BO79" s="640"/>
      <c r="BV79" s="76"/>
      <c r="BW79" s="76"/>
      <c r="BX79" s="76"/>
      <c r="BY79" s="76"/>
      <c r="BZ79" s="76"/>
      <c r="CA79" s="76"/>
      <c r="CB79" s="76"/>
      <c r="CC79" s="76"/>
      <c r="CD79" s="76"/>
      <c r="CE79" s="76"/>
      <c r="CF79" s="269"/>
      <c r="CG79" s="269"/>
      <c r="CH79" s="269"/>
      <c r="CI79" s="269"/>
      <c r="CJ79" s="269"/>
      <c r="CK79" s="269"/>
      <c r="CL79" s="269"/>
      <c r="CM79" s="269"/>
      <c r="CN79" s="269"/>
      <c r="CO79" s="269"/>
      <c r="CP79" s="269"/>
      <c r="CQ79" s="269"/>
      <c r="CR79" s="269"/>
      <c r="CS79" s="269"/>
      <c r="CT79" s="269"/>
      <c r="CU79" s="269"/>
      <c r="CV79" s="269"/>
      <c r="CW79" s="269"/>
      <c r="CX79" s="269"/>
      <c r="CY79" s="269"/>
      <c r="CZ79" s="269"/>
      <c r="DA79" s="269"/>
      <c r="DB79" s="269"/>
      <c r="DC79" s="269"/>
      <c r="DD79" s="269"/>
    </row>
    <row r="80" spans="1:108">
      <c r="R80" s="211"/>
      <c r="BK80" s="640"/>
      <c r="BL80" s="640"/>
      <c r="BM80" s="640"/>
      <c r="BN80" s="640"/>
      <c r="BO80" s="640"/>
      <c r="BV80" s="76"/>
      <c r="BW80" s="76"/>
      <c r="BX80" s="76"/>
      <c r="BY80" s="76"/>
      <c r="BZ80" s="76"/>
      <c r="CA80" s="76"/>
      <c r="CB80" s="76"/>
      <c r="CC80" s="76"/>
      <c r="CD80" s="76"/>
      <c r="CE80" s="76"/>
      <c r="CF80" s="269"/>
      <c r="CG80" s="269"/>
      <c r="CH80" s="269"/>
      <c r="CI80" s="269"/>
      <c r="CJ80" s="269"/>
      <c r="CK80" s="269"/>
      <c r="CL80" s="269"/>
      <c r="CM80" s="269"/>
      <c r="CN80" s="269"/>
      <c r="CO80" s="269"/>
      <c r="CP80" s="269"/>
      <c r="CQ80" s="269"/>
      <c r="CR80" s="269"/>
      <c r="CS80" s="269"/>
      <c r="CT80" s="269"/>
      <c r="CU80" s="269"/>
      <c r="CV80" s="269"/>
      <c r="CW80" s="269"/>
      <c r="CX80" s="269"/>
      <c r="CY80" s="269"/>
      <c r="CZ80" s="269"/>
      <c r="DA80" s="269"/>
      <c r="DB80" s="269"/>
      <c r="DC80" s="269"/>
      <c r="DD80" s="269"/>
    </row>
    <row r="81" spans="63:108">
      <c r="BK81" s="640"/>
      <c r="BL81" s="640"/>
      <c r="BM81" s="640"/>
      <c r="BN81" s="640"/>
      <c r="BO81" s="640"/>
      <c r="BV81" s="76"/>
      <c r="BW81" s="76"/>
      <c r="BX81" s="76"/>
      <c r="BY81" s="76"/>
      <c r="BZ81" s="76"/>
      <c r="CA81" s="76"/>
      <c r="CB81" s="76"/>
      <c r="CC81" s="76"/>
      <c r="CD81" s="76"/>
      <c r="CE81" s="76"/>
      <c r="CF81" s="269"/>
      <c r="CG81" s="269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</row>
    <row r="82" spans="63:108">
      <c r="BK82" s="640"/>
      <c r="BL82" s="640"/>
      <c r="BM82" s="640"/>
      <c r="BN82" s="640"/>
      <c r="BO82" s="640"/>
      <c r="BV82" s="76"/>
      <c r="BW82" s="76"/>
      <c r="BX82" s="76"/>
      <c r="BY82" s="76"/>
      <c r="BZ82" s="76"/>
      <c r="CA82" s="76"/>
      <c r="CB82" s="76"/>
      <c r="CC82" s="76"/>
      <c r="CD82" s="76"/>
      <c r="CE82" s="76"/>
      <c r="CF82" s="269"/>
      <c r="CG82" s="269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</row>
    <row r="83" spans="63:108">
      <c r="BK83" s="640"/>
      <c r="BL83" s="640"/>
      <c r="BM83" s="640"/>
      <c r="BN83" s="640"/>
      <c r="BO83" s="640"/>
      <c r="BV83" s="76"/>
      <c r="BW83" s="76"/>
      <c r="BX83" s="76"/>
      <c r="BY83" s="76"/>
      <c r="BZ83" s="76"/>
      <c r="CA83" s="76"/>
      <c r="CB83" s="76"/>
      <c r="CC83" s="76"/>
      <c r="CD83" s="76"/>
      <c r="CE83" s="76"/>
      <c r="CF83" s="269"/>
      <c r="CG83" s="269"/>
      <c r="CH83" s="269"/>
      <c r="CI83" s="269"/>
      <c r="CJ83" s="269"/>
      <c r="CK83" s="269"/>
      <c r="CL83" s="269"/>
      <c r="CM83" s="269"/>
      <c r="CN83" s="269"/>
      <c r="CO83" s="269"/>
      <c r="CP83" s="269"/>
      <c r="CQ83" s="269"/>
      <c r="CR83" s="269"/>
      <c r="CS83" s="269"/>
      <c r="CT83" s="269"/>
      <c r="CU83" s="269"/>
      <c r="CV83" s="269"/>
      <c r="CW83" s="269"/>
      <c r="CX83" s="269"/>
      <c r="CY83" s="269"/>
      <c r="CZ83" s="269"/>
      <c r="DA83" s="269"/>
      <c r="DB83" s="269"/>
      <c r="DC83" s="269"/>
      <c r="DD83" s="269"/>
    </row>
    <row r="84" spans="63:108">
      <c r="BK84" s="640"/>
      <c r="BL84" s="640"/>
      <c r="BM84" s="640"/>
      <c r="BN84" s="640"/>
      <c r="BO84" s="640"/>
      <c r="BV84" s="76"/>
      <c r="BW84" s="76"/>
      <c r="BX84" s="76"/>
      <c r="BY84" s="76"/>
      <c r="BZ84" s="76"/>
      <c r="CA84" s="76"/>
      <c r="CB84" s="76"/>
      <c r="CC84" s="76"/>
      <c r="CD84" s="76"/>
      <c r="CE84" s="76"/>
      <c r="CF84" s="269"/>
      <c r="CG84" s="269"/>
      <c r="CH84" s="269"/>
      <c r="CI84" s="269"/>
      <c r="CJ84" s="269"/>
      <c r="CK84" s="269"/>
      <c r="CL84" s="269"/>
      <c r="CM84" s="269"/>
      <c r="CN84" s="269"/>
      <c r="CO84" s="269"/>
      <c r="CP84" s="269"/>
      <c r="CQ84" s="269"/>
      <c r="CR84" s="269"/>
      <c r="CS84" s="269"/>
      <c r="CT84" s="269"/>
      <c r="CU84" s="269"/>
      <c r="CV84" s="269"/>
      <c r="CW84" s="269"/>
      <c r="CX84" s="269"/>
      <c r="CY84" s="269"/>
      <c r="CZ84" s="269"/>
      <c r="DA84" s="269"/>
      <c r="DB84" s="269"/>
      <c r="DC84" s="269"/>
      <c r="DD84" s="269"/>
    </row>
    <row r="85" spans="63:108">
      <c r="BK85" s="640"/>
      <c r="BL85" s="640"/>
      <c r="BM85" s="640"/>
      <c r="BN85" s="640"/>
      <c r="BO85" s="640"/>
      <c r="BV85" s="76"/>
      <c r="BW85" s="76"/>
      <c r="BX85" s="76"/>
      <c r="BY85" s="76"/>
      <c r="BZ85" s="76"/>
      <c r="CA85" s="76"/>
      <c r="CB85" s="76"/>
      <c r="CC85" s="76"/>
      <c r="CD85" s="76"/>
      <c r="CE85" s="76"/>
      <c r="CF85" s="269"/>
      <c r="CG85" s="269"/>
      <c r="CH85" s="269"/>
      <c r="CI85" s="269"/>
      <c r="CJ85" s="269"/>
      <c r="CK85" s="269"/>
      <c r="CL85" s="269"/>
      <c r="CM85" s="269"/>
      <c r="CN85" s="269"/>
      <c r="CO85" s="269"/>
      <c r="CP85" s="269"/>
      <c r="CQ85" s="269"/>
      <c r="CR85" s="269"/>
      <c r="CS85" s="269"/>
      <c r="CT85" s="269"/>
      <c r="CU85" s="269"/>
      <c r="CV85" s="269"/>
      <c r="CW85" s="269"/>
      <c r="CX85" s="269"/>
      <c r="CY85" s="269"/>
      <c r="CZ85" s="269"/>
      <c r="DA85" s="269"/>
      <c r="DB85" s="269"/>
      <c r="DC85" s="269"/>
      <c r="DD85" s="269"/>
    </row>
    <row r="86" spans="63:108">
      <c r="BK86" s="640"/>
      <c r="BL86" s="640"/>
      <c r="BM86" s="640"/>
      <c r="BN86" s="640"/>
      <c r="BO86" s="640"/>
      <c r="BV86" s="76"/>
      <c r="BW86" s="76"/>
      <c r="BX86" s="76"/>
      <c r="BY86" s="76"/>
      <c r="BZ86" s="76"/>
      <c r="CA86" s="76"/>
      <c r="CB86" s="76"/>
      <c r="CC86" s="76"/>
      <c r="CD86" s="76"/>
      <c r="CE86" s="76"/>
      <c r="CF86" s="269"/>
      <c r="CG86" s="269"/>
      <c r="CH86" s="269"/>
      <c r="CI86" s="269"/>
      <c r="CJ86" s="269"/>
      <c r="CK86" s="269"/>
      <c r="CL86" s="269"/>
      <c r="CM86" s="269"/>
      <c r="CN86" s="269"/>
      <c r="CO86" s="269"/>
      <c r="CP86" s="269"/>
      <c r="CQ86" s="269"/>
      <c r="CR86" s="269"/>
      <c r="CS86" s="269"/>
      <c r="CT86" s="269"/>
      <c r="CU86" s="269"/>
      <c r="CV86" s="269"/>
      <c r="CW86" s="269"/>
      <c r="CX86" s="269"/>
      <c r="CY86" s="269"/>
      <c r="CZ86" s="269"/>
      <c r="DA86" s="269"/>
      <c r="DB86" s="269"/>
      <c r="DC86" s="269"/>
      <c r="DD86" s="269"/>
    </row>
    <row r="87" spans="63:108">
      <c r="BK87" s="640"/>
      <c r="BL87" s="640"/>
      <c r="BM87" s="640"/>
      <c r="BN87" s="640"/>
      <c r="BO87" s="640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269"/>
      <c r="CG87" s="269"/>
      <c r="CH87" s="269"/>
      <c r="CI87" s="269"/>
      <c r="CJ87" s="269"/>
      <c r="CK87" s="269"/>
      <c r="CL87" s="269"/>
      <c r="CM87" s="269"/>
      <c r="CN87" s="269"/>
      <c r="CO87" s="269"/>
      <c r="CP87" s="269"/>
      <c r="CQ87" s="269"/>
      <c r="CR87" s="269"/>
      <c r="CS87" s="269"/>
      <c r="CT87" s="269"/>
      <c r="CU87" s="269"/>
      <c r="CV87" s="269"/>
      <c r="CW87" s="269"/>
      <c r="CX87" s="269"/>
      <c r="CY87" s="269"/>
      <c r="CZ87" s="269"/>
      <c r="DA87" s="269"/>
      <c r="DB87" s="269"/>
      <c r="DC87" s="269"/>
      <c r="DD87" s="269"/>
    </row>
    <row r="88" spans="63:108">
      <c r="BV88" s="76"/>
      <c r="BW88" s="76">
        <v>675775</v>
      </c>
      <c r="BX88" s="76">
        <v>624122</v>
      </c>
      <c r="BY88" s="1010">
        <f>BW88/BX88-1</f>
        <v>8.2761062740938529E-2</v>
      </c>
      <c r="BZ88" s="76"/>
      <c r="CA88" s="76"/>
      <c r="CB88" s="76"/>
      <c r="CC88" s="76"/>
      <c r="CD88" s="76"/>
      <c r="CE88" s="76"/>
      <c r="CF88" s="269"/>
      <c r="CG88" s="269"/>
      <c r="CH88" s="269"/>
      <c r="CI88" s="269"/>
      <c r="CJ88" s="269"/>
      <c r="CK88" s="269"/>
      <c r="CL88" s="269"/>
      <c r="CM88" s="269"/>
      <c r="CN88" s="269"/>
      <c r="CO88" s="269"/>
      <c r="CP88" s="269"/>
      <c r="CQ88" s="269"/>
      <c r="CR88" s="269"/>
      <c r="CS88" s="269"/>
      <c r="CT88" s="269"/>
      <c r="CU88" s="269"/>
      <c r="CV88" s="269"/>
      <c r="CW88" s="269"/>
      <c r="CX88" s="269"/>
      <c r="CY88" s="269"/>
      <c r="CZ88" s="269"/>
      <c r="DA88" s="269"/>
      <c r="DB88" s="269"/>
      <c r="DC88" s="269"/>
      <c r="DD88" s="269"/>
    </row>
    <row r="89" spans="63:108">
      <c r="BV89" s="76"/>
      <c r="BW89" s="76">
        <v>193722</v>
      </c>
      <c r="BX89" s="76">
        <v>296357</v>
      </c>
      <c r="BY89" s="1010">
        <f>BW89/BX89-1</f>
        <v>-0.34632217224496131</v>
      </c>
      <c r="BZ89" s="76"/>
      <c r="CA89" s="76"/>
      <c r="CB89" s="76"/>
      <c r="CC89" s="76"/>
      <c r="CD89" s="76"/>
      <c r="CE89" s="76"/>
      <c r="CF89" s="269"/>
      <c r="CG89" s="269"/>
      <c r="CH89" s="269"/>
      <c r="CI89" s="269"/>
      <c r="CJ89" s="269"/>
      <c r="CK89" s="269"/>
      <c r="CL89" s="269"/>
      <c r="CM89" s="269"/>
      <c r="CN89" s="269"/>
      <c r="CO89" s="269"/>
      <c r="CP89" s="269"/>
      <c r="CQ89" s="269"/>
      <c r="CR89" s="269"/>
      <c r="CS89" s="269"/>
      <c r="CT89" s="269"/>
      <c r="CU89" s="269"/>
      <c r="CV89" s="269"/>
      <c r="CW89" s="269"/>
      <c r="CX89" s="269"/>
      <c r="CY89" s="269"/>
      <c r="CZ89" s="269"/>
      <c r="DA89" s="269"/>
      <c r="DB89" s="269"/>
      <c r="DC89" s="269"/>
      <c r="DD89" s="269"/>
    </row>
    <row r="90" spans="63:108">
      <c r="BV90" s="76"/>
      <c r="BW90" s="76"/>
      <c r="BX90" s="76"/>
      <c r="BY90" s="76"/>
      <c r="BZ90" s="76"/>
      <c r="CA90" s="76"/>
      <c r="CB90" s="76"/>
      <c r="CC90" s="76"/>
      <c r="CD90" s="76"/>
      <c r="CE90" s="76"/>
      <c r="CF90" s="269"/>
      <c r="CG90" s="269"/>
      <c r="CH90" s="269"/>
      <c r="CI90" s="269"/>
      <c r="CJ90" s="269"/>
      <c r="CK90" s="269"/>
      <c r="CL90" s="269"/>
      <c r="CM90" s="269"/>
      <c r="CN90" s="269"/>
      <c r="CO90" s="269"/>
      <c r="CP90" s="269"/>
      <c r="CQ90" s="269"/>
      <c r="CR90" s="269"/>
      <c r="CS90" s="269"/>
      <c r="CT90" s="269"/>
      <c r="CU90" s="269"/>
      <c r="CV90" s="269"/>
      <c r="CW90" s="269"/>
      <c r="CX90" s="269"/>
      <c r="CY90" s="269"/>
      <c r="CZ90" s="269"/>
      <c r="DA90" s="269"/>
      <c r="DB90" s="269"/>
      <c r="DC90" s="269"/>
      <c r="DD90" s="269"/>
    </row>
    <row r="91" spans="63:108">
      <c r="BV91" s="76"/>
      <c r="BW91" s="76"/>
      <c r="BX91" s="76"/>
      <c r="BY91" s="76"/>
      <c r="BZ91" s="76"/>
      <c r="CA91" s="76"/>
      <c r="CB91" s="76"/>
      <c r="CC91" s="76"/>
      <c r="CD91" s="76"/>
      <c r="CE91" s="76"/>
      <c r="CF91" s="269"/>
      <c r="CG91" s="269"/>
      <c r="CH91" s="269"/>
      <c r="CI91" s="269"/>
      <c r="CJ91" s="269"/>
      <c r="CK91" s="269"/>
      <c r="CL91" s="269"/>
      <c r="CM91" s="269"/>
      <c r="CN91" s="269"/>
      <c r="CO91" s="269"/>
      <c r="CP91" s="269"/>
      <c r="CQ91" s="269"/>
      <c r="CR91" s="269"/>
      <c r="CS91" s="269"/>
      <c r="CT91" s="269"/>
      <c r="CU91" s="269"/>
      <c r="CV91" s="269"/>
      <c r="CW91" s="269"/>
      <c r="CX91" s="269"/>
      <c r="CY91" s="269"/>
      <c r="CZ91" s="269"/>
      <c r="DA91" s="269"/>
      <c r="DB91" s="269"/>
      <c r="DC91" s="269"/>
      <c r="DD91" s="269"/>
    </row>
    <row r="92" spans="63:108">
      <c r="BV92" s="76"/>
      <c r="BW92" s="76"/>
      <c r="BX92" s="76"/>
      <c r="BY92" s="76"/>
      <c r="BZ92" s="76"/>
      <c r="CA92" s="76"/>
      <c r="CB92" s="76"/>
      <c r="CC92" s="76"/>
      <c r="CD92" s="76"/>
      <c r="CE92" s="76"/>
      <c r="CF92" s="269"/>
      <c r="CG92" s="269"/>
      <c r="CH92" s="269"/>
      <c r="CI92" s="269"/>
      <c r="CJ92" s="269"/>
      <c r="CK92" s="269"/>
      <c r="CL92" s="269"/>
      <c r="CM92" s="269"/>
      <c r="CN92" s="269"/>
      <c r="CO92" s="269"/>
      <c r="CP92" s="269"/>
      <c r="CQ92" s="269"/>
      <c r="CR92" s="269"/>
      <c r="CS92" s="269"/>
      <c r="CT92" s="269"/>
      <c r="CU92" s="269"/>
      <c r="CV92" s="269"/>
      <c r="CW92" s="269"/>
      <c r="CX92" s="269"/>
      <c r="CY92" s="269"/>
      <c r="CZ92" s="269"/>
      <c r="DA92" s="269"/>
      <c r="DB92" s="269"/>
      <c r="DC92" s="269"/>
      <c r="DD92" s="269"/>
    </row>
    <row r="93" spans="63:108">
      <c r="BV93" s="76"/>
      <c r="BW93" s="76"/>
      <c r="BX93" s="76"/>
      <c r="BY93" s="76"/>
      <c r="BZ93" s="76"/>
      <c r="CA93" s="76"/>
      <c r="CB93" s="76"/>
      <c r="CC93" s="76"/>
      <c r="CD93" s="76"/>
      <c r="CE93" s="76"/>
      <c r="CF93" s="269"/>
      <c r="CG93" s="269"/>
      <c r="CH93" s="269"/>
      <c r="CI93" s="269"/>
      <c r="CJ93" s="269"/>
      <c r="CK93" s="269"/>
      <c r="CL93" s="269"/>
      <c r="CM93" s="269"/>
      <c r="CN93" s="269"/>
      <c r="CO93" s="269"/>
      <c r="CP93" s="269"/>
      <c r="CQ93" s="269"/>
      <c r="CR93" s="269"/>
      <c r="CS93" s="269"/>
      <c r="CT93" s="269"/>
      <c r="CU93" s="269"/>
      <c r="CV93" s="269"/>
      <c r="CW93" s="269"/>
      <c r="CX93" s="269"/>
      <c r="CY93" s="269"/>
      <c r="CZ93" s="269"/>
      <c r="DA93" s="269"/>
      <c r="DB93" s="269"/>
      <c r="DC93" s="269"/>
      <c r="DD93" s="269"/>
    </row>
    <row r="94" spans="63:108">
      <c r="BV94" s="269"/>
      <c r="BW94" s="269"/>
      <c r="BX94" s="269"/>
      <c r="BY94" s="269"/>
      <c r="BZ94" s="269"/>
      <c r="CA94" s="269"/>
      <c r="CB94" s="269"/>
      <c r="CC94" s="269"/>
      <c r="CD94" s="269"/>
      <c r="CE94" s="269"/>
      <c r="CF94" s="269"/>
      <c r="CG94" s="269"/>
      <c r="CH94" s="269"/>
      <c r="CI94" s="269"/>
      <c r="CJ94" s="269"/>
      <c r="CK94" s="269"/>
      <c r="CL94" s="269"/>
      <c r="CM94" s="269"/>
      <c r="CN94" s="269"/>
      <c r="CO94" s="269"/>
      <c r="CP94" s="269"/>
      <c r="CQ94" s="269"/>
      <c r="CR94" s="269"/>
      <c r="CS94" s="269"/>
      <c r="CT94" s="269"/>
      <c r="CU94" s="269"/>
      <c r="CV94" s="269"/>
      <c r="CW94" s="269"/>
      <c r="CX94" s="269"/>
      <c r="CY94" s="269"/>
      <c r="CZ94" s="269"/>
      <c r="DA94" s="269"/>
      <c r="DB94" s="269"/>
      <c r="DC94" s="269"/>
      <c r="DD94" s="269"/>
    </row>
    <row r="95" spans="63:108">
      <c r="BV95" s="269"/>
      <c r="BW95" s="269"/>
      <c r="BX95" s="269"/>
      <c r="BY95" s="269"/>
      <c r="BZ95" s="269"/>
      <c r="CA95" s="269"/>
      <c r="CB95" s="269"/>
      <c r="CC95" s="269"/>
      <c r="CD95" s="269"/>
      <c r="CE95" s="269"/>
      <c r="CF95" s="269"/>
      <c r="CG95" s="269"/>
      <c r="CH95" s="269"/>
      <c r="CI95" s="269"/>
      <c r="CJ95" s="269"/>
      <c r="CK95" s="269"/>
      <c r="CL95" s="269"/>
      <c r="CM95" s="269"/>
      <c r="CN95" s="269"/>
      <c r="CO95" s="269"/>
      <c r="CP95" s="269"/>
      <c r="CQ95" s="269"/>
      <c r="CR95" s="269"/>
      <c r="CS95" s="269"/>
      <c r="CT95" s="269"/>
      <c r="CU95" s="269"/>
      <c r="CV95" s="269"/>
      <c r="CW95" s="269"/>
      <c r="CX95" s="269"/>
      <c r="CY95" s="269"/>
      <c r="CZ95" s="269"/>
      <c r="DA95" s="269"/>
      <c r="DB95" s="269"/>
      <c r="DC95" s="269"/>
      <c r="DD95" s="269"/>
    </row>
    <row r="96" spans="63:108">
      <c r="BV96" s="269"/>
      <c r="BW96" s="269"/>
      <c r="BX96" s="269"/>
      <c r="BY96" s="269"/>
      <c r="BZ96" s="269"/>
      <c r="CA96" s="269"/>
      <c r="CB96" s="269"/>
      <c r="CC96" s="269"/>
      <c r="CD96" s="269"/>
      <c r="CE96" s="269"/>
      <c r="CF96" s="269"/>
      <c r="CG96" s="269"/>
      <c r="CH96" s="269"/>
      <c r="CI96" s="269"/>
      <c r="CJ96" s="269"/>
      <c r="CK96" s="269"/>
      <c r="CL96" s="269"/>
      <c r="CM96" s="269"/>
      <c r="CN96" s="269"/>
      <c r="CO96" s="269"/>
      <c r="CP96" s="269"/>
      <c r="CQ96" s="269"/>
      <c r="CR96" s="269"/>
      <c r="CS96" s="269"/>
      <c r="CT96" s="269"/>
      <c r="CU96" s="269"/>
      <c r="CV96" s="269"/>
      <c r="CW96" s="269"/>
      <c r="CX96" s="269"/>
      <c r="CY96" s="269"/>
      <c r="CZ96" s="269"/>
      <c r="DA96" s="269"/>
      <c r="DB96" s="269"/>
      <c r="DC96" s="269"/>
      <c r="DD96" s="269"/>
    </row>
    <row r="97" spans="74:108">
      <c r="BV97" s="269"/>
      <c r="BW97" s="269"/>
      <c r="BX97" s="269"/>
      <c r="BY97" s="269"/>
      <c r="BZ97" s="269"/>
      <c r="CA97" s="269"/>
      <c r="CB97" s="269"/>
      <c r="CC97" s="269"/>
      <c r="CD97" s="269"/>
      <c r="CE97" s="269"/>
      <c r="CF97" s="269"/>
      <c r="CG97" s="269"/>
      <c r="CH97" s="269"/>
      <c r="CI97" s="269"/>
      <c r="CJ97" s="269"/>
      <c r="CK97" s="269"/>
      <c r="CL97" s="269"/>
      <c r="CM97" s="269"/>
      <c r="CN97" s="269"/>
      <c r="CO97" s="269"/>
      <c r="CP97" s="269"/>
      <c r="CQ97" s="269"/>
      <c r="CR97" s="269"/>
      <c r="CS97" s="269"/>
      <c r="CT97" s="269"/>
      <c r="CU97" s="269"/>
      <c r="CV97" s="269"/>
      <c r="CW97" s="269"/>
      <c r="CX97" s="269"/>
      <c r="CY97" s="269"/>
      <c r="CZ97" s="269"/>
      <c r="DA97" s="269"/>
      <c r="DB97" s="269"/>
      <c r="DC97" s="269"/>
      <c r="DD97" s="269"/>
    </row>
    <row r="98" spans="74:108">
      <c r="BV98" s="269"/>
      <c r="BW98" s="269"/>
      <c r="BX98" s="269"/>
      <c r="BY98" s="269"/>
      <c r="BZ98" s="269"/>
      <c r="CA98" s="269"/>
      <c r="CB98" s="269"/>
      <c r="CC98" s="269"/>
      <c r="CD98" s="269"/>
      <c r="CE98" s="269"/>
      <c r="CF98" s="269"/>
      <c r="CG98" s="269"/>
      <c r="CH98" s="269"/>
      <c r="CI98" s="269"/>
      <c r="CJ98" s="269"/>
      <c r="CK98" s="269"/>
      <c r="CL98" s="269"/>
      <c r="CM98" s="269"/>
      <c r="CN98" s="269"/>
      <c r="CO98" s="269"/>
      <c r="CP98" s="269"/>
      <c r="CQ98" s="269"/>
      <c r="CR98" s="269"/>
      <c r="CS98" s="269"/>
      <c r="CT98" s="269"/>
      <c r="CU98" s="269"/>
      <c r="CV98" s="269"/>
      <c r="CW98" s="269"/>
      <c r="CX98" s="269"/>
      <c r="CY98" s="269"/>
      <c r="CZ98" s="269"/>
      <c r="DA98" s="269"/>
      <c r="DB98" s="269"/>
      <c r="DC98" s="269"/>
      <c r="DD98" s="269"/>
    </row>
    <row r="99" spans="74:108">
      <c r="BV99" s="269"/>
      <c r="BW99" s="269"/>
      <c r="BX99" s="269"/>
      <c r="BY99" s="269"/>
      <c r="BZ99" s="269"/>
      <c r="CA99" s="269"/>
      <c r="CB99" s="269"/>
      <c r="CC99" s="269"/>
      <c r="CD99" s="269"/>
      <c r="CE99" s="269"/>
      <c r="CF99" s="269"/>
      <c r="CG99" s="269"/>
      <c r="CH99" s="269"/>
      <c r="CI99" s="269"/>
      <c r="CJ99" s="269"/>
      <c r="CK99" s="269"/>
      <c r="CL99" s="269"/>
      <c r="CM99" s="269"/>
      <c r="CN99" s="269"/>
      <c r="CO99" s="269"/>
      <c r="CP99" s="269"/>
      <c r="CQ99" s="269"/>
      <c r="CR99" s="269"/>
      <c r="CS99" s="269"/>
      <c r="CT99" s="269"/>
      <c r="CU99" s="269"/>
      <c r="CV99" s="269"/>
      <c r="CW99" s="269"/>
      <c r="CX99" s="269"/>
      <c r="CY99" s="269"/>
      <c r="CZ99" s="269"/>
      <c r="DA99" s="269"/>
      <c r="DB99" s="269"/>
      <c r="DC99" s="269"/>
      <c r="DD99" s="269"/>
    </row>
    <row r="100" spans="74:108">
      <c r="BV100" s="269"/>
      <c r="BW100" s="269"/>
      <c r="BX100" s="269"/>
      <c r="BY100" s="269"/>
      <c r="BZ100" s="269"/>
      <c r="CA100" s="269"/>
      <c r="CB100" s="269"/>
      <c r="CC100" s="269"/>
      <c r="CD100" s="269"/>
      <c r="CE100" s="269"/>
      <c r="CF100" s="269"/>
      <c r="CG100" s="269"/>
      <c r="CH100" s="269"/>
      <c r="CI100" s="269"/>
      <c r="CJ100" s="269"/>
      <c r="CK100" s="269"/>
      <c r="CL100" s="269"/>
      <c r="CM100" s="269"/>
      <c r="CN100" s="269"/>
      <c r="CO100" s="269"/>
      <c r="CP100" s="269"/>
      <c r="CQ100" s="269"/>
      <c r="CR100" s="269"/>
      <c r="CS100" s="269"/>
      <c r="CT100" s="269"/>
      <c r="CU100" s="269"/>
      <c r="CV100" s="269"/>
      <c r="CW100" s="269"/>
      <c r="CX100" s="269"/>
      <c r="CY100" s="269"/>
      <c r="CZ100" s="269"/>
      <c r="DA100" s="269"/>
      <c r="DB100" s="269"/>
      <c r="DC100" s="269"/>
      <c r="DD100" s="269"/>
    </row>
    <row r="101" spans="74:108">
      <c r="BV101" s="269"/>
      <c r="BW101" s="269"/>
      <c r="BX101" s="269"/>
      <c r="BY101" s="269"/>
      <c r="BZ101" s="269"/>
      <c r="CA101" s="269"/>
      <c r="CB101" s="269"/>
      <c r="CC101" s="269"/>
      <c r="CD101" s="269"/>
      <c r="CE101" s="269"/>
      <c r="CF101" s="269"/>
      <c r="CG101" s="269"/>
      <c r="CH101" s="269"/>
      <c r="CI101" s="269"/>
      <c r="CJ101" s="269"/>
      <c r="CK101" s="269"/>
      <c r="CL101" s="269"/>
      <c r="CM101" s="269"/>
      <c r="CN101" s="269"/>
      <c r="CO101" s="269"/>
      <c r="CP101" s="269"/>
      <c r="CQ101" s="269"/>
      <c r="CR101" s="269"/>
      <c r="CS101" s="269"/>
      <c r="CT101" s="269"/>
      <c r="CU101" s="269"/>
      <c r="CV101" s="269"/>
      <c r="CW101" s="269"/>
      <c r="CX101" s="269"/>
      <c r="CY101" s="269"/>
      <c r="CZ101" s="269"/>
      <c r="DA101" s="269"/>
      <c r="DB101" s="269"/>
      <c r="DC101" s="269"/>
      <c r="DD101" s="269"/>
    </row>
    <row r="102" spans="74:108">
      <c r="BV102" s="269"/>
      <c r="BW102" s="269"/>
      <c r="BX102" s="269"/>
      <c r="BY102" s="269"/>
      <c r="BZ102" s="269"/>
      <c r="CA102" s="269"/>
      <c r="CB102" s="269"/>
      <c r="CC102" s="269"/>
      <c r="CD102" s="269"/>
      <c r="CE102" s="269"/>
      <c r="CF102" s="269"/>
      <c r="CG102" s="269"/>
      <c r="CH102" s="269"/>
      <c r="CI102" s="269"/>
      <c r="CJ102" s="269"/>
      <c r="CK102" s="269"/>
      <c r="CL102" s="269"/>
      <c r="CM102" s="269"/>
      <c r="CN102" s="269"/>
      <c r="CO102" s="269"/>
      <c r="CP102" s="269"/>
      <c r="CQ102" s="269"/>
      <c r="CR102" s="269"/>
      <c r="CS102" s="269"/>
      <c r="CT102" s="269"/>
      <c r="CU102" s="269"/>
      <c r="CV102" s="269"/>
      <c r="CW102" s="269"/>
      <c r="CX102" s="269"/>
      <c r="CY102" s="269"/>
      <c r="CZ102" s="269"/>
      <c r="DA102" s="269"/>
      <c r="DB102" s="269"/>
      <c r="DC102" s="269"/>
      <c r="DD102" s="269"/>
    </row>
    <row r="103" spans="74:108">
      <c r="BV103" s="269"/>
      <c r="BW103" s="269"/>
      <c r="BX103" s="269"/>
      <c r="BY103" s="269"/>
      <c r="BZ103" s="269"/>
      <c r="CA103" s="269"/>
      <c r="CB103" s="269"/>
      <c r="CC103" s="269"/>
      <c r="CD103" s="269"/>
      <c r="CE103" s="269"/>
      <c r="CF103" s="269"/>
      <c r="CG103" s="269"/>
      <c r="CH103" s="269"/>
      <c r="CI103" s="269"/>
      <c r="CJ103" s="269"/>
      <c r="CK103" s="269"/>
      <c r="CL103" s="269"/>
      <c r="CM103" s="269"/>
      <c r="CN103" s="269"/>
      <c r="CO103" s="269"/>
      <c r="CP103" s="269"/>
      <c r="CQ103" s="269"/>
      <c r="CR103" s="269"/>
      <c r="CS103" s="269"/>
      <c r="CT103" s="269"/>
      <c r="CU103" s="269"/>
      <c r="CV103" s="269"/>
      <c r="CW103" s="269"/>
      <c r="CX103" s="269"/>
      <c r="CY103" s="269"/>
      <c r="CZ103" s="269"/>
      <c r="DA103" s="269"/>
      <c r="DB103" s="269"/>
      <c r="DC103" s="269"/>
      <c r="DD103" s="269"/>
    </row>
    <row r="104" spans="74:108">
      <c r="BV104" s="269"/>
      <c r="BW104" s="269"/>
      <c r="BX104" s="269"/>
      <c r="BY104" s="269"/>
      <c r="BZ104" s="269"/>
      <c r="CA104" s="269"/>
      <c r="CB104" s="269"/>
      <c r="CC104" s="269"/>
      <c r="CD104" s="269"/>
      <c r="CE104" s="269"/>
      <c r="CF104" s="269"/>
      <c r="CG104" s="269"/>
      <c r="CH104" s="269"/>
      <c r="CI104" s="269"/>
      <c r="CJ104" s="269"/>
      <c r="CK104" s="269"/>
      <c r="CL104" s="269"/>
      <c r="CM104" s="269"/>
      <c r="CN104" s="269"/>
      <c r="CO104" s="269"/>
      <c r="CP104" s="269"/>
      <c r="CQ104" s="269"/>
      <c r="CR104" s="269"/>
      <c r="CS104" s="269"/>
      <c r="CT104" s="269"/>
      <c r="CU104" s="269"/>
      <c r="CV104" s="269"/>
      <c r="CW104" s="269"/>
      <c r="CX104" s="269"/>
      <c r="CY104" s="269"/>
      <c r="CZ104" s="269"/>
      <c r="DA104" s="269"/>
      <c r="DB104" s="269"/>
      <c r="DC104" s="269"/>
      <c r="DD104" s="269"/>
    </row>
    <row r="105" spans="74:108">
      <c r="BV105" s="269"/>
      <c r="BW105" s="269"/>
      <c r="BX105" s="269"/>
      <c r="BY105" s="269"/>
      <c r="BZ105" s="269"/>
      <c r="CA105" s="269"/>
      <c r="CB105" s="269"/>
      <c r="CC105" s="269"/>
      <c r="CD105" s="269"/>
      <c r="CE105" s="269"/>
      <c r="CF105" s="269"/>
      <c r="CG105" s="269"/>
      <c r="CH105" s="269"/>
      <c r="CI105" s="269"/>
      <c r="CJ105" s="269"/>
      <c r="CK105" s="269"/>
      <c r="CL105" s="269"/>
      <c r="CM105" s="269"/>
      <c r="CN105" s="269"/>
      <c r="CO105" s="269"/>
      <c r="CP105" s="269"/>
      <c r="CQ105" s="269"/>
      <c r="CR105" s="269"/>
      <c r="CS105" s="269"/>
      <c r="CT105" s="269"/>
      <c r="CU105" s="269"/>
      <c r="CV105" s="269"/>
      <c r="CW105" s="269"/>
      <c r="CX105" s="269"/>
      <c r="CY105" s="269"/>
      <c r="CZ105" s="269"/>
      <c r="DA105" s="269"/>
      <c r="DB105" s="269"/>
      <c r="DC105" s="269"/>
      <c r="DD105" s="269"/>
    </row>
    <row r="106" spans="74:108">
      <c r="BV106" s="269"/>
      <c r="BW106" s="269"/>
      <c r="BX106" s="269"/>
      <c r="BY106" s="269"/>
      <c r="BZ106" s="269"/>
      <c r="CA106" s="269"/>
      <c r="CB106" s="269"/>
      <c r="CC106" s="269"/>
      <c r="CD106" s="269"/>
      <c r="CE106" s="269"/>
      <c r="CF106" s="269"/>
      <c r="CG106" s="269"/>
      <c r="CH106" s="269"/>
      <c r="CI106" s="269"/>
      <c r="CJ106" s="269"/>
      <c r="CK106" s="269"/>
      <c r="CL106" s="269"/>
      <c r="CM106" s="269"/>
      <c r="CN106" s="269"/>
      <c r="CO106" s="269"/>
      <c r="CP106" s="269"/>
      <c r="CQ106" s="269"/>
      <c r="CR106" s="269"/>
      <c r="CS106" s="269"/>
      <c r="CT106" s="269"/>
      <c r="CU106" s="269"/>
      <c r="CV106" s="269"/>
      <c r="CW106" s="269"/>
      <c r="CX106" s="269"/>
      <c r="CY106" s="269"/>
      <c r="CZ106" s="269"/>
      <c r="DA106" s="269"/>
      <c r="DB106" s="269"/>
      <c r="DC106" s="269"/>
      <c r="DD106" s="269"/>
    </row>
    <row r="107" spans="74:108">
      <c r="BV107" s="269"/>
      <c r="BW107" s="269"/>
      <c r="BX107" s="269"/>
      <c r="BY107" s="269"/>
      <c r="BZ107" s="269"/>
      <c r="CA107" s="269"/>
      <c r="CB107" s="269"/>
      <c r="CC107" s="269"/>
      <c r="CD107" s="269"/>
      <c r="CE107" s="269"/>
      <c r="CF107" s="269"/>
      <c r="CG107" s="269"/>
      <c r="CH107" s="269"/>
      <c r="CI107" s="269"/>
      <c r="CJ107" s="269"/>
      <c r="CK107" s="269"/>
      <c r="CL107" s="269"/>
      <c r="CM107" s="269"/>
      <c r="CN107" s="269"/>
      <c r="CO107" s="269"/>
      <c r="CP107" s="269"/>
      <c r="CQ107" s="269"/>
      <c r="CR107" s="269"/>
      <c r="CS107" s="269"/>
      <c r="CT107" s="269"/>
      <c r="CU107" s="269"/>
      <c r="CV107" s="269"/>
      <c r="CW107" s="269"/>
      <c r="CX107" s="269"/>
      <c r="CY107" s="269"/>
      <c r="CZ107" s="269"/>
      <c r="DA107" s="269"/>
      <c r="DB107" s="269"/>
      <c r="DC107" s="269"/>
      <c r="DD107" s="269"/>
    </row>
    <row r="108" spans="74:108">
      <c r="BV108" s="269"/>
      <c r="BW108" s="269"/>
      <c r="BX108" s="269"/>
      <c r="BY108" s="269"/>
      <c r="BZ108" s="269"/>
      <c r="CA108" s="269"/>
      <c r="CB108" s="269"/>
      <c r="CC108" s="269"/>
      <c r="CD108" s="269"/>
      <c r="CE108" s="269"/>
      <c r="CF108" s="269"/>
      <c r="CG108" s="269"/>
      <c r="CH108" s="269"/>
      <c r="CI108" s="269"/>
      <c r="CJ108" s="269"/>
      <c r="CK108" s="269"/>
      <c r="CL108" s="269"/>
      <c r="CM108" s="269"/>
      <c r="CN108" s="269"/>
      <c r="CO108" s="269"/>
      <c r="CP108" s="269"/>
      <c r="CQ108" s="269"/>
      <c r="CR108" s="269"/>
      <c r="CS108" s="269"/>
      <c r="CT108" s="269"/>
      <c r="CU108" s="269"/>
      <c r="CV108" s="269"/>
      <c r="CW108" s="269"/>
      <c r="CX108" s="269"/>
      <c r="CY108" s="269"/>
      <c r="CZ108" s="269"/>
      <c r="DA108" s="269"/>
      <c r="DB108" s="269"/>
      <c r="DC108" s="269"/>
      <c r="DD108" s="269"/>
    </row>
    <row r="109" spans="74:108">
      <c r="BV109" s="269"/>
      <c r="BW109" s="269"/>
      <c r="BX109" s="269"/>
      <c r="BY109" s="269"/>
      <c r="BZ109" s="269"/>
      <c r="CA109" s="269"/>
      <c r="CB109" s="269"/>
      <c r="CC109" s="269"/>
      <c r="CD109" s="269"/>
      <c r="CE109" s="269"/>
      <c r="CF109" s="269"/>
      <c r="CG109" s="269"/>
      <c r="CH109" s="269"/>
      <c r="CI109" s="269"/>
      <c r="CJ109" s="269"/>
      <c r="CK109" s="269"/>
      <c r="CL109" s="269"/>
      <c r="CM109" s="269"/>
      <c r="CN109" s="269"/>
      <c r="CO109" s="269"/>
      <c r="CP109" s="269"/>
      <c r="CQ109" s="269"/>
      <c r="CR109" s="269"/>
      <c r="CS109" s="269"/>
      <c r="CT109" s="269"/>
      <c r="CU109" s="269"/>
      <c r="CV109" s="269"/>
      <c r="CW109" s="269"/>
      <c r="CX109" s="269"/>
      <c r="CY109" s="269"/>
      <c r="CZ109" s="269"/>
      <c r="DA109" s="269"/>
      <c r="DB109" s="269"/>
      <c r="DC109" s="269"/>
      <c r="DD109" s="269"/>
    </row>
    <row r="110" spans="74:108">
      <c r="BV110" s="269"/>
      <c r="BW110" s="269"/>
      <c r="BX110" s="269"/>
      <c r="BY110" s="269"/>
      <c r="BZ110" s="269"/>
      <c r="CA110" s="269"/>
      <c r="CB110" s="269"/>
      <c r="CC110" s="269"/>
      <c r="CD110" s="269"/>
      <c r="CE110" s="269"/>
      <c r="CF110" s="269"/>
      <c r="CG110" s="269"/>
      <c r="CH110" s="269"/>
      <c r="CI110" s="269"/>
      <c r="CJ110" s="269"/>
      <c r="CK110" s="269"/>
      <c r="CL110" s="269"/>
      <c r="CM110" s="269"/>
      <c r="CN110" s="269"/>
      <c r="CO110" s="269"/>
      <c r="CP110" s="269"/>
      <c r="CQ110" s="269"/>
      <c r="CR110" s="269"/>
      <c r="CS110" s="269"/>
      <c r="CT110" s="269"/>
      <c r="CU110" s="269"/>
      <c r="CV110" s="269"/>
      <c r="CW110" s="269"/>
      <c r="CX110" s="269"/>
      <c r="CY110" s="269"/>
      <c r="CZ110" s="269"/>
      <c r="DA110" s="269"/>
      <c r="DB110" s="269"/>
      <c r="DC110" s="269"/>
      <c r="DD110" s="269"/>
    </row>
    <row r="111" spans="74:108">
      <c r="BV111" s="269"/>
      <c r="BW111" s="269"/>
      <c r="BX111" s="269"/>
      <c r="BY111" s="269"/>
      <c r="BZ111" s="269"/>
      <c r="CA111" s="269"/>
      <c r="CB111" s="269"/>
      <c r="CC111" s="269"/>
      <c r="CD111" s="269"/>
      <c r="CE111" s="269"/>
      <c r="CF111" s="269"/>
      <c r="CG111" s="269"/>
      <c r="CH111" s="269"/>
      <c r="CI111" s="269"/>
      <c r="CJ111" s="269"/>
      <c r="CK111" s="269"/>
      <c r="CL111" s="269"/>
      <c r="CM111" s="269"/>
      <c r="CN111" s="269"/>
      <c r="CO111" s="269"/>
      <c r="CP111" s="269"/>
      <c r="CQ111" s="269"/>
      <c r="CR111" s="269"/>
      <c r="CS111" s="269"/>
      <c r="CT111" s="269"/>
      <c r="CU111" s="269"/>
      <c r="CV111" s="269"/>
      <c r="CW111" s="269"/>
      <c r="CX111" s="269"/>
      <c r="CY111" s="269"/>
      <c r="CZ111" s="269"/>
      <c r="DA111" s="269"/>
      <c r="DB111" s="269"/>
      <c r="DC111" s="269"/>
      <c r="DD111" s="269"/>
    </row>
  </sheetData>
  <phoneticPr fontId="5" type="noConversion"/>
  <printOptions horizontalCentered="1" verticalCentered="1"/>
  <pageMargins left="0.75" right="0.75" top="1" bottom="1" header="0.5" footer="0.5"/>
  <pageSetup orientation="portrait" horizontalDpi="4294967292" verticalDpi="180" r:id="rId1"/>
  <headerFooter alignWithMargins="0"/>
  <ignoredErrors>
    <ignoredError sqref="AP15:AP16 AY15:AY19 AY23 BD12:BD13 BD15:BD16 BD18:BD19 BD23 BD29 BI15:BI16 BI18:BI19" formulaRange="1"/>
    <ignoredError sqref="AK61:AQ61 AM34 AO31 AI30 AU61 AV14 AZ61 BE61 BJ17 BU55:CE55 BJ14 BJ21 BP8 BP14 BP55 BP17 BO14:BO17 BN25 BJ61 BF61:BI61 BK61:BP61 BQ64 BR61 BT61:BZ61" formula="1"/>
    <ignoredError sqref="BD14 BD17 BI17" formula="1" formulaRange="1"/>
    <ignoredError sqref="BQ50 BQ52:BQ60 BS50:BS51 BS53:BS55 BS57:BS60 BS62:BS64" evalError="1"/>
    <ignoredError sqref="BQ61:BQ63 BS61" evalError="1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Q63"/>
  <sheetViews>
    <sheetView workbookViewId="0">
      <selection activeCell="B1" sqref="B1"/>
    </sheetView>
  </sheetViews>
  <sheetFormatPr defaultRowHeight="11.25"/>
  <cols>
    <col min="1" max="1" width="9.140625" style="1342"/>
    <col min="2" max="2" width="23.7109375" style="1342" customWidth="1"/>
    <col min="3" max="3" width="8.85546875" style="1342" bestFit="1" customWidth="1"/>
    <col min="4" max="4" width="8.5703125" style="1342" customWidth="1"/>
    <col min="5" max="5" width="5.140625" style="1342" bestFit="1" customWidth="1"/>
    <col min="6" max="6" width="8.140625" style="1342" customWidth="1"/>
    <col min="7" max="7" width="5.140625" style="1342" customWidth="1"/>
    <col min="8" max="8" width="4.7109375" style="1342" bestFit="1" customWidth="1"/>
    <col min="9" max="14" width="9.140625" style="1342"/>
    <col min="15" max="16" width="11.140625" style="1342" bestFit="1" customWidth="1"/>
    <col min="17" max="16384" width="9.140625" style="1342"/>
  </cols>
  <sheetData>
    <row r="2" spans="2:16">
      <c r="B2" s="1339" t="s">
        <v>611</v>
      </c>
      <c r="C2" s="1353"/>
      <c r="D2" s="1353"/>
      <c r="E2" s="1354"/>
      <c r="F2" s="1354"/>
      <c r="G2" s="1354"/>
      <c r="H2" s="1354"/>
    </row>
    <row r="3" spans="2:16" ht="12" customHeight="1">
      <c r="B3" s="1355" t="s">
        <v>612</v>
      </c>
      <c r="C3" s="1356" t="s">
        <v>960</v>
      </c>
      <c r="D3" s="1356" t="s">
        <v>629</v>
      </c>
      <c r="E3" s="1357" t="s">
        <v>596</v>
      </c>
      <c r="F3" s="1356" t="s">
        <v>1022</v>
      </c>
      <c r="G3" s="1356" t="s">
        <v>1021</v>
      </c>
      <c r="H3" s="1357" t="s">
        <v>597</v>
      </c>
    </row>
    <row r="4" spans="2:16" ht="12" customHeight="1">
      <c r="B4" s="1342" t="s">
        <v>164</v>
      </c>
      <c r="C4" s="1358">
        <f>IS!BM12</f>
        <v>7202.8729999999996</v>
      </c>
      <c r="D4" s="1358">
        <f>IS!BL12</f>
        <v>6549.15</v>
      </c>
      <c r="E4" s="1359">
        <f>C4/D4-1</f>
        <v>9.9817991647771054E-2</v>
      </c>
      <c r="F4" s="1360">
        <f>SUM(IS!BK12:BM12)</f>
        <v>19606.095999999998</v>
      </c>
      <c r="G4" s="1358">
        <f>SUM(IS!BF12:BH12)</f>
        <v>18131.992999999999</v>
      </c>
      <c r="H4" s="1359">
        <f>F4/G4-1</f>
        <v>8.1298454064040238E-2</v>
      </c>
    </row>
    <row r="5" spans="2:16" ht="12" customHeight="1">
      <c r="B5" s="1342" t="s">
        <v>165</v>
      </c>
      <c r="C5" s="1358">
        <f>IS!BM13</f>
        <v>5035.2449999999999</v>
      </c>
      <c r="D5" s="1358">
        <f>IS!BL13</f>
        <v>4338.6510000000007</v>
      </c>
      <c r="E5" s="1359">
        <f t="shared" ref="E5:E14" si="0">C5/D5-1</f>
        <v>0.16055543531848926</v>
      </c>
      <c r="F5" s="1360">
        <f>SUM(IS!BK13:BM13)</f>
        <v>13233.298999999999</v>
      </c>
      <c r="G5" s="1358">
        <f>SUM(IS!BF13:BH13)</f>
        <v>11304.883</v>
      </c>
      <c r="H5" s="1359">
        <f t="shared" ref="H5:H12" si="1">F5/G5-1</f>
        <v>0.17058257038131219</v>
      </c>
    </row>
    <row r="6" spans="2:16" ht="12" customHeight="1">
      <c r="B6" s="1342" t="s">
        <v>483</v>
      </c>
      <c r="C6" s="1358">
        <f>IS!BM14</f>
        <v>2167.6279999999997</v>
      </c>
      <c r="D6" s="1360">
        <f>IS!BL14</f>
        <v>2210.4989999999989</v>
      </c>
      <c r="E6" s="1359">
        <f t="shared" si="0"/>
        <v>-1.939426346720774E-2</v>
      </c>
      <c r="F6" s="1360">
        <f>SUM(IS!BK14:BM14)</f>
        <v>6372.7969999999996</v>
      </c>
      <c r="G6" s="1358">
        <f>SUM(IS!BF14:BH14)</f>
        <v>6827.11</v>
      </c>
      <c r="H6" s="1359">
        <f t="shared" si="1"/>
        <v>-6.6545434305291695E-2</v>
      </c>
    </row>
    <row r="7" spans="2:16" ht="12" customHeight="1">
      <c r="B7" s="1342" t="s">
        <v>598</v>
      </c>
      <c r="C7" s="1358">
        <f>IS!BM15</f>
        <v>119.011</v>
      </c>
      <c r="D7" s="1358">
        <f>IS!BL15</f>
        <v>117.245</v>
      </c>
      <c r="E7" s="1359">
        <f t="shared" si="0"/>
        <v>1.5062476011770132E-2</v>
      </c>
      <c r="F7" s="1360">
        <f>SUM(IS!BK15:BM15)</f>
        <v>343.488</v>
      </c>
      <c r="G7" s="1358">
        <f>SUM(IS!BF15:BH15)</f>
        <v>289.76</v>
      </c>
      <c r="H7" s="1359">
        <f t="shared" si="1"/>
        <v>0.18542241855328556</v>
      </c>
    </row>
    <row r="8" spans="2:16" ht="12" customHeight="1">
      <c r="B8" s="1342" t="s">
        <v>599</v>
      </c>
      <c r="C8" s="1358">
        <f>IS!BM16</f>
        <v>449.76900000000001</v>
      </c>
      <c r="D8" s="1358">
        <f>IS!BL16</f>
        <v>419.55200000000002</v>
      </c>
      <c r="E8" s="1359">
        <f t="shared" si="0"/>
        <v>7.2022061627640799E-2</v>
      </c>
      <c r="F8" s="1360">
        <f>SUM(IS!BK16:BM16)</f>
        <v>1190.2860000000001</v>
      </c>
      <c r="G8" s="1358">
        <f>SUM(IS!BF16:BH16)</f>
        <v>1281.5930000000001</v>
      </c>
      <c r="H8" s="1359">
        <f t="shared" si="1"/>
        <v>-7.1244927211681075E-2</v>
      </c>
      <c r="O8" s="1342">
        <v>63</v>
      </c>
      <c r="P8" s="1342">
        <f>+O8*86</f>
        <v>5418</v>
      </c>
    </row>
    <row r="9" spans="2:16" ht="12" customHeight="1">
      <c r="B9" s="1342" t="s">
        <v>367</v>
      </c>
      <c r="C9" s="1358">
        <f>IS!BM18</f>
        <v>319.73399999999998</v>
      </c>
      <c r="D9" s="1358">
        <f>IS!BL18</f>
        <v>598.10500000000002</v>
      </c>
      <c r="E9" s="1359">
        <f t="shared" si="0"/>
        <v>-0.46542162329356895</v>
      </c>
      <c r="F9" s="1360">
        <f>SUM(IS!BK18:BM18)</f>
        <v>1283.048</v>
      </c>
      <c r="G9" s="1358">
        <f>SUM(IS!BF18:BH18)</f>
        <v>1085.192</v>
      </c>
      <c r="H9" s="1359">
        <f t="shared" si="1"/>
        <v>0.18232349667155678</v>
      </c>
      <c r="O9" s="1342">
        <f>+O8*0.014</f>
        <v>0.88200000000000001</v>
      </c>
      <c r="P9" s="1342">
        <f>+P8*1.4%</f>
        <v>75.85199999999999</v>
      </c>
    </row>
    <row r="10" spans="2:16" ht="12" customHeight="1">
      <c r="B10" s="1342" t="s">
        <v>552</v>
      </c>
      <c r="C10" s="1358">
        <f>IS!BM23</f>
        <v>206.10499999999999</v>
      </c>
      <c r="D10" s="1358">
        <f>IS!BL23</f>
        <v>152.233</v>
      </c>
      <c r="E10" s="1359">
        <f t="shared" si="0"/>
        <v>0.35387859399735921</v>
      </c>
      <c r="F10" s="1360">
        <f>SUM(IS!BK23:BM23)</f>
        <v>571.65800000000002</v>
      </c>
      <c r="G10" s="1358">
        <f>SUM(IS!BF23:BH23)</f>
        <v>802.06499999999994</v>
      </c>
      <c r="H10" s="1359">
        <f t="shared" si="1"/>
        <v>-0.28726724143305082</v>
      </c>
      <c r="M10" s="1342">
        <f>63*85</f>
        <v>5355</v>
      </c>
      <c r="O10" s="1342">
        <f>+O9*85</f>
        <v>74.97</v>
      </c>
    </row>
    <row r="11" spans="2:16" ht="12" customHeight="1">
      <c r="B11" s="1342" t="s">
        <v>1020</v>
      </c>
      <c r="C11" s="1358">
        <f>IS!BM25</f>
        <v>1756.2719999999997</v>
      </c>
      <c r="D11" s="1358">
        <f>IS!BL25</f>
        <v>1938.9169999999988</v>
      </c>
      <c r="E11" s="1359">
        <f t="shared" ref="E11" si="2">C11/D11-1</f>
        <v>-9.4199493841149007E-2</v>
      </c>
      <c r="F11" s="1360">
        <f>SUM(IS!BK25:BM25)</f>
        <v>5241.4349999999995</v>
      </c>
      <c r="G11" s="1358">
        <f>SUM(IS!BF25:BH25)</f>
        <v>5129.3799999999992</v>
      </c>
      <c r="H11" s="1359">
        <f t="shared" ref="H11" si="3">F11/G11-1</f>
        <v>2.1845720145514669E-2</v>
      </c>
    </row>
    <row r="12" spans="2:16" ht="12" customHeight="1">
      <c r="B12" s="1342" t="s">
        <v>21</v>
      </c>
      <c r="C12" s="1358">
        <f>IS!BM30</f>
        <v>1274.7239999999997</v>
      </c>
      <c r="D12" s="1358">
        <f>IS!BL30</f>
        <v>1601.8179999999988</v>
      </c>
      <c r="E12" s="1359">
        <f t="shared" si="0"/>
        <v>-0.20420172578907181</v>
      </c>
      <c r="F12" s="1360">
        <f>SUM(IS!BK30:BM30)</f>
        <v>3943.7949999999996</v>
      </c>
      <c r="G12" s="1358">
        <f>SUM(IS!BF30:BH30)</f>
        <v>4241.7479999999987</v>
      </c>
      <c r="H12" s="1359">
        <f t="shared" si="1"/>
        <v>-7.0242975301691435E-2</v>
      </c>
    </row>
    <row r="13" spans="2:16" ht="12" customHeight="1">
      <c r="B13" s="1361" t="s">
        <v>566</v>
      </c>
      <c r="C13" s="1362">
        <f>C12/438.1192</f>
        <v>2.9095369479356297</v>
      </c>
      <c r="D13" s="1362">
        <f>D12/438.1192</f>
        <v>3.6561237215807911</v>
      </c>
      <c r="E13" s="1363"/>
      <c r="F13" s="1362">
        <f t="shared" ref="F13:G13" si="4">F12/438.1192</f>
        <v>9.0016484098391487</v>
      </c>
      <c r="G13" s="1362">
        <f t="shared" si="4"/>
        <v>9.6817213215033693</v>
      </c>
      <c r="H13" s="1363">
        <f>F13/G13-1</f>
        <v>-7.0242975301691435E-2</v>
      </c>
      <c r="I13" s="1342">
        <f>F13/G13</f>
        <v>0.92975702469830857</v>
      </c>
      <c r="J13" s="1342">
        <f>C13/D13</f>
        <v>0.79579827421092819</v>
      </c>
    </row>
    <row r="14" spans="2:16" ht="12" customHeight="1">
      <c r="B14" s="1342" t="s">
        <v>359</v>
      </c>
      <c r="C14" s="1358">
        <f>Assumptions!BL32/1000</f>
        <v>1088.8262</v>
      </c>
      <c r="D14" s="1358">
        <f>Assumptions!BK32/1000</f>
        <v>950.65499999999997</v>
      </c>
      <c r="E14" s="1359">
        <f t="shared" si="0"/>
        <v>0.1453431581383362</v>
      </c>
      <c r="F14" s="1358">
        <f>SUM(Assumptions!BJ32:BL32)/1000</f>
        <v>2942.9522000000002</v>
      </c>
      <c r="G14" s="1358">
        <f>SUM(Assumptions!BE32:BG32)/1000</f>
        <v>2922.645</v>
      </c>
      <c r="H14" s="1359">
        <f>F14/G14-1</f>
        <v>6.9482266919178581E-3</v>
      </c>
    </row>
    <row r="15" spans="2:16" ht="12" customHeight="1">
      <c r="B15" s="1348" t="s">
        <v>616</v>
      </c>
      <c r="C15" s="1349"/>
      <c r="D15" s="1349"/>
      <c r="E15" s="1349"/>
      <c r="F15" s="1349"/>
      <c r="G15" s="1349"/>
      <c r="H15" s="1349"/>
      <c r="J15" s="1342">
        <v>625.58600000000001</v>
      </c>
      <c r="K15" s="1342">
        <v>710.16800000000001</v>
      </c>
      <c r="L15" s="1359">
        <f>J15/K15-1</f>
        <v>-0.11910139572608169</v>
      </c>
    </row>
    <row r="16" spans="2:16" ht="12" customHeight="1">
      <c r="B16" s="1364"/>
      <c r="C16" s="1365">
        <f>C12/C11</f>
        <v>0.72581240263467162</v>
      </c>
      <c r="D16" s="1365"/>
      <c r="E16" s="1365"/>
      <c r="F16" s="1365"/>
      <c r="G16" s="1365"/>
      <c r="H16" s="1365"/>
      <c r="L16" s="1359"/>
    </row>
    <row r="17" spans="2:17">
      <c r="B17" s="1365"/>
      <c r="C17" s="1365"/>
      <c r="D17" s="1365">
        <f>C13/D13</f>
        <v>0.79579827421092819</v>
      </c>
      <c r="E17" s="1365"/>
      <c r="F17" s="1365"/>
      <c r="G17" s="1365"/>
      <c r="H17" s="1365"/>
      <c r="J17" s="1342">
        <v>344.48500000000001</v>
      </c>
      <c r="K17" s="1342">
        <v>210.46299999999999</v>
      </c>
      <c r="L17" s="1359">
        <f>J17/K17-1</f>
        <v>0.63679601640193306</v>
      </c>
    </row>
    <row r="18" spans="2:17">
      <c r="C18" s="1358">
        <f>C4/C20*1000000</f>
        <v>6615.2642175583214</v>
      </c>
      <c r="D18" s="1358">
        <f>D4/D20*1000000</f>
        <v>6889.0922574435517</v>
      </c>
      <c r="E18" s="1366">
        <f>C18/D18-1</f>
        <v>-3.9748058184206125E-2</v>
      </c>
      <c r="F18" s="1358">
        <f>F4/F20*1000000</f>
        <v>6662.0504403707264</v>
      </c>
      <c r="G18" s="1358">
        <f>G4/G20*1000000</f>
        <v>6203.96695459079</v>
      </c>
      <c r="H18" s="1359">
        <f>F18/G18-1</f>
        <v>7.3837189838828143E-2</v>
      </c>
      <c r="J18" s="1367">
        <f>C18/D18-1</f>
        <v>-3.9748058184206125E-2</v>
      </c>
    </row>
    <row r="19" spans="2:17">
      <c r="C19" s="1368">
        <f>C5/C20*1000000</f>
        <v>4624.4708292287605</v>
      </c>
      <c r="D19" s="1359">
        <f>C20/D20-1</f>
        <v>0.1453431581383362</v>
      </c>
      <c r="O19" s="1342" t="s">
        <v>601</v>
      </c>
    </row>
    <row r="20" spans="2:17">
      <c r="B20" s="1366"/>
      <c r="C20" s="1369">
        <f>Assumptions!BL32</f>
        <v>1088826.2</v>
      </c>
      <c r="D20" s="1369">
        <f>Assumptions!BK32</f>
        <v>950655</v>
      </c>
      <c r="E20" s="1370"/>
      <c r="F20" s="1371">
        <f>SUM(Assumptions!BJ32:BL32)</f>
        <v>2942952.2</v>
      </c>
      <c r="G20" s="1371">
        <f>SUM(Assumptions!BE32:BG32)</f>
        <v>2922645</v>
      </c>
      <c r="H20" s="1359">
        <f>F20/G20-1</f>
        <v>6.9482266919178581E-3</v>
      </c>
      <c r="I20" s="1366">
        <f>F20/G20-1</f>
        <v>6.9482266919178581E-3</v>
      </c>
      <c r="J20" s="1366">
        <f>C20/D20-1</f>
        <v>0.1453431581383362</v>
      </c>
      <c r="O20" s="1368">
        <v>2751.953</v>
      </c>
      <c r="P20" s="1358">
        <v>3384.63</v>
      </c>
    </row>
    <row r="21" spans="2:17">
      <c r="C21" s="1372">
        <f>C6/C4</f>
        <v>0.30093936127986703</v>
      </c>
      <c r="D21" s="1372">
        <f>D6/D4</f>
        <v>0.33752456425643007</v>
      </c>
      <c r="E21" s="1370"/>
      <c r="F21" s="1372">
        <f>F6/F4</f>
        <v>0.3250416095075736</v>
      </c>
      <c r="G21" s="1372">
        <f>G6/G4</f>
        <v>0.37652286761857895</v>
      </c>
      <c r="H21" s="1370"/>
      <c r="P21" s="1366">
        <f>P20/O20-1</f>
        <v>0.229901092060802</v>
      </c>
    </row>
    <row r="22" spans="2:17">
      <c r="C22" s="1370"/>
      <c r="D22" s="1370"/>
      <c r="E22" s="1370"/>
      <c r="F22" s="1370"/>
      <c r="G22" s="1370"/>
      <c r="H22" s="1370"/>
    </row>
    <row r="23" spans="2:17" ht="13.5" customHeight="1">
      <c r="B23" s="1339" t="s">
        <v>603</v>
      </c>
      <c r="C23" s="1340" t="s">
        <v>604</v>
      </c>
      <c r="D23" s="1340" t="s">
        <v>595</v>
      </c>
      <c r="E23" s="1341" t="s">
        <v>596</v>
      </c>
      <c r="F23" s="1341" t="s">
        <v>605</v>
      </c>
      <c r="G23" s="1341" t="s">
        <v>606</v>
      </c>
      <c r="H23" s="1341" t="s">
        <v>597</v>
      </c>
      <c r="K23" s="1358">
        <f>F24/F20*1000000</f>
        <v>4413.3466503413556</v>
      </c>
      <c r="L23" s="1358">
        <f>G24/G20*1000000</f>
        <v>4054.9690434520789</v>
      </c>
      <c r="M23" s="1366">
        <f>K23/L23-1</f>
        <v>8.837986259549413E-2</v>
      </c>
    </row>
    <row r="24" spans="2:17" ht="13.5" customHeight="1">
      <c r="B24" s="1342" t="s">
        <v>164</v>
      </c>
      <c r="C24" s="1358">
        <v>4813.6052339847256</v>
      </c>
      <c r="D24" s="1358">
        <v>4646.74</v>
      </c>
      <c r="E24" s="1359">
        <v>3.5910172289546072E-2</v>
      </c>
      <c r="F24" s="1360">
        <v>12988.268233984725</v>
      </c>
      <c r="G24" s="1358">
        <v>11851.235000000001</v>
      </c>
      <c r="H24" s="1359">
        <v>9.5942172607726084E-2</v>
      </c>
      <c r="K24" s="1358">
        <f>C24/C20*1000000</f>
        <v>4420.9123861868184</v>
      </c>
      <c r="L24" s="1358">
        <f>D24/D20*1000000</f>
        <v>4887.935160494606</v>
      </c>
      <c r="M24" s="1366">
        <f>K24/L24-1</f>
        <v>-9.5546024849586964E-2</v>
      </c>
    </row>
    <row r="25" spans="2:17" ht="13.5" customHeight="1">
      <c r="B25" s="1342" t="s">
        <v>483</v>
      </c>
      <c r="C25" s="1358">
        <v>1095.2647380205717</v>
      </c>
      <c r="D25" s="1360">
        <v>1007.6380000000004</v>
      </c>
      <c r="E25" s="1359">
        <v>8.6962518305752079E-2</v>
      </c>
      <c r="F25" s="1360">
        <v>2781.3417380205719</v>
      </c>
      <c r="G25" s="1358">
        <v>2112.3160000000007</v>
      </c>
      <c r="H25" s="1359">
        <v>0.31672616124697783</v>
      </c>
      <c r="N25" s="1342" t="s">
        <v>602</v>
      </c>
      <c r="O25" s="1342">
        <v>96.36</v>
      </c>
      <c r="P25" s="1342">
        <v>64.510000000000005</v>
      </c>
      <c r="Q25" s="1342">
        <f>O25/P25-1</f>
        <v>0.49372190358084</v>
      </c>
    </row>
    <row r="26" spans="2:17" ht="13.5" customHeight="1">
      <c r="B26" s="1342" t="s">
        <v>599</v>
      </c>
      <c r="C26" s="1358">
        <v>434.72722077561451</v>
      </c>
      <c r="D26" s="1358">
        <v>442.37299999999999</v>
      </c>
      <c r="E26" s="1359">
        <v>-1.7283557595932586E-2</v>
      </c>
      <c r="F26" s="1360">
        <v>1203.8322207756146</v>
      </c>
      <c r="G26" s="1358">
        <v>689.75400000000002</v>
      </c>
      <c r="H26" s="1359">
        <v>0.74530661768632656</v>
      </c>
      <c r="K26" s="1342">
        <v>15</v>
      </c>
      <c r="O26" s="1342">
        <v>103</v>
      </c>
      <c r="P26" s="1342">
        <v>88</v>
      </c>
      <c r="Q26" s="1342">
        <f>O26/P26-1</f>
        <v>0.17045454545454541</v>
      </c>
    </row>
    <row r="27" spans="2:17" ht="13.5" customHeight="1">
      <c r="B27" s="1342" t="s">
        <v>367</v>
      </c>
      <c r="C27" s="1358">
        <v>209.77976319300001</v>
      </c>
      <c r="D27" s="1358">
        <v>312.423</v>
      </c>
      <c r="E27" s="1359">
        <v>-0.32853930986835156</v>
      </c>
      <c r="F27" s="1360">
        <v>755.616763193</v>
      </c>
      <c r="G27" s="1358">
        <v>703.04399999999998</v>
      </c>
      <c r="H27" s="1359">
        <v>7.4778766610624769E-2</v>
      </c>
      <c r="K27" s="1366" t="e">
        <f>+#REF!/K26-1</f>
        <v>#REF!</v>
      </c>
      <c r="N27" s="1342" t="s">
        <v>48</v>
      </c>
      <c r="O27" s="1358">
        <f>Assumptions!AU26+Assumptions!AV26</f>
        <v>2034682</v>
      </c>
      <c r="P27" s="1358">
        <v>2313146</v>
      </c>
      <c r="Q27" s="1342">
        <f>O27/P27-1</f>
        <v>-0.12038323564530728</v>
      </c>
    </row>
    <row r="28" spans="2:17" ht="13.5" customHeight="1">
      <c r="B28" s="1342" t="s">
        <v>552</v>
      </c>
      <c r="C28" s="1358">
        <v>531.93278999999995</v>
      </c>
      <c r="D28" s="1358">
        <v>528.05700000000002</v>
      </c>
      <c r="E28" s="1359">
        <v>7.3397190076069929E-3</v>
      </c>
      <c r="F28" s="1360">
        <v>1548.2217900000001</v>
      </c>
      <c r="G28" s="1358">
        <v>1421.673</v>
      </c>
      <c r="H28" s="1359">
        <v>8.9013992669200404E-2</v>
      </c>
    </row>
    <row r="29" spans="2:17" ht="13.5" customHeight="1">
      <c r="B29" s="1342" t="s">
        <v>21</v>
      </c>
      <c r="C29" s="1358">
        <v>186.95844330657002</v>
      </c>
      <c r="D29" s="1358">
        <v>169.99000000000035</v>
      </c>
      <c r="E29" s="1359">
        <v>9.9820244170655048E-2</v>
      </c>
      <c r="F29" s="1360">
        <v>379.09444330657021</v>
      </c>
      <c r="G29" s="1358">
        <v>388.17</v>
      </c>
      <c r="H29" s="1359">
        <v>-2.3380366059792879E-2</v>
      </c>
      <c r="N29" s="1342">
        <v>3757</v>
      </c>
      <c r="O29" s="1342">
        <v>7285</v>
      </c>
    </row>
    <row r="30" spans="2:17" ht="13.5" customHeight="1">
      <c r="B30" s="1342" t="s">
        <v>607</v>
      </c>
      <c r="C30" s="1373">
        <v>0.51221491316868495</v>
      </c>
      <c r="D30" s="1373">
        <v>0.46572602739726121</v>
      </c>
      <c r="E30" s="1359"/>
      <c r="F30" s="1373">
        <v>1.0386149131686855</v>
      </c>
      <c r="G30" s="1373">
        <v>1.0634794520547945</v>
      </c>
      <c r="H30" s="1359">
        <v>-2.3380366059792879E-2</v>
      </c>
      <c r="J30" s="1373">
        <f>+C30/D30</f>
        <v>1.0998202441706548</v>
      </c>
      <c r="N30" s="1342">
        <v>995</v>
      </c>
      <c r="O30" s="1342">
        <v>1674</v>
      </c>
    </row>
    <row r="31" spans="2:17" ht="13.5" customHeight="1">
      <c r="B31" s="1348" t="s">
        <v>600</v>
      </c>
      <c r="C31" s="1349"/>
      <c r="D31" s="1349"/>
      <c r="E31" s="1349"/>
      <c r="F31" s="1349"/>
      <c r="G31" s="1349"/>
      <c r="H31" s="1349"/>
      <c r="N31" s="1342">
        <f>N29-N30</f>
        <v>2762</v>
      </c>
      <c r="O31" s="1342">
        <f>+O29-O30</f>
        <v>5611</v>
      </c>
    </row>
    <row r="32" spans="2:17">
      <c r="B32" s="1365"/>
      <c r="C32" s="1374">
        <f>C25/C24</f>
        <v>0.22753522251634795</v>
      </c>
      <c r="D32" s="1374">
        <f>D25/D24</f>
        <v>0.2168483711160944</v>
      </c>
      <c r="E32" s="1365"/>
      <c r="F32" s="1374">
        <f>F25/F24</f>
        <v>0.21414261608356638</v>
      </c>
      <c r="G32" s="1374">
        <f>G25/G24</f>
        <v>0.17823593912364413</v>
      </c>
      <c r="H32" s="1365"/>
      <c r="J32" s="1342">
        <v>226</v>
      </c>
      <c r="K32" s="1342">
        <v>214</v>
      </c>
      <c r="P32" s="1342">
        <v>129.75</v>
      </c>
    </row>
    <row r="33" spans="2:17">
      <c r="K33" s="1342">
        <f>+J32-K32</f>
        <v>12</v>
      </c>
      <c r="P33" s="1342">
        <v>114.89</v>
      </c>
    </row>
    <row r="34" spans="2:17">
      <c r="P34" s="1342">
        <f>+P33/P32-1</f>
        <v>-0.11452793834296726</v>
      </c>
    </row>
    <row r="35" spans="2:17" ht="15.75" customHeight="1">
      <c r="B35" s="1411" t="s">
        <v>1045</v>
      </c>
      <c r="C35" s="1411"/>
      <c r="D35" s="1411"/>
      <c r="E35" s="1411"/>
      <c r="F35" s="1411"/>
      <c r="G35" s="1411"/>
    </row>
    <row r="36" spans="2:17">
      <c r="B36" s="1350" t="s">
        <v>612</v>
      </c>
      <c r="C36" s="1351" t="s">
        <v>1042</v>
      </c>
      <c r="D36" s="1351" t="s">
        <v>1043</v>
      </c>
      <c r="E36" s="1352" t="s">
        <v>597</v>
      </c>
      <c r="F36" s="1351" t="s">
        <v>1044</v>
      </c>
      <c r="G36" s="1352" t="s">
        <v>596</v>
      </c>
    </row>
    <row r="37" spans="2:17">
      <c r="B37" s="1342" t="s">
        <v>164</v>
      </c>
      <c r="C37" s="1343">
        <f>IS!BQ12</f>
        <v>6205.6794986118566</v>
      </c>
      <c r="D37" s="1343">
        <f>IS!BK12</f>
        <v>5854.0730000000003</v>
      </c>
      <c r="E37" s="1344">
        <f>C37/D37-1</f>
        <v>6.0061857549753128E-2</v>
      </c>
      <c r="F37" s="1345">
        <f>IS!BO12</f>
        <v>6936.4129999999986</v>
      </c>
      <c r="G37" s="1346">
        <f>C37/F37-1</f>
        <v>-0.10534746148883323</v>
      </c>
      <c r="Q37" s="1342">
        <v>37</v>
      </c>
    </row>
    <row r="38" spans="2:17">
      <c r="B38" s="1342" t="s">
        <v>483</v>
      </c>
      <c r="C38" s="1343">
        <f>IS!BQ14</f>
        <v>2257.0304075601202</v>
      </c>
      <c r="D38" s="1343">
        <f>IS!BK14</f>
        <v>1994.6700000000005</v>
      </c>
      <c r="E38" s="1344">
        <f t="shared" ref="E38:E43" si="5">C38/D38-1</f>
        <v>0.13153073318399522</v>
      </c>
      <c r="F38" s="1343">
        <f>IS!BO14</f>
        <v>2884.7709999999997</v>
      </c>
      <c r="G38" s="1346">
        <f t="shared" ref="G38:G43" si="6">C38/F38-1</f>
        <v>-0.21760499964811053</v>
      </c>
      <c r="Q38" s="1342">
        <v>26.88</v>
      </c>
    </row>
    <row r="39" spans="2:17">
      <c r="B39" s="1375" t="s">
        <v>892</v>
      </c>
      <c r="C39" s="1376">
        <f>C38/C37</f>
        <v>0.36370399213575139</v>
      </c>
      <c r="D39" s="1376">
        <f>D38/D37</f>
        <v>0.34073199975470075</v>
      </c>
      <c r="E39" s="1376"/>
      <c r="F39" s="1376">
        <f>F38/F37</f>
        <v>0.41588801012857801</v>
      </c>
      <c r="G39" s="1346"/>
    </row>
    <row r="40" spans="2:17">
      <c r="B40" s="1342" t="s">
        <v>599</v>
      </c>
      <c r="C40" s="1343">
        <f ca="1">IS!BQ16</f>
        <v>297.08</v>
      </c>
      <c r="D40" s="1343">
        <f>IS!BK16</f>
        <v>320.96499999999997</v>
      </c>
      <c r="E40" s="1344">
        <f t="shared" ca="1" si="5"/>
        <v>-7.4416213605844828E-2</v>
      </c>
      <c r="F40" s="1343">
        <f>IS!BO16</f>
        <v>254.93899999999996</v>
      </c>
      <c r="G40" s="1346">
        <f t="shared" ca="1" si="6"/>
        <v>0.16529836549135291</v>
      </c>
      <c r="Q40" s="1366">
        <f>+Q37/Q38-1</f>
        <v>0.37648809523809534</v>
      </c>
    </row>
    <row r="41" spans="2:17">
      <c r="B41" s="1342" t="s">
        <v>367</v>
      </c>
      <c r="C41" s="1343">
        <f>IS!BQ19</f>
        <v>179.96470545974384</v>
      </c>
      <c r="D41" s="1343">
        <f>IS!BK19</f>
        <v>172.11600000000001</v>
      </c>
      <c r="E41" s="1344">
        <f t="shared" si="5"/>
        <v>4.5601254152686677E-2</v>
      </c>
      <c r="F41" s="1343">
        <f>IS!BO19</f>
        <v>209.767</v>
      </c>
      <c r="G41" s="1346">
        <f t="shared" si="6"/>
        <v>-0.14207332202041389</v>
      </c>
    </row>
    <row r="42" spans="2:17">
      <c r="B42" s="1342" t="s">
        <v>552</v>
      </c>
      <c r="C42" s="1343">
        <f>IS!BQ23</f>
        <v>168.52099999999999</v>
      </c>
      <c r="D42" s="1343">
        <f>IS!BK23</f>
        <v>213.32</v>
      </c>
      <c r="E42" s="1344">
        <f t="shared" si="5"/>
        <v>-0.21000843802737679</v>
      </c>
      <c r="F42" s="1343">
        <f>IS!BO23</f>
        <v>37.20100000000005</v>
      </c>
      <c r="G42" s="1346">
        <f t="shared" si="6"/>
        <v>3.5300126340689699</v>
      </c>
    </row>
    <row r="43" spans="2:17">
      <c r="B43" s="1342" t="s">
        <v>21</v>
      </c>
      <c r="C43" s="1343">
        <f ca="1">IS!BQ30</f>
        <v>1235.4591516932596</v>
      </c>
      <c r="D43" s="1343">
        <f>IS!BK30</f>
        <v>1067.2530000000008</v>
      </c>
      <c r="E43" s="1344">
        <f t="shared" ca="1" si="5"/>
        <v>0.1576066328164536</v>
      </c>
      <c r="F43" s="1343">
        <f>IS!BO30</f>
        <v>2021.7029999999991</v>
      </c>
      <c r="G43" s="1346">
        <f t="shared" ca="1" si="6"/>
        <v>-0.38890175674010463</v>
      </c>
    </row>
    <row r="44" spans="2:17">
      <c r="B44" s="1342" t="s">
        <v>607</v>
      </c>
      <c r="C44" s="1347">
        <f ca="1">IS!BQ33</f>
        <v>2.819915565657154</v>
      </c>
      <c r="D44" s="1347">
        <f>IS!BK33</f>
        <v>2.435987740322727</v>
      </c>
      <c r="E44" s="1344"/>
      <c r="F44" s="1347">
        <f>IS!BO33</f>
        <v>4.6145044544954867</v>
      </c>
      <c r="G44" s="1343"/>
    </row>
    <row r="45" spans="2:17">
      <c r="B45" s="1410" t="s">
        <v>1041</v>
      </c>
      <c r="C45" s="1410"/>
      <c r="D45" s="1410"/>
      <c r="E45" s="1410"/>
      <c r="F45" s="1410"/>
      <c r="G45" s="1410"/>
    </row>
    <row r="47" spans="2:17">
      <c r="B47" s="1411" t="s">
        <v>1045</v>
      </c>
      <c r="C47" s="1411"/>
      <c r="D47" s="1411"/>
      <c r="E47" s="1411"/>
      <c r="F47" s="1411"/>
      <c r="G47" s="1411"/>
    </row>
    <row r="48" spans="2:17">
      <c r="B48" s="1350" t="s">
        <v>612</v>
      </c>
      <c r="C48" s="1351" t="s">
        <v>1040</v>
      </c>
      <c r="D48" s="1351" t="s">
        <v>958</v>
      </c>
      <c r="E48" s="1352" t="s">
        <v>597</v>
      </c>
      <c r="F48" s="1351" t="s">
        <v>961</v>
      </c>
      <c r="G48" s="1352" t="s">
        <v>596</v>
      </c>
    </row>
    <row r="49" spans="2:7">
      <c r="B49" s="1342" t="s">
        <v>164</v>
      </c>
      <c r="C49" s="1343">
        <v>5811.5450000000001</v>
      </c>
      <c r="D49" s="1343">
        <v>5854.0730000000003</v>
      </c>
      <c r="E49" s="1344">
        <f>C49/D49-1</f>
        <v>-7.2646856299879436E-3</v>
      </c>
      <c r="F49" s="1345">
        <v>6936.4129999999986</v>
      </c>
      <c r="G49" s="1346">
        <f>C49/F49-1</f>
        <v>-0.16216854446238982</v>
      </c>
    </row>
    <row r="50" spans="2:7">
      <c r="B50" s="1342" t="s">
        <v>483</v>
      </c>
      <c r="C50" s="1343">
        <v>1826.0340000000001</v>
      </c>
      <c r="D50" s="1343">
        <v>1994.6700000000005</v>
      </c>
      <c r="E50" s="1344">
        <f t="shared" ref="E50:E56" si="7">C50/D50-1</f>
        <v>-8.4543307915595278E-2</v>
      </c>
      <c r="F50" s="1343">
        <v>2884.7709999999997</v>
      </c>
      <c r="G50" s="1346">
        <f t="shared" ref="G50:G55" si="8">C50/F50-1</f>
        <v>-0.36700902775298272</v>
      </c>
    </row>
    <row r="51" spans="2:7">
      <c r="B51" s="1375" t="s">
        <v>892</v>
      </c>
      <c r="C51" s="1376">
        <f>C50/C49</f>
        <v>0.31420801181097285</v>
      </c>
      <c r="D51" s="1376">
        <f>D50/D49</f>
        <v>0.34073199975470075</v>
      </c>
      <c r="E51" s="1376"/>
      <c r="F51" s="1376">
        <f>F50/F49</f>
        <v>0.41588801012857801</v>
      </c>
      <c r="G51" s="1377"/>
    </row>
    <row r="52" spans="2:7">
      <c r="B52" s="1342" t="s">
        <v>599</v>
      </c>
      <c r="C52" s="1343">
        <v>208.97200000000001</v>
      </c>
      <c r="D52" s="1343">
        <v>320.96499999999997</v>
      </c>
      <c r="E52" s="1344">
        <f t="shared" si="7"/>
        <v>-0.34892589534684459</v>
      </c>
      <c r="F52" s="1343">
        <v>254.93899999999996</v>
      </c>
      <c r="G52" s="1346">
        <f t="shared" si="8"/>
        <v>-0.18030587709216694</v>
      </c>
    </row>
    <row r="53" spans="2:7">
      <c r="B53" s="1342" t="s">
        <v>367</v>
      </c>
      <c r="C53" s="1343">
        <v>436.85700000000003</v>
      </c>
      <c r="D53" s="1343">
        <v>172.11600000000001</v>
      </c>
      <c r="E53" s="1344">
        <f t="shared" si="7"/>
        <v>1.5381545004531829</v>
      </c>
      <c r="F53" s="1343">
        <v>209.767</v>
      </c>
      <c r="G53" s="1346">
        <f t="shared" si="8"/>
        <v>1.0825821029999956</v>
      </c>
    </row>
    <row r="54" spans="2:7">
      <c r="B54" s="1342" t="s">
        <v>552</v>
      </c>
      <c r="C54" s="1343">
        <v>66.694999999999993</v>
      </c>
      <c r="D54" s="1343">
        <v>213.32</v>
      </c>
      <c r="E54" s="1344">
        <f t="shared" si="7"/>
        <v>-0.68734764672792048</v>
      </c>
      <c r="F54" s="1343">
        <v>37.20100000000005</v>
      </c>
      <c r="G54" s="1346">
        <f t="shared" si="8"/>
        <v>0.79282814978091731</v>
      </c>
    </row>
    <row r="55" spans="2:7">
      <c r="B55" s="1342" t="s">
        <v>21</v>
      </c>
      <c r="C55" s="1343">
        <v>1157.4390000000001</v>
      </c>
      <c r="D55" s="1343">
        <v>1067.2530000000008</v>
      </c>
      <c r="E55" s="1344">
        <f t="shared" si="7"/>
        <v>8.4502924798524059E-2</v>
      </c>
      <c r="F55" s="1343">
        <v>2021.7029999999991</v>
      </c>
      <c r="G55" s="1346">
        <f t="shared" si="8"/>
        <v>-0.42749305906950696</v>
      </c>
    </row>
    <row r="56" spans="2:7">
      <c r="B56" s="1342" t="s">
        <v>607</v>
      </c>
      <c r="C56" s="1347">
        <v>2.64</v>
      </c>
      <c r="D56" s="1347">
        <v>2.435987740322727</v>
      </c>
      <c r="E56" s="1344">
        <f t="shared" si="7"/>
        <v>8.3749296558547126E-2</v>
      </c>
      <c r="F56" s="1347">
        <v>4.6145044544954867</v>
      </c>
      <c r="G56" s="1343"/>
    </row>
    <row r="57" spans="2:7">
      <c r="B57" s="1410" t="s">
        <v>1041</v>
      </c>
      <c r="C57" s="1410"/>
      <c r="D57" s="1410"/>
      <c r="E57" s="1410"/>
      <c r="F57" s="1410"/>
      <c r="G57" s="1410"/>
    </row>
    <row r="61" spans="2:7">
      <c r="C61" s="1342">
        <v>1641.8050000000001</v>
      </c>
    </row>
    <row r="62" spans="2:7">
      <c r="C62" s="1342">
        <v>484.36599999999999</v>
      </c>
    </row>
    <row r="63" spans="2:7">
      <c r="C63" s="1359">
        <f>C62/C61</f>
        <v>0.29502041959916064</v>
      </c>
    </row>
  </sheetData>
  <mergeCells count="4">
    <mergeCell ref="B45:G45"/>
    <mergeCell ref="B35:G35"/>
    <mergeCell ref="B47:G47"/>
    <mergeCell ref="B57:G57"/>
  </mergeCells>
  <pageMargins left="0.7" right="0.7" top="0.75" bottom="0.75" header="0.3" footer="0.3"/>
  <pageSetup scale="210" orientation="landscape" horizontalDpi="200" verticalDpi="200" r:id="rId1"/>
  <ignoredErrors>
    <ignoredError sqref="E18" formula="1"/>
    <ignoredError sqref="G7:G10 F10 F7:F9" formulaRange="1"/>
    <ignoredError sqref="G40:G42 E40:E43 C51 E37:E38 G37:G3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showGridLines="0" zoomScale="85" zoomScaleNormal="85" workbookViewId="0">
      <selection activeCell="A7" sqref="A7"/>
    </sheetView>
  </sheetViews>
  <sheetFormatPr defaultRowHeight="16.5"/>
  <cols>
    <col min="1" max="1" width="34.28515625" style="1274" bestFit="1" customWidth="1"/>
    <col min="2" max="4" width="13.7109375" style="1237" bestFit="1" customWidth="1"/>
    <col min="5" max="5" width="1.85546875" style="1239" customWidth="1"/>
    <col min="6" max="6" width="23.5703125" style="1237" bestFit="1" customWidth="1"/>
    <col min="7" max="9" width="13.7109375" style="1237" bestFit="1" customWidth="1"/>
    <col min="10" max="10" width="8.28515625" style="1237" customWidth="1"/>
    <col min="11" max="11" width="30.42578125" style="1237" bestFit="1" customWidth="1"/>
    <col min="12" max="12" width="11" style="1237" bestFit="1" customWidth="1"/>
    <col min="13" max="14" width="7" style="1237" bestFit="1" customWidth="1"/>
    <col min="15" max="15" width="8.42578125" style="1237" bestFit="1" customWidth="1"/>
    <col min="16" max="16" width="6.140625" style="1237" bestFit="1" customWidth="1"/>
    <col min="17" max="17" width="8.140625" style="1237" bestFit="1" customWidth="1"/>
    <col min="18" max="18" width="6.28515625" style="1237" bestFit="1" customWidth="1"/>
    <col min="19" max="19" width="14.7109375" style="1237" bestFit="1" customWidth="1"/>
    <col min="20" max="20" width="15.5703125" style="1237" bestFit="1" customWidth="1"/>
    <col min="21" max="21" width="9" style="1237" bestFit="1" customWidth="1"/>
    <col min="22" max="16384" width="9.140625" style="1237"/>
  </cols>
  <sheetData>
    <row r="1" spans="1:21" ht="27.75">
      <c r="A1" s="1414" t="s">
        <v>962</v>
      </c>
      <c r="B1" s="1414"/>
      <c r="C1" s="1414"/>
      <c r="D1" s="1414"/>
      <c r="E1" s="1414"/>
      <c r="F1" s="1414"/>
      <c r="G1" s="1414"/>
      <c r="H1" s="1414"/>
      <c r="I1" s="1414"/>
      <c r="J1" s="1414"/>
      <c r="K1" s="1414"/>
    </row>
    <row r="2" spans="1:21">
      <c r="A2" s="1238"/>
    </row>
    <row r="3" spans="1:21">
      <c r="A3" s="1415" t="s">
        <v>718</v>
      </c>
      <c r="B3" s="1417">
        <v>129</v>
      </c>
      <c r="C3" s="1417" t="s">
        <v>963</v>
      </c>
      <c r="D3" s="1417">
        <v>79.459999999999994</v>
      </c>
      <c r="E3" s="1419"/>
      <c r="F3" s="1420" t="s">
        <v>964</v>
      </c>
      <c r="G3" s="1422" t="s">
        <v>827</v>
      </c>
      <c r="H3" s="1422">
        <f>+B3/D3-1</f>
        <v>0.62345834382079057</v>
      </c>
      <c r="I3" s="1424" t="s">
        <v>824</v>
      </c>
      <c r="K3" s="1279">
        <f>IS!BP44</f>
        <v>438.11919999999998</v>
      </c>
      <c r="L3" s="1237">
        <f>K3*D3</f>
        <v>34812.951631999997</v>
      </c>
      <c r="M3" s="1237">
        <f>L3/102</f>
        <v>341.30344737254899</v>
      </c>
    </row>
    <row r="4" spans="1:21">
      <c r="A4" s="1416"/>
      <c r="B4" s="1418"/>
      <c r="C4" s="1418"/>
      <c r="D4" s="1418"/>
      <c r="E4" s="1419"/>
      <c r="F4" s="1421"/>
      <c r="G4" s="1423"/>
      <c r="H4" s="1423"/>
      <c r="I4" s="1425"/>
    </row>
    <row r="5" spans="1:21" ht="17.25" thickBot="1">
      <c r="A5" s="1240" t="s">
        <v>818</v>
      </c>
      <c r="B5" s="1241" t="s">
        <v>965</v>
      </c>
      <c r="C5" s="1241" t="s">
        <v>966</v>
      </c>
      <c r="D5" s="1241" t="s">
        <v>967</v>
      </c>
      <c r="E5" s="1305"/>
      <c r="F5" s="1240" t="s">
        <v>818</v>
      </c>
      <c r="G5" s="1241" t="s">
        <v>965</v>
      </c>
      <c r="H5" s="1241" t="s">
        <v>966</v>
      </c>
      <c r="I5" s="1241" t="s">
        <v>967</v>
      </c>
      <c r="K5" s="1412" t="s">
        <v>968</v>
      </c>
      <c r="L5" s="1412"/>
      <c r="M5" s="1412"/>
      <c r="N5" s="1412"/>
      <c r="O5" s="1412"/>
      <c r="P5" s="1412"/>
      <c r="Q5" s="1412"/>
      <c r="R5" s="1412"/>
      <c r="S5" s="1412"/>
      <c r="T5" s="1412"/>
      <c r="U5" s="1412"/>
    </row>
    <row r="6" spans="1:21" ht="17.25" thickBot="1">
      <c r="A6" s="1242" t="s">
        <v>6</v>
      </c>
      <c r="B6" s="1242"/>
      <c r="C6" s="1242"/>
      <c r="D6" s="1242"/>
      <c r="F6" s="1242" t="s">
        <v>969</v>
      </c>
      <c r="G6" s="1243"/>
      <c r="H6" s="1243"/>
      <c r="I6" s="1243"/>
      <c r="K6" s="1413"/>
      <c r="L6" s="1413"/>
      <c r="M6" s="1413"/>
      <c r="N6" s="1413"/>
      <c r="O6" s="1413"/>
      <c r="P6" s="1413"/>
      <c r="Q6" s="1413"/>
      <c r="R6" s="1413"/>
      <c r="S6" s="1413"/>
      <c r="T6" s="1413"/>
      <c r="U6" s="1413"/>
    </row>
    <row r="7" spans="1:21">
      <c r="A7" s="1274" t="s">
        <v>1024</v>
      </c>
      <c r="B7" s="1306">
        <f>IS!BJ12</f>
        <v>24915.923999999999</v>
      </c>
      <c r="C7" s="1306">
        <f>IS!BP12</f>
        <v>26542.508999999998</v>
      </c>
      <c r="D7" s="1306">
        <f>IS!BU12</f>
        <v>29147.959516165181</v>
      </c>
      <c r="F7" s="1244" t="s">
        <v>971</v>
      </c>
      <c r="G7" s="1244"/>
      <c r="H7" s="1244"/>
      <c r="I7" s="1244"/>
      <c r="K7" s="1245" t="s">
        <v>972</v>
      </c>
      <c r="L7" s="1246" t="s">
        <v>973</v>
      </c>
      <c r="M7" s="1246" t="s">
        <v>1</v>
      </c>
      <c r="N7" s="1246" t="s">
        <v>891</v>
      </c>
      <c r="O7" s="1246" t="s">
        <v>592</v>
      </c>
      <c r="P7" s="1246" t="s">
        <v>886</v>
      </c>
      <c r="Q7" s="1246" t="s">
        <v>528</v>
      </c>
      <c r="R7" s="1246" t="s">
        <v>974</v>
      </c>
      <c r="S7" s="1246" t="s">
        <v>718</v>
      </c>
      <c r="T7" s="1246" t="s">
        <v>975</v>
      </c>
      <c r="U7" s="1246" t="s">
        <v>827</v>
      </c>
    </row>
    <row r="8" spans="1:21">
      <c r="A8" s="1274" t="s">
        <v>11</v>
      </c>
      <c r="B8" s="1306">
        <f>IS!BJ14</f>
        <v>9326.0069999999978</v>
      </c>
      <c r="C8" s="1306">
        <f>IS!BP14</f>
        <v>9257.5679999999993</v>
      </c>
      <c r="D8" s="1306">
        <f>IS!BU14</f>
        <v>11342.896255153402</v>
      </c>
      <c r="F8" s="1248" t="s">
        <v>976</v>
      </c>
      <c r="G8" s="1249">
        <f>Summary!P21</f>
        <v>12.558611902879393</v>
      </c>
      <c r="H8" s="1249">
        <f>Summary!Q21</f>
        <v>13.616152864334634</v>
      </c>
      <c r="I8" s="1249">
        <f>Summary!R21</f>
        <v>15.625345227258054</v>
      </c>
      <c r="K8" s="1250" t="s">
        <v>977</v>
      </c>
      <c r="L8" s="1251" t="s">
        <v>978</v>
      </c>
      <c r="M8" s="1252">
        <v>39.03</v>
      </c>
      <c r="N8" s="1252">
        <v>8</v>
      </c>
      <c r="O8" s="1252">
        <f t="shared" ref="O8:O12" si="0">+T8/M8</f>
        <v>7.7132974634896234</v>
      </c>
      <c r="P8" s="1252">
        <f t="shared" ref="P8:P12" si="1">+T8/Q8</f>
        <v>1.9016126390916377</v>
      </c>
      <c r="Q8" s="1252">
        <v>158.31299908892359</v>
      </c>
      <c r="R8" s="1253">
        <v>0.27639678893468234</v>
      </c>
      <c r="S8" s="1252">
        <v>351.3</v>
      </c>
      <c r="T8" s="1252">
        <v>301.05</v>
      </c>
      <c r="U8" s="1254">
        <f t="shared" ref="U8:U12" si="2">+S8/T8-1</f>
        <v>0.16691579471848539</v>
      </c>
    </row>
    <row r="9" spans="1:21">
      <c r="A9" s="1274" t="s">
        <v>16</v>
      </c>
      <c r="B9" s="1306">
        <f>IS!BJ18</f>
        <v>1466.289</v>
      </c>
      <c r="C9" s="1306">
        <f>IS!BP18</f>
        <v>1647.126</v>
      </c>
      <c r="D9" s="1306">
        <f>IS!BU18</f>
        <v>1732.0255509603001</v>
      </c>
      <c r="F9" s="1248" t="s">
        <v>980</v>
      </c>
      <c r="G9" s="1249">
        <f>3</f>
        <v>3</v>
      </c>
      <c r="H9" s="1249">
        <v>3</v>
      </c>
      <c r="I9" s="1249">
        <v>3</v>
      </c>
      <c r="K9" s="1247" t="s">
        <v>981</v>
      </c>
      <c r="L9" s="1257" t="s">
        <v>882</v>
      </c>
      <c r="M9" s="1258">
        <f>H8</f>
        <v>13.616152864334634</v>
      </c>
      <c r="N9" s="1259">
        <f>H9</f>
        <v>3</v>
      </c>
      <c r="O9" s="1258">
        <f t="shared" si="0"/>
        <v>6.3182310640285202</v>
      </c>
      <c r="P9" s="1259">
        <f t="shared" si="1"/>
        <v>3.3658059467918626</v>
      </c>
      <c r="Q9" s="1258">
        <v>25.56</v>
      </c>
      <c r="R9" s="1260">
        <f>H25</f>
        <v>0.10898540925944035</v>
      </c>
      <c r="S9" s="1258">
        <f>B3</f>
        <v>129</v>
      </c>
      <c r="T9" s="1259">
        <v>86.03</v>
      </c>
      <c r="U9" s="1261">
        <f t="shared" si="2"/>
        <v>0.49947692665349286</v>
      </c>
    </row>
    <row r="10" spans="1:21">
      <c r="A10" s="1274" t="s">
        <v>555</v>
      </c>
      <c r="B10" s="1306">
        <f>IS!BJ23</f>
        <v>994.87900000000002</v>
      </c>
      <c r="C10" s="1306">
        <f>IS!BP23</f>
        <v>608.85900000000004</v>
      </c>
      <c r="D10" s="1306">
        <f>IS!BU23</f>
        <v>496.05678290588475</v>
      </c>
      <c r="F10" s="1248" t="s">
        <v>528</v>
      </c>
      <c r="G10" s="1249">
        <f>B13/$K$3</f>
        <v>109.46061711059455</v>
      </c>
      <c r="H10" s="1249">
        <f>C13/$K$3</f>
        <v>140.41049787363804</v>
      </c>
      <c r="I10" s="1249">
        <f>D13/$K$3</f>
        <v>153.03584310089607</v>
      </c>
      <c r="K10" s="1263" t="s">
        <v>983</v>
      </c>
      <c r="L10" s="1251" t="s">
        <v>984</v>
      </c>
      <c r="M10" s="1252"/>
      <c r="N10" s="1252"/>
      <c r="O10" s="1307" t="e">
        <f>+T10/M10</f>
        <v>#DIV/0!</v>
      </c>
      <c r="P10" s="1252">
        <f t="shared" si="1"/>
        <v>3.4632171770503346</v>
      </c>
      <c r="Q10" s="1252">
        <v>28.41</v>
      </c>
      <c r="R10" s="1253"/>
      <c r="S10" s="1252">
        <v>160.42563793651041</v>
      </c>
      <c r="T10" s="1252">
        <v>98.39</v>
      </c>
      <c r="U10" s="1254">
        <f t="shared" si="2"/>
        <v>0.63050755093516009</v>
      </c>
    </row>
    <row r="11" spans="1:21">
      <c r="A11" s="1247" t="s">
        <v>1025</v>
      </c>
      <c r="B11" s="1244">
        <f>IS!BJ30</f>
        <v>5502.1689999999971</v>
      </c>
      <c r="C11" s="1244">
        <f>IS!BP30</f>
        <v>5965.4979999999978</v>
      </c>
      <c r="D11" s="1244">
        <f>IS!BU30</f>
        <v>6845.7637506901165</v>
      </c>
      <c r="F11" s="1247" t="s">
        <v>985</v>
      </c>
      <c r="G11" s="1244"/>
      <c r="H11" s="1244"/>
      <c r="I11" s="1244"/>
      <c r="K11" s="1247" t="s">
        <v>986</v>
      </c>
      <c r="L11" s="1257" t="s">
        <v>987</v>
      </c>
      <c r="M11" s="1258">
        <v>2.21</v>
      </c>
      <c r="N11" s="1259">
        <v>2</v>
      </c>
      <c r="O11" s="1258">
        <f t="shared" si="0"/>
        <v>7.248868778280543</v>
      </c>
      <c r="P11" s="1259">
        <f t="shared" si="1"/>
        <v>1.3068676413159377</v>
      </c>
      <c r="Q11" s="1258">
        <v>12.258318664825778</v>
      </c>
      <c r="R11" s="1260">
        <v>0.16805124062660309</v>
      </c>
      <c r="S11" s="1258">
        <v>20.5</v>
      </c>
      <c r="T11" s="1259">
        <v>16.02</v>
      </c>
      <c r="U11" s="1261">
        <f t="shared" si="2"/>
        <v>0.27965043695380776</v>
      </c>
    </row>
    <row r="12" spans="1:21">
      <c r="A12" s="1242" t="s">
        <v>23</v>
      </c>
      <c r="B12" s="1242"/>
      <c r="C12" s="1242"/>
      <c r="D12" s="1242"/>
      <c r="F12" s="1248" t="s">
        <v>857</v>
      </c>
      <c r="G12" s="1281">
        <f>$D$3/G8</f>
        <v>6.3271323785220002</v>
      </c>
      <c r="H12" s="1281">
        <f t="shared" ref="H12:I12" si="3">$D$3/H8</f>
        <v>5.8357159170952713</v>
      </c>
      <c r="I12" s="1281">
        <f t="shared" si="3"/>
        <v>5.0853276420020377</v>
      </c>
      <c r="K12" s="1263" t="s">
        <v>989</v>
      </c>
      <c r="L12" s="1251" t="s">
        <v>990</v>
      </c>
      <c r="M12" s="1252">
        <v>20.243920890504082</v>
      </c>
      <c r="N12" s="1252">
        <v>14</v>
      </c>
      <c r="O12" s="1252">
        <f t="shared" si="0"/>
        <v>7.1478248103545567</v>
      </c>
      <c r="P12" s="1252">
        <f t="shared" si="1"/>
        <v>1.2048293089092423</v>
      </c>
      <c r="Q12" s="1252">
        <v>120.1</v>
      </c>
      <c r="R12" s="1253">
        <v>0.27669382778319385</v>
      </c>
      <c r="S12" s="1252">
        <v>179.11</v>
      </c>
      <c r="T12" s="1252">
        <v>144.69999999999999</v>
      </c>
      <c r="U12" s="1254">
        <f t="shared" si="2"/>
        <v>0.23780234968901204</v>
      </c>
    </row>
    <row r="13" spans="1:21">
      <c r="A13" s="1244" t="s">
        <v>970</v>
      </c>
      <c r="B13" s="1244">
        <f>BS!R17</f>
        <v>47956.797999999995</v>
      </c>
      <c r="C13" s="1244">
        <f>BS!S17</f>
        <v>61516.534999999996</v>
      </c>
      <c r="D13" s="1244">
        <f>BS!T17</f>
        <v>67047.941150690109</v>
      </c>
      <c r="F13" s="1248" t="s">
        <v>859</v>
      </c>
      <c r="G13" s="1281">
        <f>$D$3/G10</f>
        <v>0.72592318678156953</v>
      </c>
      <c r="H13" s="1281">
        <f>$D$3/H10</f>
        <v>0.56591210203890707</v>
      </c>
      <c r="I13" s="1281">
        <f>$D$3/I10</f>
        <v>0.51922476715217791</v>
      </c>
      <c r="K13" s="1265" t="s">
        <v>956</v>
      </c>
      <c r="L13" s="1265"/>
      <c r="M13" s="1265"/>
      <c r="N13" s="1265"/>
      <c r="O13" s="1265"/>
      <c r="P13" s="1265"/>
      <c r="Q13" s="1265"/>
      <c r="R13" s="1265"/>
      <c r="S13" s="1265"/>
      <c r="T13" s="1265"/>
      <c r="U13" s="1265"/>
    </row>
    <row r="14" spans="1:21">
      <c r="A14" s="1255" t="s">
        <v>979</v>
      </c>
      <c r="B14" s="1256">
        <f>BS!R20</f>
        <v>2899.1869999999999</v>
      </c>
      <c r="C14" s="1256">
        <f>BS!S20</f>
        <v>1321.009</v>
      </c>
      <c r="D14" s="1256">
        <f>BS!T20</f>
        <v>669.66814916396106</v>
      </c>
      <c r="F14" s="1248" t="s">
        <v>992</v>
      </c>
      <c r="G14" s="1282">
        <f>G9/$D$3</f>
        <v>3.7754845205134661E-2</v>
      </c>
      <c r="H14" s="1282">
        <f>H9/$D$3</f>
        <v>3.7754845205134661E-2</v>
      </c>
      <c r="I14" s="1282">
        <f t="shared" ref="I14" si="4">I9/$D$3</f>
        <v>3.7754845205134661E-2</v>
      </c>
      <c r="K14" s="1263"/>
      <c r="L14" s="1251"/>
      <c r="M14" s="1252"/>
      <c r="N14" s="1252"/>
      <c r="O14" s="1252"/>
      <c r="P14" s="1252"/>
      <c r="Q14" s="1252"/>
      <c r="R14" s="1253"/>
      <c r="S14" s="1252"/>
      <c r="T14" s="1252"/>
      <c r="U14" s="1254"/>
    </row>
    <row r="15" spans="1:21">
      <c r="A15" s="1255" t="s">
        <v>982</v>
      </c>
      <c r="B15" s="1262">
        <f>BS!R24</f>
        <v>6262.3279999999995</v>
      </c>
      <c r="C15" s="1262">
        <f>BS!S24</f>
        <v>5824.9710000000005</v>
      </c>
      <c r="D15" s="1262">
        <f>BS!T24</f>
        <v>5173.6301491639615</v>
      </c>
      <c r="F15" s="1247" t="s">
        <v>993</v>
      </c>
      <c r="G15" s="1244"/>
      <c r="H15" s="1244"/>
      <c r="I15" s="1244"/>
    </row>
    <row r="16" spans="1:21">
      <c r="A16" s="1255" t="s">
        <v>988</v>
      </c>
      <c r="B16" s="1256">
        <f>BS!R33</f>
        <v>2286.3510000000001</v>
      </c>
      <c r="C16" s="1256">
        <f>BS!S33</f>
        <v>2476.3040000000001</v>
      </c>
      <c r="D16" s="1256">
        <f>BS!T33</f>
        <v>2795.009816618579</v>
      </c>
      <c r="F16" s="1248" t="s">
        <v>995</v>
      </c>
      <c r="G16" s="1283">
        <f>Summary!P107</f>
        <v>0.37429906271988944</v>
      </c>
      <c r="H16" s="1283">
        <f>Summary!Q107</f>
        <v>0.34878270174081882</v>
      </c>
      <c r="I16" s="1283">
        <f>Summary!R107</f>
        <v>0.38914889561523991</v>
      </c>
      <c r="K16" s="1268"/>
      <c r="L16" s="1268"/>
      <c r="M16" s="1268"/>
      <c r="N16" s="1268"/>
      <c r="O16" s="1268"/>
      <c r="P16" s="1268"/>
      <c r="Q16" s="1268"/>
    </row>
    <row r="17" spans="1:29" ht="17.25" thickBot="1">
      <c r="A17" s="1264" t="s">
        <v>244</v>
      </c>
      <c r="B17" s="1301">
        <f>BS!R37</f>
        <v>9307.5930000000008</v>
      </c>
      <c r="C17" s="1301">
        <f>BS!S37</f>
        <v>5940.5630000000001</v>
      </c>
      <c r="D17" s="1301">
        <f>BS!T37</f>
        <v>6674.9134364481242</v>
      </c>
      <c r="F17" s="1248" t="s">
        <v>997</v>
      </c>
      <c r="G17" s="1283">
        <f>Summary!P109</f>
        <v>0.38804468981363077</v>
      </c>
      <c r="H17" s="1283">
        <f>Summary!Q109</f>
        <v>0.38618270789698134</v>
      </c>
      <c r="I17" s="1283">
        <f>Summary!R109</f>
        <v>0.41743552621835911</v>
      </c>
    </row>
    <row r="18" spans="1:29" ht="17.25" thickBot="1">
      <c r="A18" s="1247" t="s">
        <v>991</v>
      </c>
      <c r="B18" s="1244">
        <f>B17+B15+B13</f>
        <v>63526.718999999997</v>
      </c>
      <c r="C18" s="1244">
        <f>C17+C15+C13</f>
        <v>73282.068999999989</v>
      </c>
      <c r="D18" s="1244">
        <f>D17+D15+D13</f>
        <v>78896.484736302198</v>
      </c>
      <c r="F18" s="1248" t="s">
        <v>998</v>
      </c>
      <c r="G18" s="1283">
        <f>Summary!P110</f>
        <v>0.22082941816647045</v>
      </c>
      <c r="H18" s="1283">
        <f>Summary!Q110</f>
        <v>0.2247526034558375</v>
      </c>
      <c r="I18" s="1283">
        <f>Summary!R110</f>
        <v>0.23486253804124851</v>
      </c>
      <c r="K18" s="1245" t="s">
        <v>999</v>
      </c>
      <c r="L18" s="1246" t="s">
        <v>1000</v>
      </c>
      <c r="N18" s="1237">
        <v>39500</v>
      </c>
    </row>
    <row r="19" spans="1:29">
      <c r="A19" s="1266" t="s">
        <v>994</v>
      </c>
      <c r="B19" s="1278">
        <f>BS!R46+BS!R48+BS!R49</f>
        <v>37736.729999999996</v>
      </c>
      <c r="C19" s="1278">
        <f>BS!S46+BS!S48+BS!S49</f>
        <v>41213.442999999985</v>
      </c>
      <c r="D19" s="1278">
        <f>BS!T46+BS!T48+BS!T49</f>
        <v>40354.963399938075</v>
      </c>
      <c r="F19" s="1248" t="s">
        <v>1001</v>
      </c>
      <c r="G19" s="1281">
        <f>Summary!P115</f>
        <v>8.1323829329998905</v>
      </c>
      <c r="H19" s="1281">
        <f>Summary!Q115</f>
        <v>13.895263106893381</v>
      </c>
      <c r="I19" s="1281">
        <f>Summary!R115</f>
        <v>21.000526314772632</v>
      </c>
      <c r="K19" s="1270" t="s">
        <v>1002</v>
      </c>
      <c r="L19" s="1271">
        <v>10</v>
      </c>
      <c r="N19" s="1237">
        <v>16000</v>
      </c>
    </row>
    <row r="20" spans="1:29">
      <c r="A20" s="1264" t="s">
        <v>996</v>
      </c>
      <c r="B20" s="1302">
        <f>BS!R59</f>
        <v>25789.989000000001</v>
      </c>
      <c r="C20" s="1302">
        <f>BS!S59</f>
        <v>32068.626</v>
      </c>
      <c r="D20" s="1302">
        <f>BS!T59</f>
        <v>38541.521336364116</v>
      </c>
      <c r="F20" s="1248" t="s">
        <v>1004</v>
      </c>
      <c r="G20" s="1280">
        <f>(BS!R20+BS!R28+BS!R32)/BS!R17</f>
        <v>0.20350626828755333</v>
      </c>
      <c r="H20" s="1280">
        <f>(BS!S20+BS!S28+BS!S32)/BS!S17</f>
        <v>7.6009791513777569E-2</v>
      </c>
      <c r="I20" s="1280">
        <f>(BS!T20+BS!T28+BS!T32)/BS!T17</f>
        <v>6.6445959302176894E-2</v>
      </c>
      <c r="K20" s="1247" t="s">
        <v>1005</v>
      </c>
      <c r="L20" s="1272">
        <v>152</v>
      </c>
      <c r="N20" s="1237">
        <f>N18-N19</f>
        <v>23500</v>
      </c>
    </row>
    <row r="21" spans="1:29">
      <c r="A21" s="1247" t="s">
        <v>498</v>
      </c>
      <c r="B21" s="1244">
        <f>B20+B19</f>
        <v>63526.718999999997</v>
      </c>
      <c r="C21" s="1244">
        <f>C20+C19</f>
        <v>73282.068999999989</v>
      </c>
      <c r="D21" s="1244">
        <f>D20+D19</f>
        <v>78896.484736302198</v>
      </c>
      <c r="F21" s="1248" t="s">
        <v>1007</v>
      </c>
      <c r="G21" s="1284">
        <f>(BS!R20+BS!R28+BS!R32)/B21</f>
        <v>0.15362841263689378</v>
      </c>
      <c r="H21" s="1284">
        <f>(BS!S20+BS!S28+BS!S32)/C21</f>
        <v>6.3806318023035088E-2</v>
      </c>
      <c r="I21" s="1284">
        <f>(BS!T20+BS!T28+BS!T32)/D21</f>
        <v>5.6467215033518758E-2</v>
      </c>
      <c r="K21" s="1270" t="s">
        <v>1008</v>
      </c>
      <c r="L21" s="1271">
        <v>1540</v>
      </c>
      <c r="N21" s="1237">
        <f>N19+N20</f>
        <v>39500</v>
      </c>
    </row>
    <row r="22" spans="1:29">
      <c r="A22" s="1242" t="s">
        <v>111</v>
      </c>
      <c r="B22" s="1242"/>
      <c r="C22" s="1242"/>
      <c r="D22" s="1242"/>
      <c r="K22" s="1247" t="s">
        <v>1010</v>
      </c>
      <c r="L22" s="1272">
        <v>15</v>
      </c>
    </row>
    <row r="23" spans="1:29">
      <c r="A23" s="1255" t="s">
        <v>1003</v>
      </c>
      <c r="B23" s="1262">
        <f>CFS!R23</f>
        <v>6519.9819999999991</v>
      </c>
      <c r="C23" s="1262">
        <f>CFS!S23</f>
        <v>9203.0609999999979</v>
      </c>
      <c r="D23" s="1262">
        <f>CFS!T23</f>
        <v>6153.2244799264563</v>
      </c>
      <c r="F23" s="1247" t="s">
        <v>1011</v>
      </c>
      <c r="G23" s="1244"/>
      <c r="H23" s="1244"/>
      <c r="I23" s="1244"/>
      <c r="K23" s="1270" t="s">
        <v>1012</v>
      </c>
      <c r="L23" s="1271">
        <v>0.34</v>
      </c>
    </row>
    <row r="24" spans="1:29">
      <c r="A24" s="1255" t="s">
        <v>1006</v>
      </c>
      <c r="B24" s="1262">
        <f>+CFS!R27</f>
        <v>-3046.8190000000004</v>
      </c>
      <c r="C24" s="1262">
        <f>+CFS!S27</f>
        <v>-2888.9599999999946</v>
      </c>
      <c r="D24" s="1262">
        <f>+CFS!T27</f>
        <v>-891.46069572344231</v>
      </c>
      <c r="F24" s="1248" t="s">
        <v>889</v>
      </c>
      <c r="G24" s="1285">
        <f>Summary!P113</f>
        <v>9.6350171648897656E-2</v>
      </c>
      <c r="H24" s="1285">
        <f>Summary!Q113</f>
        <v>8.7209280737140918E-2</v>
      </c>
      <c r="I24" s="1285">
        <f>Summary!R113</f>
        <v>8.9970151281008784E-2</v>
      </c>
      <c r="K24" s="1247" t="s">
        <v>1014</v>
      </c>
      <c r="L24" s="1272">
        <v>5.2</v>
      </c>
      <c r="S24" s="1250"/>
      <c r="T24" s="1251"/>
      <c r="U24" s="1273"/>
      <c r="V24" s="1273"/>
      <c r="W24" s="1273"/>
      <c r="X24" s="1273"/>
      <c r="Y24" s="1273"/>
      <c r="Z24" s="1273"/>
      <c r="AA24" s="1273"/>
      <c r="AB24" s="1273"/>
      <c r="AC24" s="1273"/>
    </row>
    <row r="25" spans="1:29">
      <c r="A25" s="1264" t="s">
        <v>1009</v>
      </c>
      <c r="B25" s="1262">
        <f>+CFS!R38</f>
        <v>-2119.5460000000003</v>
      </c>
      <c r="C25" s="1262">
        <f>+CFS!S38</f>
        <v>-2091.627</v>
      </c>
      <c r="D25" s="1262">
        <f>+CFS!T38</f>
        <v>-251.45028004619326</v>
      </c>
      <c r="F25" s="1248" t="s">
        <v>888</v>
      </c>
      <c r="G25" s="1285">
        <f>Summary!P112</f>
        <v>0.13604509378033144</v>
      </c>
      <c r="H25" s="1285">
        <f>Summary!Q112</f>
        <v>0.10898540925944035</v>
      </c>
      <c r="I25" s="1285">
        <f>Summary!R112</f>
        <v>0.10649541701809158</v>
      </c>
      <c r="K25" s="1270" t="s">
        <v>1015</v>
      </c>
      <c r="L25" s="1271">
        <v>1.5</v>
      </c>
    </row>
    <row r="26" spans="1:29">
      <c r="A26" s="1303" t="s">
        <v>1013</v>
      </c>
      <c r="B26" s="1304">
        <f>+CFS!R45</f>
        <v>468.88099999999758</v>
      </c>
      <c r="C26" s="1304">
        <f>+CFS!S45</f>
        <v>1822.7410000000013</v>
      </c>
      <c r="D26" s="1304">
        <f>+CFS!T45</f>
        <v>6752.7615041568224</v>
      </c>
      <c r="F26" s="1275"/>
      <c r="G26" s="1276"/>
      <c r="H26" s="1276"/>
      <c r="I26" s="1276"/>
      <c r="K26" s="1247" t="s">
        <v>888</v>
      </c>
      <c r="L26" s="1272">
        <v>0.15</v>
      </c>
    </row>
    <row r="27" spans="1:29">
      <c r="E27" s="1248"/>
      <c r="F27" s="1274"/>
      <c r="K27" s="1270" t="s">
        <v>889</v>
      </c>
      <c r="L27" s="1271">
        <v>2.5000000000000001E-2</v>
      </c>
    </row>
    <row r="28" spans="1:29">
      <c r="K28" s="1247" t="s">
        <v>992</v>
      </c>
      <c r="L28" s="1272">
        <v>0.08</v>
      </c>
    </row>
    <row r="29" spans="1:29">
      <c r="F29" s="1248"/>
      <c r="G29" s="1269"/>
      <c r="H29" s="1269"/>
      <c r="I29" s="1269"/>
    </row>
    <row r="30" spans="1:29">
      <c r="F30" s="1248"/>
      <c r="G30" s="1269"/>
      <c r="H30" s="1269"/>
      <c r="I30" s="1269"/>
    </row>
    <row r="31" spans="1:29">
      <c r="A31" s="1308" t="s">
        <v>1026</v>
      </c>
      <c r="B31" s="1309" t="s">
        <v>1031</v>
      </c>
      <c r="C31" s="1309" t="s">
        <v>1032</v>
      </c>
      <c r="D31" s="1309" t="s">
        <v>1033</v>
      </c>
      <c r="F31" s="1248"/>
      <c r="G31" s="1269"/>
      <c r="H31" s="1269"/>
      <c r="I31" s="1269"/>
    </row>
    <row r="32" spans="1:29">
      <c r="A32" s="1310" t="s">
        <v>1027</v>
      </c>
      <c r="B32" s="1311">
        <f>G8</f>
        <v>12.558611902879393</v>
      </c>
      <c r="C32" s="1311">
        <f t="shared" ref="C32:D32" si="5">H8</f>
        <v>13.616152864334634</v>
      </c>
      <c r="D32" s="1311">
        <f t="shared" si="5"/>
        <v>15.625345227258054</v>
      </c>
    </row>
    <row r="33" spans="1:10">
      <c r="A33" s="1310" t="s">
        <v>1028</v>
      </c>
      <c r="B33" s="1311">
        <f>G9</f>
        <v>3</v>
      </c>
      <c r="C33" s="1311">
        <f t="shared" ref="C33:D33" si="6">H9</f>
        <v>3</v>
      </c>
      <c r="D33" s="1311">
        <f t="shared" si="6"/>
        <v>3</v>
      </c>
    </row>
    <row r="34" spans="1:10">
      <c r="A34" s="1310" t="s">
        <v>1029</v>
      </c>
      <c r="B34" s="1311">
        <f t="shared" ref="B34:D35" si="7">G12</f>
        <v>6.3271323785220002</v>
      </c>
      <c r="C34" s="1311">
        <f t="shared" si="7"/>
        <v>5.8357159170952713</v>
      </c>
      <c r="D34" s="1311">
        <f t="shared" si="7"/>
        <v>5.0853276420020377</v>
      </c>
    </row>
    <row r="35" spans="1:10">
      <c r="A35" s="1310" t="s">
        <v>1030</v>
      </c>
      <c r="B35" s="1311">
        <f t="shared" si="7"/>
        <v>0.72592318678156953</v>
      </c>
      <c r="C35" s="1311">
        <f t="shared" si="7"/>
        <v>0.56591210203890707</v>
      </c>
      <c r="D35" s="1311">
        <f t="shared" si="7"/>
        <v>0.51922476715217791</v>
      </c>
      <c r="E35" s="1267"/>
      <c r="F35" s="1277"/>
      <c r="G35" s="1277"/>
      <c r="H35" s="1277"/>
      <c r="I35" s="1277"/>
    </row>
    <row r="36" spans="1:10">
      <c r="A36" s="1310" t="s">
        <v>1034</v>
      </c>
      <c r="B36" s="1312">
        <f>G14</f>
        <v>3.7754845205134661E-2</v>
      </c>
      <c r="C36" s="1312">
        <f t="shared" ref="C36:D36" si="8">H14</f>
        <v>3.7754845205134661E-2</v>
      </c>
      <c r="D36" s="1312">
        <f t="shared" si="8"/>
        <v>3.7754845205134661E-2</v>
      </c>
      <c r="J36" s="1277"/>
    </row>
    <row r="37" spans="1:10">
      <c r="A37" s="1310" t="s">
        <v>1035</v>
      </c>
      <c r="B37" s="1312">
        <f>G25</f>
        <v>0.13604509378033144</v>
      </c>
      <c r="C37" s="1312">
        <f t="shared" ref="C37:D37" si="9">H25</f>
        <v>0.10898540925944035</v>
      </c>
      <c r="D37" s="1312">
        <f t="shared" si="9"/>
        <v>0.10649541701809158</v>
      </c>
    </row>
    <row r="38" spans="1:10">
      <c r="A38" s="1310" t="s">
        <v>1036</v>
      </c>
      <c r="B38" s="1312">
        <f>G24</f>
        <v>9.6350171648897656E-2</v>
      </c>
      <c r="C38" s="1312">
        <f t="shared" ref="C38:D38" si="10">H24</f>
        <v>8.7209280737140918E-2</v>
      </c>
      <c r="D38" s="1312">
        <f t="shared" si="10"/>
        <v>8.9970151281008784E-2</v>
      </c>
    </row>
    <row r="39" spans="1:10">
      <c r="A39" s="1310" t="s">
        <v>1037</v>
      </c>
      <c r="B39" s="1312">
        <f>G17</f>
        <v>0.38804468981363077</v>
      </c>
      <c r="C39" s="1312">
        <f t="shared" ref="C39:D39" si="11">H17</f>
        <v>0.38618270789698134</v>
      </c>
      <c r="D39" s="1312">
        <f t="shared" si="11"/>
        <v>0.41743552621835911</v>
      </c>
    </row>
    <row r="40" spans="1:10">
      <c r="A40" s="1310" t="s">
        <v>1038</v>
      </c>
      <c r="B40" s="1312">
        <f>G18</f>
        <v>0.22082941816647045</v>
      </c>
      <c r="C40" s="1312">
        <f t="shared" ref="C40" si="12">H18</f>
        <v>0.2247526034558375</v>
      </c>
      <c r="D40" s="1312">
        <f t="shared" ref="D40" si="13">I18</f>
        <v>0.23486253804124851</v>
      </c>
    </row>
  </sheetData>
  <mergeCells count="11">
    <mergeCell ref="K5:U6"/>
    <mergeCell ref="A1:K1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92D050"/>
  </sheetPr>
  <dimension ref="A2:AR143"/>
  <sheetViews>
    <sheetView showGridLines="0" workbookViewId="0">
      <selection activeCell="H1" sqref="H1"/>
    </sheetView>
  </sheetViews>
  <sheetFormatPr defaultRowHeight="11.25"/>
  <cols>
    <col min="1" max="1" width="33.85546875" style="1014" bestFit="1" customWidth="1"/>
    <col min="2" max="5" width="6" style="1014" bestFit="1" customWidth="1"/>
    <col min="6" max="6" width="6.5703125" style="1015" bestFit="1" customWidth="1"/>
    <col min="7" max="15" width="7.42578125" style="1014" bestFit="1" customWidth="1"/>
    <col min="16" max="21" width="9.140625" style="1014"/>
    <col min="22" max="22" width="18.140625" style="1014" customWidth="1"/>
    <col min="23" max="23" width="5.7109375" style="1014" bestFit="1" customWidth="1"/>
    <col min="24" max="28" width="5.85546875" style="1014" bestFit="1" customWidth="1"/>
    <col min="29" max="29" width="6.28515625" style="1014" bestFit="1" customWidth="1"/>
    <col min="30" max="30" width="9.28515625" style="1014" bestFit="1" customWidth="1"/>
    <col min="31" max="31" width="9.140625" style="1014"/>
    <col min="32" max="32" width="24.28515625" style="1014" customWidth="1"/>
    <col min="33" max="33" width="7.85546875" style="1014" bestFit="1" customWidth="1"/>
    <col min="34" max="36" width="6.85546875" style="1014" bestFit="1" customWidth="1"/>
    <col min="37" max="37" width="14.85546875" style="1014" customWidth="1"/>
    <col min="38" max="43" width="6.7109375" style="1014" customWidth="1"/>
    <col min="44" max="16384" width="9.140625" style="1014"/>
  </cols>
  <sheetData>
    <row r="2" spans="1:43">
      <c r="C2" s="1014">
        <v>1</v>
      </c>
      <c r="H2" s="1014" t="s">
        <v>514</v>
      </c>
      <c r="I2" s="1014" t="s">
        <v>515</v>
      </c>
      <c r="J2" s="1016"/>
      <c r="Q2" s="1035">
        <f>Q8/Assumptions!BN32*1000000</f>
        <v>4368.7683231090914</v>
      </c>
      <c r="R2" s="1035">
        <f>R8/Assumptions!BR32*1000000</f>
        <v>4401.9978889323802</v>
      </c>
      <c r="S2" s="1035">
        <f>S8/Assumptions!BS32*1000000</f>
        <v>4582.0548407129318</v>
      </c>
    </row>
    <row r="3" spans="1:43">
      <c r="H3" s="1017">
        <f>+H12/H20</f>
        <v>0.42072484153529133</v>
      </c>
      <c r="I3" s="1017">
        <f>+I12/I20</f>
        <v>0.12161235168733754</v>
      </c>
      <c r="J3" s="1017"/>
      <c r="K3" s="1017"/>
      <c r="L3" s="1017"/>
      <c r="M3" s="1017"/>
      <c r="N3" s="1017"/>
      <c r="O3" s="1017"/>
      <c r="Q3" s="1015">
        <f>Q16/Assumptions!BN32*1000000</f>
        <v>2590.7524043093663</v>
      </c>
      <c r="R3" s="1015">
        <f>R16/Assumptions!BR32*1000000</f>
        <v>3008.1803765081945</v>
      </c>
      <c r="S3" s="1015">
        <f>S16/Assumptions!BS32*1000000</f>
        <v>3174.2229781777583</v>
      </c>
    </row>
    <row r="4" spans="1:43">
      <c r="AH4" s="1014">
        <v>82.97</v>
      </c>
      <c r="AI4" s="1014">
        <v>98</v>
      </c>
      <c r="AJ4" s="1016">
        <f>AI4/AH4-1</f>
        <v>0.18114981318548873</v>
      </c>
    </row>
    <row r="5" spans="1:43">
      <c r="A5" s="654" t="s">
        <v>6</v>
      </c>
      <c r="B5" s="1019" t="s">
        <v>148</v>
      </c>
      <c r="C5" s="1019" t="s">
        <v>149</v>
      </c>
      <c r="D5" s="1019" t="s">
        <v>150</v>
      </c>
      <c r="E5" s="1019" t="s">
        <v>151</v>
      </c>
      <c r="F5" s="1020" t="s">
        <v>152</v>
      </c>
      <c r="G5" s="1019" t="s">
        <v>191</v>
      </c>
      <c r="H5" s="1019" t="s">
        <v>154</v>
      </c>
      <c r="I5" s="1019" t="s">
        <v>155</v>
      </c>
      <c r="J5" s="655"/>
      <c r="K5" s="655"/>
      <c r="L5" s="655"/>
      <c r="M5" s="655"/>
      <c r="N5" s="655"/>
      <c r="O5" s="655"/>
      <c r="P5" s="655"/>
      <c r="Q5" s="655"/>
      <c r="R5" s="655"/>
      <c r="S5" s="655"/>
      <c r="T5" s="655"/>
      <c r="V5" s="1427"/>
      <c r="W5" s="1427"/>
      <c r="X5" s="1171"/>
      <c r="Y5" s="1171"/>
      <c r="Z5" s="1171"/>
      <c r="AA5" s="1171"/>
      <c r="AB5" s="1171"/>
      <c r="AC5" s="1171"/>
      <c r="AH5" s="1016">
        <f>AH14/AG14-1</f>
        <v>0.33934054474579334</v>
      </c>
    </row>
    <row r="6" spans="1:43" ht="12" thickBot="1">
      <c r="A6" s="660" t="s">
        <v>612</v>
      </c>
      <c r="B6" s="1159" t="s">
        <v>148</v>
      </c>
      <c r="C6" s="1159" t="s">
        <v>149</v>
      </c>
      <c r="D6" s="1159" t="s">
        <v>150</v>
      </c>
      <c r="E6" s="1159" t="s">
        <v>151</v>
      </c>
      <c r="F6" s="1160" t="s">
        <v>152</v>
      </c>
      <c r="G6" s="1159" t="s">
        <v>191</v>
      </c>
      <c r="H6" s="1159" t="s">
        <v>154</v>
      </c>
      <c r="I6" s="1159" t="s">
        <v>155</v>
      </c>
      <c r="J6" s="661" t="s">
        <v>156</v>
      </c>
      <c r="K6" s="661" t="s">
        <v>157</v>
      </c>
      <c r="L6" s="661" t="s">
        <v>158</v>
      </c>
      <c r="M6" s="661" t="s">
        <v>159</v>
      </c>
      <c r="N6" s="661" t="s">
        <v>538</v>
      </c>
      <c r="O6" s="661" t="s">
        <v>539</v>
      </c>
      <c r="P6" s="661" t="s">
        <v>849</v>
      </c>
      <c r="Q6" s="661" t="s">
        <v>580</v>
      </c>
      <c r="R6" s="661" t="s">
        <v>585</v>
      </c>
      <c r="S6" s="661" t="s">
        <v>894</v>
      </c>
      <c r="T6" s="661" t="s">
        <v>895</v>
      </c>
      <c r="U6" s="1019"/>
      <c r="V6" s="1172"/>
      <c r="W6" s="1173"/>
      <c r="X6" s="1181"/>
      <c r="Y6" s="1181"/>
      <c r="Z6" s="1181"/>
      <c r="AA6" s="1181"/>
      <c r="AB6" s="1181"/>
      <c r="AC6" s="1181"/>
      <c r="AD6" s="1181"/>
      <c r="AE6" s="1181">
        <f>W6</f>
        <v>0</v>
      </c>
      <c r="AF6" s="1023"/>
      <c r="AG6" s="1023"/>
      <c r="AH6" s="1023"/>
      <c r="AI6" s="1023"/>
    </row>
    <row r="7" spans="1:43">
      <c r="A7" s="1066" t="s">
        <v>164</v>
      </c>
      <c r="B7" s="1065">
        <f>+[29]IS!B5</f>
        <v>290.95100000000002</v>
      </c>
      <c r="C7" s="1065">
        <f>+[29]IS!C5</f>
        <v>66.540999999999997</v>
      </c>
      <c r="D7" s="1065">
        <f>+[29]IS!D5</f>
        <v>244.68799999999999</v>
      </c>
      <c r="E7" s="1065">
        <f>+[29]IS!E5</f>
        <v>81.111999999999995</v>
      </c>
      <c r="F7" s="1065">
        <f>+[29]IS!F5</f>
        <v>101.437</v>
      </c>
      <c r="G7" s="1065"/>
      <c r="H7" s="1065">
        <f>+IS!W12</f>
        <v>5279.56</v>
      </c>
      <c r="I7" s="1065">
        <f>+IS!AB12</f>
        <v>7955.665</v>
      </c>
      <c r="J7" s="657">
        <f>+IS!AG12</f>
        <v>6419.625</v>
      </c>
      <c r="K7" s="657">
        <f>+IS!AL12</f>
        <v>12445.995999999999</v>
      </c>
      <c r="L7" s="657">
        <f>+IS!AQ12</f>
        <v>18038.2135906</v>
      </c>
      <c r="M7" s="657">
        <f>+IS!AU12</f>
        <v>16865.385179000001</v>
      </c>
      <c r="N7" s="657">
        <f>+IS!AZ12</f>
        <v>18577.198</v>
      </c>
      <c r="O7" s="657">
        <f>+IS!BE12</f>
        <v>22949.852999999999</v>
      </c>
      <c r="P7" s="657">
        <f>+IS!BJ12</f>
        <v>24915.923999999999</v>
      </c>
      <c r="Q7" s="657">
        <f>+IS!BP12</f>
        <v>26542.508999999998</v>
      </c>
      <c r="R7" s="657">
        <f>+IS!BU12</f>
        <v>29147.959516165181</v>
      </c>
      <c r="S7" s="657">
        <f>+IS!BV12</f>
        <v>31263.168505483023</v>
      </c>
      <c r="T7" s="657">
        <f>+IS!BW12</f>
        <v>32715.756246968449</v>
      </c>
      <c r="U7" s="1024"/>
      <c r="V7" s="1174"/>
      <c r="W7" s="1175"/>
      <c r="X7" s="1175"/>
      <c r="Y7" s="1175"/>
      <c r="Z7" s="1175"/>
      <c r="AA7" s="1175"/>
      <c r="AB7" s="1175"/>
      <c r="AC7" s="1175"/>
    </row>
    <row r="8" spans="1:43">
      <c r="A8" s="1066" t="s">
        <v>165</v>
      </c>
      <c r="B8" s="657">
        <f>+[29]IS!B6</f>
        <v>347.12700000000001</v>
      </c>
      <c r="C8" s="657">
        <f>+[29]IS!C6</f>
        <v>141.38499999999999</v>
      </c>
      <c r="D8" s="657">
        <f>+[29]IS!D6</f>
        <v>317.05599999999998</v>
      </c>
      <c r="E8" s="657">
        <f>+[29]IS!E6</f>
        <v>162.63800000000001</v>
      </c>
      <c r="F8" s="657">
        <f>+[29]IS!F6</f>
        <v>131.482</v>
      </c>
      <c r="G8" s="657"/>
      <c r="H8" s="657">
        <f>+IS!W13</f>
        <v>3330.7689999999998</v>
      </c>
      <c r="I8" s="657">
        <f>+IS!AB13</f>
        <v>3992.8220000000001</v>
      </c>
      <c r="J8" s="657">
        <f>+IS!AG13</f>
        <v>4387.6400000000003</v>
      </c>
      <c r="K8" s="657">
        <f>+IS!AL13</f>
        <v>10530.723</v>
      </c>
      <c r="L8" s="657">
        <f>+IS!AQ13</f>
        <v>12358.479000000001</v>
      </c>
      <c r="M8" s="657">
        <f>+IS!AU13</f>
        <v>13569.993999999999</v>
      </c>
      <c r="N8" s="657">
        <f>+IS!AZ13</f>
        <v>14192.228999999999</v>
      </c>
      <c r="O8" s="657">
        <f>+IS!BE13</f>
        <v>15443.098</v>
      </c>
      <c r="P8" s="657">
        <f>+IS!BJ13</f>
        <v>15589.917000000001</v>
      </c>
      <c r="Q8" s="657">
        <f>+IS!BP13</f>
        <v>17284.940999999999</v>
      </c>
      <c r="R8" s="657">
        <f>+IS!BU13</f>
        <v>17805.063261011779</v>
      </c>
      <c r="S8" s="657">
        <f>+IS!BV13</f>
        <v>18950.035714977766</v>
      </c>
      <c r="T8" s="657">
        <f>+IS!BW13</f>
        <v>20073.367629784214</v>
      </c>
      <c r="U8" s="1024"/>
      <c r="V8" s="1174"/>
      <c r="W8" s="1176"/>
      <c r="X8" s="1176"/>
      <c r="Y8" s="1175"/>
      <c r="Z8" s="1175"/>
      <c r="AA8" s="1175"/>
      <c r="AB8" s="1175"/>
      <c r="AC8" s="1175"/>
      <c r="AF8" s="1027" t="s">
        <v>885</v>
      </c>
      <c r="AG8" s="1028" t="s">
        <v>848</v>
      </c>
      <c r="AH8" s="1028" t="s">
        <v>849</v>
      </c>
      <c r="AI8" s="1028" t="s">
        <v>580</v>
      </c>
      <c r="AJ8" s="1028" t="s">
        <v>585</v>
      </c>
      <c r="AK8" s="1213" t="s">
        <v>611</v>
      </c>
      <c r="AL8" s="1213"/>
      <c r="AM8" s="1171"/>
      <c r="AN8" s="1171"/>
      <c r="AO8" s="1171"/>
      <c r="AP8" s="1171"/>
      <c r="AQ8" s="1171"/>
    </row>
    <row r="9" spans="1:43" ht="12" thickBot="1">
      <c r="A9" s="1066" t="s">
        <v>483</v>
      </c>
      <c r="B9" s="657">
        <f t="shared" ref="B9:H9" si="0">B7-B8</f>
        <v>-56.175999999999988</v>
      </c>
      <c r="C9" s="657">
        <f t="shared" si="0"/>
        <v>-74.843999999999994</v>
      </c>
      <c r="D9" s="657">
        <f t="shared" si="0"/>
        <v>-72.367999999999995</v>
      </c>
      <c r="E9" s="657">
        <f t="shared" si="0"/>
        <v>-81.52600000000001</v>
      </c>
      <c r="F9" s="657">
        <f t="shared" si="0"/>
        <v>-30.045000000000002</v>
      </c>
      <c r="G9" s="657"/>
      <c r="H9" s="657">
        <f t="shared" si="0"/>
        <v>1948.7910000000006</v>
      </c>
      <c r="I9" s="657">
        <f t="shared" ref="I9:O9" si="1">I7-I8</f>
        <v>3962.8429999999998</v>
      </c>
      <c r="J9" s="657">
        <f t="shared" si="1"/>
        <v>2031.9849999999997</v>
      </c>
      <c r="K9" s="657">
        <f t="shared" si="1"/>
        <v>1915.2729999999992</v>
      </c>
      <c r="L9" s="657">
        <f t="shared" si="1"/>
        <v>5679.7345905999991</v>
      </c>
      <c r="M9" s="657">
        <f t="shared" si="1"/>
        <v>3295.391179000002</v>
      </c>
      <c r="N9" s="657">
        <f t="shared" si="1"/>
        <v>4384.969000000001</v>
      </c>
      <c r="O9" s="657">
        <f t="shared" si="1"/>
        <v>7506.7549999999992</v>
      </c>
      <c r="P9" s="657">
        <f>P7-P8</f>
        <v>9326.0069999999978</v>
      </c>
      <c r="Q9" s="657">
        <f>Q7-Q8</f>
        <v>9257.5679999999993</v>
      </c>
      <c r="R9" s="657">
        <f>R7-R8</f>
        <v>11342.896255153402</v>
      </c>
      <c r="S9" s="657">
        <f>S7-S8</f>
        <v>12313.132790505257</v>
      </c>
      <c r="T9" s="657">
        <f>T7-T8</f>
        <v>12642.388617184235</v>
      </c>
      <c r="U9" s="1089">
        <f>RATE(5,,-O9,T9)</f>
        <v>0.10987834739698801</v>
      </c>
      <c r="V9" s="1174"/>
      <c r="W9" s="1176"/>
      <c r="X9" s="1176"/>
      <c r="Y9" s="1176"/>
      <c r="Z9" s="1176"/>
      <c r="AA9" s="1176"/>
      <c r="AB9" s="1176"/>
      <c r="AC9" s="1176"/>
      <c r="AF9" s="1029" t="s">
        <v>164</v>
      </c>
      <c r="AG9" s="1030">
        <f>IS!BE12</f>
        <v>22949.852999999999</v>
      </c>
      <c r="AH9" s="1030">
        <f>IS!BJ12</f>
        <v>24915.923999999999</v>
      </c>
      <c r="AI9" s="1030">
        <f>IS!BP12</f>
        <v>26542.508999999998</v>
      </c>
      <c r="AJ9" s="1030">
        <f>IS!BU12</f>
        <v>29147.959516165181</v>
      </c>
      <c r="AK9" s="1172" t="s">
        <v>612</v>
      </c>
      <c r="AL9" s="1173" t="s">
        <v>848</v>
      </c>
      <c r="AM9" s="1173" t="s">
        <v>941</v>
      </c>
      <c r="AN9" s="1173" t="s">
        <v>942</v>
      </c>
      <c r="AO9" s="1173" t="s">
        <v>943</v>
      </c>
      <c r="AP9" s="1173" t="s">
        <v>944</v>
      </c>
      <c r="AQ9" s="1173" t="s">
        <v>945</v>
      </c>
    </row>
    <row r="10" spans="1:43">
      <c r="A10" s="1066" t="s">
        <v>13</v>
      </c>
      <c r="B10" s="657" t="e">
        <f>+[29]IS!B8</f>
        <v>#REF!</v>
      </c>
      <c r="C10" s="657" t="e">
        <f>+[29]IS!C8</f>
        <v>#REF!</v>
      </c>
      <c r="D10" s="657" t="e">
        <f>+[29]IS!D8</f>
        <v>#REF!</v>
      </c>
      <c r="E10" s="657" t="e">
        <f>+[29]IS!E8</f>
        <v>#REF!</v>
      </c>
      <c r="F10" s="657">
        <f>+[29]IS!F8</f>
        <v>11.416</v>
      </c>
      <c r="G10" s="657"/>
      <c r="H10" s="657">
        <f>+IS!W15+IS!W16</f>
        <v>137.38499999999999</v>
      </c>
      <c r="I10" s="657">
        <f>+IS!AB15+IS!AB16</f>
        <v>156.30500000000001</v>
      </c>
      <c r="J10" s="657">
        <f>+IS!AG15+IS!AG16</f>
        <v>169.291</v>
      </c>
      <c r="K10" s="657">
        <f>+IS!AL15+IS!AL16</f>
        <v>673.12300000000005</v>
      </c>
      <c r="L10" s="657">
        <f>+IS!AQ15+IS!AQ16</f>
        <v>2013.3690000000001</v>
      </c>
      <c r="M10" s="657">
        <f>+IS!AU15+IS!AU16</f>
        <v>1166.854</v>
      </c>
      <c r="N10" s="657">
        <f>+IS!AZ15+IS!AZ16</f>
        <v>2681.9610000000002</v>
      </c>
      <c r="O10" s="657">
        <f>IS!BE15+IS!BE16</f>
        <v>2470.6059999999998</v>
      </c>
      <c r="P10" s="657">
        <f>IS!BJ15+IS!BJ16</f>
        <v>2156.7530000000002</v>
      </c>
      <c r="Q10" s="657">
        <f>IS!BP15+IS!BP16</f>
        <v>1925.693</v>
      </c>
      <c r="R10" s="657">
        <f>IS!BU15+IS!BU16</f>
        <v>2016.2131737215805</v>
      </c>
      <c r="S10" s="657">
        <f>IS!BV15+IS!BV16</f>
        <v>2099.15978090095</v>
      </c>
      <c r="T10" s="657">
        <f>IS!BW15+IS!BW16</f>
        <v>2171.451454115464</v>
      </c>
      <c r="U10" s="1026"/>
      <c r="V10" s="1174"/>
      <c r="W10" s="1176"/>
      <c r="X10" s="1176"/>
      <c r="Y10" s="1176"/>
      <c r="Z10" s="1176"/>
      <c r="AA10" s="1176"/>
      <c r="AB10" s="1176"/>
      <c r="AC10" s="1176"/>
      <c r="AF10" s="1029" t="s">
        <v>483</v>
      </c>
      <c r="AG10" s="1030">
        <f>IS!BE14</f>
        <v>7506.7549999999992</v>
      </c>
      <c r="AH10" s="1030">
        <f>IS!BJ14</f>
        <v>9326.0069999999978</v>
      </c>
      <c r="AI10" s="1030">
        <f>IS!BP14</f>
        <v>9257.5679999999993</v>
      </c>
      <c r="AJ10" s="1030">
        <f>IS!BU14</f>
        <v>11342.896255153402</v>
      </c>
      <c r="AK10" s="1174" t="s">
        <v>937</v>
      </c>
      <c r="AL10" s="1175">
        <f>O7</f>
        <v>22949.852999999999</v>
      </c>
      <c r="AM10" s="1175">
        <f t="shared" ref="AM10:AQ10" si="2">P7</f>
        <v>24915.923999999999</v>
      </c>
      <c r="AN10" s="1175">
        <f t="shared" si="2"/>
        <v>26542.508999999998</v>
      </c>
      <c r="AO10" s="1175">
        <f t="shared" si="2"/>
        <v>29147.959516165181</v>
      </c>
      <c r="AP10" s="1175">
        <f t="shared" si="2"/>
        <v>31263.168505483023</v>
      </c>
      <c r="AQ10" s="1175">
        <f t="shared" si="2"/>
        <v>32715.756246968449</v>
      </c>
    </row>
    <row r="11" spans="1:43">
      <c r="A11" s="1066" t="s">
        <v>484</v>
      </c>
      <c r="B11" s="657" t="e">
        <f t="shared" ref="B11:H11" si="3">B9-B10</f>
        <v>#REF!</v>
      </c>
      <c r="C11" s="657" t="e">
        <f t="shared" si="3"/>
        <v>#REF!</v>
      </c>
      <c r="D11" s="657" t="e">
        <f t="shared" si="3"/>
        <v>#REF!</v>
      </c>
      <c r="E11" s="657" t="e">
        <f t="shared" si="3"/>
        <v>#REF!</v>
      </c>
      <c r="F11" s="657">
        <f t="shared" si="3"/>
        <v>-41.460999999999999</v>
      </c>
      <c r="G11" s="657"/>
      <c r="H11" s="657">
        <f t="shared" si="3"/>
        <v>1811.4060000000006</v>
      </c>
      <c r="I11" s="657">
        <f t="shared" ref="I11:O11" si="4">I9-I10</f>
        <v>3806.538</v>
      </c>
      <c r="J11" s="657">
        <f t="shared" si="4"/>
        <v>1862.6939999999997</v>
      </c>
      <c r="K11" s="657">
        <f t="shared" si="4"/>
        <v>1242.1499999999992</v>
      </c>
      <c r="L11" s="657">
        <f t="shared" si="4"/>
        <v>3666.365590599999</v>
      </c>
      <c r="M11" s="657">
        <f t="shared" si="4"/>
        <v>2128.5371790000017</v>
      </c>
      <c r="N11" s="657">
        <f t="shared" si="4"/>
        <v>1703.0080000000007</v>
      </c>
      <c r="O11" s="657">
        <f t="shared" si="4"/>
        <v>5036.1489999999994</v>
      </c>
      <c r="P11" s="657">
        <f>P9-P10</f>
        <v>7169.2539999999972</v>
      </c>
      <c r="Q11" s="657">
        <f>Q9-Q10</f>
        <v>7331.8749999999991</v>
      </c>
      <c r="R11" s="657">
        <f>R9-R10</f>
        <v>9326.6830814318218</v>
      </c>
      <c r="S11" s="657">
        <f>S9-S10</f>
        <v>10213.973009604306</v>
      </c>
      <c r="T11" s="657">
        <f>T9-T10</f>
        <v>10470.937163068771</v>
      </c>
      <c r="U11" s="1026"/>
      <c r="V11" s="1174"/>
      <c r="W11" s="1176"/>
      <c r="X11" s="1176"/>
      <c r="Y11" s="1176"/>
      <c r="Z11" s="1176"/>
      <c r="AA11" s="1176"/>
      <c r="AB11" s="1176"/>
      <c r="AC11" s="1176"/>
      <c r="AF11" s="1029" t="s">
        <v>367</v>
      </c>
      <c r="AG11" s="1031">
        <f>IS!BE18</f>
        <v>1187.9359999999999</v>
      </c>
      <c r="AH11" s="1030">
        <f>IS!BJ18</f>
        <v>1466.289</v>
      </c>
      <c r="AI11" s="1030">
        <f>IS!BP18</f>
        <v>1647.126</v>
      </c>
      <c r="AJ11" s="1030">
        <f>IS!BU18</f>
        <v>1732.0255509603001</v>
      </c>
      <c r="AK11" s="1174" t="s">
        <v>938</v>
      </c>
      <c r="AL11" s="1175">
        <f>O20</f>
        <v>4108.1179999999986</v>
      </c>
      <c r="AM11" s="1175">
        <f t="shared" ref="AM11:AQ11" si="5">P20</f>
        <v>5502.1689999999971</v>
      </c>
      <c r="AN11" s="1175">
        <f t="shared" si="5"/>
        <v>5965.4979999999978</v>
      </c>
      <c r="AO11" s="1175">
        <f t="shared" si="5"/>
        <v>6845.7637506901165</v>
      </c>
      <c r="AP11" s="1175">
        <f t="shared" si="5"/>
        <v>7542.5141862334185</v>
      </c>
      <c r="AQ11" s="1175">
        <f t="shared" si="5"/>
        <v>7756.9307345861926</v>
      </c>
    </row>
    <row r="12" spans="1:43">
      <c r="A12" s="1066" t="s">
        <v>16</v>
      </c>
      <c r="B12" s="657" t="e">
        <f>+[29]IS!B10</f>
        <v>#REF!</v>
      </c>
      <c r="C12" s="657" t="e">
        <f>+[29]IS!C10</f>
        <v>#REF!</v>
      </c>
      <c r="D12" s="657" t="e">
        <f>+[29]IS!D10</f>
        <v>#REF!</v>
      </c>
      <c r="E12" s="657" t="e">
        <f>+[29]IS!E10</f>
        <v>#REF!</v>
      </c>
      <c r="F12" s="657">
        <f>+[29]IS!F10</f>
        <v>452.971</v>
      </c>
      <c r="G12" s="657"/>
      <c r="H12" s="657">
        <f>+IS!W18</f>
        <v>707.69200000000001</v>
      </c>
      <c r="I12" s="657">
        <f>+IS!AB18</f>
        <v>294.11399999999998</v>
      </c>
      <c r="J12" s="657">
        <f>+IS!AG18</f>
        <v>479.42</v>
      </c>
      <c r="K12" s="657">
        <f>+IS!AL18</f>
        <v>847.34400000000005</v>
      </c>
      <c r="L12" s="657">
        <f>+IS!AQ18</f>
        <v>770.13699999999994</v>
      </c>
      <c r="M12" s="657">
        <f>+IS!AU18</f>
        <v>911.67200000000003</v>
      </c>
      <c r="N12" s="657">
        <f>IS!AZ18</f>
        <v>1106.662</v>
      </c>
      <c r="O12" s="657">
        <f>IS!BE18</f>
        <v>1187.9359999999999</v>
      </c>
      <c r="P12" s="657">
        <f>IS!BJ18</f>
        <v>1466.289</v>
      </c>
      <c r="Q12" s="657">
        <f>IS!BP18</f>
        <v>1647.126</v>
      </c>
      <c r="R12" s="657">
        <f>IS!BU18</f>
        <v>1732.0255509603001</v>
      </c>
      <c r="S12" s="657">
        <f>IS!BV18</f>
        <v>1816.52436265236</v>
      </c>
      <c r="T12" s="657">
        <f>IS!BW18</f>
        <v>1885.8784238444198</v>
      </c>
      <c r="U12" s="1026"/>
      <c r="V12" s="1174"/>
      <c r="W12" s="1176"/>
      <c r="X12" s="1176"/>
      <c r="Y12" s="1176"/>
      <c r="Z12" s="1176"/>
      <c r="AA12" s="1176"/>
      <c r="AB12" s="1176"/>
      <c r="AC12" s="1176"/>
      <c r="AF12" s="1029" t="s">
        <v>552</v>
      </c>
      <c r="AG12" s="1031">
        <f>IS!BE23</f>
        <v>1670.7840000000001</v>
      </c>
      <c r="AH12" s="1030">
        <f>IS!BJ23</f>
        <v>994.87900000000002</v>
      </c>
      <c r="AI12" s="1030">
        <f>IS!BP23</f>
        <v>608.85900000000004</v>
      </c>
      <c r="AJ12" s="1030">
        <f>IS!BU23</f>
        <v>496.05678290588475</v>
      </c>
      <c r="AK12" s="1174" t="s">
        <v>566</v>
      </c>
      <c r="AL12" s="1183">
        <f>O21</f>
        <v>9.3767130041322062</v>
      </c>
      <c r="AM12" s="1183">
        <f t="shared" ref="AM12:AQ12" si="6">P21</f>
        <v>12.558611902879393</v>
      </c>
      <c r="AN12" s="1183">
        <f t="shared" si="6"/>
        <v>13.616152864334634</v>
      </c>
      <c r="AO12" s="1183">
        <f t="shared" si="6"/>
        <v>15.625345227258054</v>
      </c>
      <c r="AP12" s="1183">
        <f t="shared" si="6"/>
        <v>17.215666846450507</v>
      </c>
      <c r="AQ12" s="1183">
        <f t="shared" si="6"/>
        <v>17.705069156033776</v>
      </c>
    </row>
    <row r="13" spans="1:43">
      <c r="A13" s="1066" t="s">
        <v>19</v>
      </c>
      <c r="B13" s="657" t="e">
        <f>+[29]IS!B11</f>
        <v>#REF!</v>
      </c>
      <c r="C13" s="657" t="e">
        <f>+[29]IS!C11</f>
        <v>#REF!</v>
      </c>
      <c r="D13" s="657" t="e">
        <f>+[29]IS!D11</f>
        <v>#REF!</v>
      </c>
      <c r="E13" s="657" t="e">
        <f>+[29]IS!E11</f>
        <v>#REF!</v>
      </c>
      <c r="F13" s="657">
        <f>+[29]IS!F11</f>
        <v>0</v>
      </c>
      <c r="G13" s="657"/>
      <c r="H13" s="657">
        <f>+IS!W19</f>
        <v>93.786000000000001</v>
      </c>
      <c r="I13" s="657">
        <f>+IS!AB19</f>
        <v>191.85</v>
      </c>
      <c r="J13" s="657">
        <f>+IS!AG19</f>
        <v>139.30699999999999</v>
      </c>
      <c r="K13" s="657">
        <f>+IS!AL19</f>
        <v>581.91300000000001</v>
      </c>
      <c r="L13" s="657">
        <f>+IS!AM19</f>
        <v>6.0979999999999999</v>
      </c>
      <c r="M13" s="657">
        <f>+IS!AU19</f>
        <v>189.01499999999999</v>
      </c>
      <c r="N13" s="657">
        <f>+IS!AZ19</f>
        <v>37.963999999999999</v>
      </c>
      <c r="O13" s="657">
        <f>+IS!BE19</f>
        <v>500.83499999999998</v>
      </c>
      <c r="P13" s="657">
        <f>+IS!BJ19</f>
        <v>544.80600000000004</v>
      </c>
      <c r="Q13" s="657">
        <f>+IS!BP19</f>
        <v>518.745</v>
      </c>
      <c r="R13" s="657">
        <f>+IS!BU19</f>
        <v>641.25510935563398</v>
      </c>
      <c r="S13" s="657">
        <f>+IS!BV19</f>
        <v>687.78970712062642</v>
      </c>
      <c r="T13" s="657">
        <f>+IS!BW19</f>
        <v>719.74663743330598</v>
      </c>
      <c r="U13" s="1026"/>
      <c r="V13" s="1174"/>
      <c r="W13" s="1177"/>
      <c r="X13" s="1177"/>
      <c r="Y13" s="1177"/>
      <c r="Z13" s="1177"/>
      <c r="AA13" s="1177"/>
      <c r="AB13" s="1177"/>
      <c r="AC13" s="1177"/>
      <c r="AF13" s="1029" t="s">
        <v>21</v>
      </c>
      <c r="AG13" s="1030">
        <f>IS!BE30</f>
        <v>4108.1179999999986</v>
      </c>
      <c r="AH13" s="1030">
        <f>IS!BJ30</f>
        <v>5502.1689999999971</v>
      </c>
      <c r="AI13" s="1030">
        <f>IS!BP30</f>
        <v>5965.4979999999978</v>
      </c>
      <c r="AJ13" s="1030">
        <f>IS!BU30</f>
        <v>6845.7637506901165</v>
      </c>
      <c r="AK13" s="1174" t="s">
        <v>858</v>
      </c>
      <c r="AL13" s="1183">
        <f>O22</f>
        <v>1.5</v>
      </c>
      <c r="AM13" s="1183">
        <f t="shared" ref="AM13:AQ13" si="7">P22</f>
        <v>3</v>
      </c>
      <c r="AN13" s="1183">
        <f t="shared" si="7"/>
        <v>3</v>
      </c>
      <c r="AO13" s="1183">
        <f t="shared" si="7"/>
        <v>4</v>
      </c>
      <c r="AP13" s="1183">
        <f t="shared" si="7"/>
        <v>5</v>
      </c>
      <c r="AQ13" s="1183">
        <f t="shared" si="7"/>
        <v>6</v>
      </c>
    </row>
    <row r="14" spans="1:43" ht="12" thickBot="1">
      <c r="A14" s="1066" t="s">
        <v>168</v>
      </c>
      <c r="B14" s="1067" t="e">
        <f t="shared" ref="B14:H14" si="8">B11+B12-B13</f>
        <v>#REF!</v>
      </c>
      <c r="C14" s="1067" t="e">
        <f t="shared" si="8"/>
        <v>#REF!</v>
      </c>
      <c r="D14" s="1067" t="e">
        <f t="shared" si="8"/>
        <v>#REF!</v>
      </c>
      <c r="E14" s="1067" t="e">
        <f t="shared" si="8"/>
        <v>#REF!</v>
      </c>
      <c r="F14" s="657">
        <f>F11+F12-F13</f>
        <v>411.51</v>
      </c>
      <c r="G14" s="1067"/>
      <c r="H14" s="1067">
        <f t="shared" si="8"/>
        <v>2425.3120000000008</v>
      </c>
      <c r="I14" s="1067">
        <f t="shared" ref="I14:O14" si="9">I11+I12-I13</f>
        <v>3908.8020000000001</v>
      </c>
      <c r="J14" s="1067">
        <f t="shared" si="9"/>
        <v>2202.8069999999998</v>
      </c>
      <c r="K14" s="1067">
        <f t="shared" si="9"/>
        <v>1507.5809999999992</v>
      </c>
      <c r="L14" s="1067">
        <f t="shared" si="9"/>
        <v>4430.4045905999992</v>
      </c>
      <c r="M14" s="1067">
        <f t="shared" si="9"/>
        <v>2851.1941790000019</v>
      </c>
      <c r="N14" s="1067">
        <f t="shared" si="9"/>
        <v>2771.706000000001</v>
      </c>
      <c r="O14" s="1067">
        <f t="shared" si="9"/>
        <v>5723.2499999999991</v>
      </c>
      <c r="P14" s="1067">
        <f>P11+P12-P13</f>
        <v>8090.7369999999974</v>
      </c>
      <c r="Q14" s="1067">
        <f>Q11+Q12-Q13</f>
        <v>8460.2559999999976</v>
      </c>
      <c r="R14" s="1067">
        <f>R11+R12-R13</f>
        <v>10417.453523036487</v>
      </c>
      <c r="S14" s="1067">
        <f>S11+S12-S13</f>
        <v>11342.70766513604</v>
      </c>
      <c r="T14" s="1067">
        <f>T11+T12-T13</f>
        <v>11637.068949479886</v>
      </c>
      <c r="U14" s="1032"/>
      <c r="V14" s="1178"/>
      <c r="W14" s="1179"/>
      <c r="X14" s="1179"/>
      <c r="Y14" s="1179"/>
      <c r="Z14" s="1179"/>
      <c r="AA14" s="1179"/>
      <c r="AB14" s="1179"/>
      <c r="AC14" s="1179"/>
      <c r="AF14" s="1029" t="s">
        <v>566</v>
      </c>
      <c r="AG14" s="1031">
        <f>IS!BE33</f>
        <v>9.3767130041322062</v>
      </c>
      <c r="AH14" s="1033">
        <f>IS!BJ33</f>
        <v>12.558611902879393</v>
      </c>
      <c r="AI14" s="1033">
        <f>IS!BP33</f>
        <v>13.616152864334634</v>
      </c>
      <c r="AJ14" s="1033">
        <f>IS!BU33</f>
        <v>15.625345227258054</v>
      </c>
      <c r="AK14" s="1174" t="s">
        <v>939</v>
      </c>
      <c r="AL14" s="1184">
        <f>$AH$4/AL12</f>
        <v>8.8485165284930982</v>
      </c>
      <c r="AM14" s="1184">
        <f t="shared" ref="AM14:AQ14" si="10">$AH$4/AM12</f>
        <v>6.6066218656678872</v>
      </c>
      <c r="AN14" s="1184">
        <f t="shared" si="10"/>
        <v>6.0934979818952266</v>
      </c>
      <c r="AO14" s="1184">
        <f t="shared" si="10"/>
        <v>5.3099626787932177</v>
      </c>
      <c r="AP14" s="1184">
        <f t="shared" si="10"/>
        <v>4.8194473522300179</v>
      </c>
      <c r="AQ14" s="1184">
        <f t="shared" si="10"/>
        <v>4.6862285184423778</v>
      </c>
    </row>
    <row r="15" spans="1:43">
      <c r="A15" s="1066" t="s">
        <v>485</v>
      </c>
      <c r="B15" s="657">
        <f>+[29]IS!B13</f>
        <v>0</v>
      </c>
      <c r="C15" s="657">
        <f>+[29]IS!C13</f>
        <v>0</v>
      </c>
      <c r="D15" s="657">
        <f>+[29]IS!D13</f>
        <v>0</v>
      </c>
      <c r="E15" s="657">
        <f>+[29]IS!E13</f>
        <v>0</v>
      </c>
      <c r="F15" s="657">
        <f>+[29]IS!F13</f>
        <v>48.125</v>
      </c>
      <c r="G15" s="657"/>
      <c r="H15" s="657">
        <f>+CFS!J8+CFS!J10</f>
        <v>357.08299999999997</v>
      </c>
      <c r="I15" s="657">
        <f>+CFS!K8+CFS!K10</f>
        <v>363.94099999999997</v>
      </c>
      <c r="J15" s="657">
        <f>+CFS!L8+CFS!L10</f>
        <v>494.20499999999998</v>
      </c>
      <c r="K15" s="657">
        <f>+CFS!M8+CFS!M10</f>
        <v>1363.037</v>
      </c>
      <c r="L15" s="657">
        <f>+CFS!N8+CFS!N10</f>
        <v>1368.954</v>
      </c>
      <c r="M15" s="657">
        <f>+CFS!O8+CFS!O10</f>
        <v>1392.5640000000001</v>
      </c>
      <c r="N15" s="657">
        <f>+CFS!P8+CFS!P10</f>
        <v>1430.41</v>
      </c>
      <c r="O15" s="657">
        <f>+CFS!Q8+CFS!Q10</f>
        <v>1466.164</v>
      </c>
      <c r="P15" s="657">
        <f>+CFS!R8</f>
        <v>1577.7550000000001</v>
      </c>
      <c r="Q15" s="657">
        <f>+CFS!S8</f>
        <v>1790.002</v>
      </c>
      <c r="R15" s="657">
        <f>+CFS!T8</f>
        <v>1749.9402957853522</v>
      </c>
      <c r="S15" s="657">
        <f>+CFS!U8</f>
        <v>1784.9481344642295</v>
      </c>
      <c r="T15" s="657">
        <f>+CFS!V8</f>
        <v>1820.6563106185727</v>
      </c>
      <c r="U15" s="1026"/>
      <c r="V15" s="1428"/>
      <c r="W15" s="1428"/>
      <c r="X15" s="1428"/>
      <c r="Y15" s="1174"/>
      <c r="Z15" s="1174"/>
      <c r="AA15" s="1180"/>
      <c r="AB15" s="1180"/>
      <c r="AC15" s="1180"/>
      <c r="AF15" s="1029" t="s">
        <v>858</v>
      </c>
      <c r="AG15" s="1034">
        <v>1.5</v>
      </c>
      <c r="AH15" s="1031">
        <f>IS!BJ36</f>
        <v>3</v>
      </c>
      <c r="AI15" s="1031">
        <f>IS!BP36</f>
        <v>3</v>
      </c>
      <c r="AJ15" s="1031">
        <f>IS!BU36</f>
        <v>4</v>
      </c>
      <c r="AK15" s="1174" t="s">
        <v>940</v>
      </c>
      <c r="AL15" s="1184">
        <f>$AH$4/(O38/(O28/10))</f>
        <v>1.1038580045168886</v>
      </c>
      <c r="AM15" s="1184">
        <f t="shared" ref="AM15:AQ15" si="11">$AH$4/(P38/(P28/10))</f>
        <v>0.75798934130256157</v>
      </c>
      <c r="AN15" s="1184">
        <f t="shared" si="11"/>
        <v>0.59091009802486438</v>
      </c>
      <c r="AO15" s="1184">
        <f t="shared" si="11"/>
        <v>0.54216044673619102</v>
      </c>
      <c r="AP15" s="1184">
        <f t="shared" si="11"/>
        <v>0.4990630225765097</v>
      </c>
      <c r="AQ15" s="1184">
        <f t="shared" si="11"/>
        <v>0.46363191271275372</v>
      </c>
    </row>
    <row r="16" spans="1:43">
      <c r="A16" s="1066" t="s">
        <v>15</v>
      </c>
      <c r="B16" s="1067" t="e">
        <f>B14-B15</f>
        <v>#REF!</v>
      </c>
      <c r="C16" s="1067" t="e">
        <f>C14-C15</f>
        <v>#REF!</v>
      </c>
      <c r="D16" s="1067" t="e">
        <f>D14-D15</f>
        <v>#REF!</v>
      </c>
      <c r="E16" s="1067" t="e">
        <f>E14-E15</f>
        <v>#REF!</v>
      </c>
      <c r="F16" s="657">
        <f>+F14+F15</f>
        <v>459.63499999999999</v>
      </c>
      <c r="G16" s="657"/>
      <c r="H16" s="657">
        <f>+H14+H15</f>
        <v>2782.3950000000009</v>
      </c>
      <c r="I16" s="657">
        <f>+I14+I15</f>
        <v>4272.7430000000004</v>
      </c>
      <c r="J16" s="657">
        <f>+J14+J15</f>
        <v>2697.0119999999997</v>
      </c>
      <c r="K16" s="1067">
        <f t="shared" ref="K16:Q16" si="12">K14+K15</f>
        <v>2870.6179999999995</v>
      </c>
      <c r="L16" s="1067">
        <f t="shared" si="12"/>
        <v>5799.3585905999989</v>
      </c>
      <c r="M16" s="1067">
        <f t="shared" si="12"/>
        <v>4243.7581790000022</v>
      </c>
      <c r="N16" s="1067">
        <f t="shared" si="12"/>
        <v>4202.1160000000009</v>
      </c>
      <c r="O16" s="1067">
        <f t="shared" si="12"/>
        <v>7189.4139999999989</v>
      </c>
      <c r="P16" s="1067">
        <f t="shared" si="12"/>
        <v>9668.4919999999984</v>
      </c>
      <c r="Q16" s="1067">
        <f t="shared" si="12"/>
        <v>10250.257999999998</v>
      </c>
      <c r="R16" s="1067">
        <f>R14+R15</f>
        <v>12167.39381882184</v>
      </c>
      <c r="S16" s="1067">
        <f>S14+S15</f>
        <v>13127.65579960027</v>
      </c>
      <c r="T16" s="1067">
        <f>T14+T15</f>
        <v>13457.725260098459</v>
      </c>
      <c r="U16" s="1032"/>
      <c r="V16" s="1032"/>
      <c r="W16" s="1032"/>
      <c r="X16" s="1032"/>
      <c r="Y16" s="1032"/>
      <c r="AF16" s="1029" t="s">
        <v>592</v>
      </c>
      <c r="AG16" s="1031">
        <f>$AH$4/AG14</f>
        <v>8.8485165284930982</v>
      </c>
      <c r="AH16" s="1031">
        <f>$AH$4/AH14</f>
        <v>6.6066218656678872</v>
      </c>
      <c r="AI16" s="1031">
        <f>$AH$4/AI14</f>
        <v>6.0934979818952266</v>
      </c>
      <c r="AJ16" s="1031">
        <f>$AH$4/AJ14</f>
        <v>5.3099626787932177</v>
      </c>
      <c r="AK16" s="1174" t="s">
        <v>888</v>
      </c>
      <c r="AL16" s="1211">
        <f>O20/AVERAGE(N38:O38)</f>
        <v>0.13011096249179405</v>
      </c>
      <c r="AM16" s="1211">
        <f>P20/AVERAGE(O38:P38)</f>
        <v>0.13604509378033144</v>
      </c>
      <c r="AN16" s="1211">
        <f t="shared" ref="AN16:AQ16" si="13">Q20/AVERAGE(P38:Q38)</f>
        <v>0.10898540925944035</v>
      </c>
      <c r="AO16" s="1211">
        <f t="shared" si="13"/>
        <v>0.10649541701809158</v>
      </c>
      <c r="AP16" s="1211">
        <f t="shared" si="13"/>
        <v>0.10783807552721517</v>
      </c>
      <c r="AQ16" s="1211">
        <f t="shared" si="13"/>
        <v>0.10257621253731447</v>
      </c>
    </row>
    <row r="17" spans="1:44" ht="12" thickBot="1">
      <c r="A17" s="1066" t="s">
        <v>18</v>
      </c>
      <c r="B17" s="657" t="e">
        <f>+[29]IS!B15</f>
        <v>#REF!</v>
      </c>
      <c r="C17" s="657" t="e">
        <f>+[29]IS!C15</f>
        <v>#REF!</v>
      </c>
      <c r="D17" s="657" t="e">
        <f>+[29]IS!D15</f>
        <v>#REF!</v>
      </c>
      <c r="E17" s="657" t="e">
        <f>+[29]IS!E15</f>
        <v>#REF!</v>
      </c>
      <c r="F17" s="657">
        <f>+[29]IS!F15</f>
        <v>116.577</v>
      </c>
      <c r="G17" s="657"/>
      <c r="H17" s="657">
        <f>+IS!W23</f>
        <v>304.041</v>
      </c>
      <c r="I17" s="657">
        <f>+IS!AB23</f>
        <v>450.69600000000003</v>
      </c>
      <c r="J17" s="657">
        <f>+IS!AG23</f>
        <v>468.173</v>
      </c>
      <c r="K17" s="657">
        <f>+IS!AL23</f>
        <v>1749.837</v>
      </c>
      <c r="L17" s="657">
        <f>+IS!AQ23</f>
        <v>2606.3580000000002</v>
      </c>
      <c r="M17" s="657">
        <f>+IS!AU23</f>
        <v>1902.76</v>
      </c>
      <c r="N17" s="657">
        <f>+IS!AZ23</f>
        <v>2051.6779999999999</v>
      </c>
      <c r="O17" s="657">
        <f>+IS!BE23</f>
        <v>1670.7840000000001</v>
      </c>
      <c r="P17" s="657">
        <f>+IS!BJ23</f>
        <v>994.87900000000002</v>
      </c>
      <c r="Q17" s="657">
        <f>+IS!BP23</f>
        <v>608.85900000000004</v>
      </c>
      <c r="R17" s="657">
        <f>+IS!BU23</f>
        <v>496.05678290588475</v>
      </c>
      <c r="S17" s="657">
        <f>+IS!BV23</f>
        <v>411.52768508760653</v>
      </c>
      <c r="T17" s="657">
        <f>+IS!BW23</f>
        <v>395.14034863033208</v>
      </c>
      <c r="U17" s="1026"/>
      <c r="V17" s="1026"/>
      <c r="W17" s="1026"/>
      <c r="X17" s="1026"/>
      <c r="Y17" s="1026"/>
      <c r="Z17" s="1035"/>
      <c r="AA17" s="1016"/>
      <c r="AD17" s="1035"/>
      <c r="AF17" s="1029" t="s">
        <v>886</v>
      </c>
      <c r="AG17" s="1033">
        <f>$AH$4/AG25</f>
        <v>1.1038582564707533</v>
      </c>
      <c r="AH17" s="1033">
        <f>$AH$4/AH25</f>
        <v>0.75798951431244432</v>
      </c>
      <c r="AI17" s="1033">
        <f>$AH$4/AI25</f>
        <v>0.590910232899171</v>
      </c>
      <c r="AJ17" s="1033">
        <f>$AH$4/AJ25</f>
        <v>0.54216057048346589</v>
      </c>
      <c r="AK17" s="1178" t="s">
        <v>889</v>
      </c>
      <c r="AL17" s="1212">
        <f>O20/AVERAGE(N74:O74)</f>
        <v>8.1844452411940799E-2</v>
      </c>
      <c r="AM17" s="1212">
        <f>P20/AVERAGE(O74:P74)</f>
        <v>9.6350171648897656E-2</v>
      </c>
      <c r="AN17" s="1212">
        <f t="shared" ref="AN17:AQ17" si="14">Q20/AVERAGE(P74:Q74)</f>
        <v>8.7209280737140918E-2</v>
      </c>
      <c r="AO17" s="1212">
        <f t="shared" si="14"/>
        <v>8.9970151281008784E-2</v>
      </c>
      <c r="AP17" s="1212">
        <f t="shared" si="14"/>
        <v>9.2545937369536951E-2</v>
      </c>
      <c r="AQ17" s="1212">
        <f t="shared" si="14"/>
        <v>8.9549269853755983E-2</v>
      </c>
    </row>
    <row r="18" spans="1:44" ht="12" customHeight="1">
      <c r="A18" s="1066" t="s">
        <v>20</v>
      </c>
      <c r="B18" s="1067" t="e">
        <f>B16-B17</f>
        <v>#REF!</v>
      </c>
      <c r="C18" s="1067" t="e">
        <f>C16-C17</f>
        <v>#REF!</v>
      </c>
      <c r="D18" s="1067" t="e">
        <f>D16-D17</f>
        <v>#REF!</v>
      </c>
      <c r="E18" s="1067" t="e">
        <f>E16-E17</f>
        <v>#REF!</v>
      </c>
      <c r="F18" s="657">
        <f>+F14-F17</f>
        <v>294.93299999999999</v>
      </c>
      <c r="G18" s="657"/>
      <c r="H18" s="657">
        <f>+H14-H17</f>
        <v>2121.2710000000006</v>
      </c>
      <c r="I18" s="657">
        <f>+I14-I17</f>
        <v>3458.1060000000002</v>
      </c>
      <c r="J18" s="657">
        <f>+J14-J17</f>
        <v>1734.6339999999998</v>
      </c>
      <c r="K18" s="1067">
        <f t="shared" ref="K18:Q18" si="15">K14-K17</f>
        <v>-242.25600000000077</v>
      </c>
      <c r="L18" s="1067">
        <f t="shared" si="15"/>
        <v>1824.046590599999</v>
      </c>
      <c r="M18" s="1067">
        <f t="shared" si="15"/>
        <v>948.4341790000019</v>
      </c>
      <c r="N18" s="1067">
        <f t="shared" si="15"/>
        <v>720.02800000000116</v>
      </c>
      <c r="O18" s="1067">
        <f t="shared" si="15"/>
        <v>4052.465999999999</v>
      </c>
      <c r="P18" s="1067">
        <f t="shared" si="15"/>
        <v>7095.8579999999974</v>
      </c>
      <c r="Q18" s="1067">
        <f t="shared" si="15"/>
        <v>7851.3969999999972</v>
      </c>
      <c r="R18" s="1067">
        <f>R14-R17</f>
        <v>9921.3967401306018</v>
      </c>
      <c r="S18" s="1067">
        <f>S14-S17</f>
        <v>10931.179980048433</v>
      </c>
      <c r="T18" s="1067">
        <f>T14-T17</f>
        <v>11241.928600849555</v>
      </c>
      <c r="U18" s="1032"/>
      <c r="V18" s="1210">
        <f>P17/O17-1</f>
        <v>-0.40454361545238648</v>
      </c>
      <c r="W18" s="1210">
        <f>Q17/P17-1</f>
        <v>-0.38800698376385467</v>
      </c>
      <c r="X18" s="1032"/>
      <c r="Y18" s="1032"/>
      <c r="AF18" s="1029" t="s">
        <v>887</v>
      </c>
      <c r="AG18" s="1036">
        <f>AG15/$AH$4</f>
        <v>1.8078823671206459E-2</v>
      </c>
      <c r="AH18" s="1036">
        <f>AH15/$AH$4</f>
        <v>3.6157647342412919E-2</v>
      </c>
      <c r="AI18" s="1036">
        <f>AI15/$AH$4</f>
        <v>3.6157647342412919E-2</v>
      </c>
      <c r="AJ18" s="1036">
        <f>AJ15/$AH$4</f>
        <v>4.8210196456550558E-2</v>
      </c>
      <c r="AK18" s="1214" t="s">
        <v>957</v>
      </c>
      <c r="AL18" s="1214"/>
      <c r="AM18" s="1214"/>
      <c r="AN18" s="1214"/>
      <c r="AO18" s="1214"/>
      <c r="AP18" s="1214"/>
      <c r="AQ18" s="1187"/>
    </row>
    <row r="19" spans="1:44" hidden="1">
      <c r="A19" s="1066" t="s">
        <v>486</v>
      </c>
      <c r="B19" s="657">
        <f>+[29]IS!B17</f>
        <v>4.2670000000000003</v>
      </c>
      <c r="C19" s="657">
        <f>+[29]IS!C17</f>
        <v>0.46700000000000003</v>
      </c>
      <c r="D19" s="657">
        <f>+[29]IS!D17</f>
        <v>1.2390000000000001</v>
      </c>
      <c r="E19" s="657">
        <f>+[29]IS!E17</f>
        <v>0.4</v>
      </c>
      <c r="F19" s="657">
        <f>+[29]IS!F17</f>
        <v>-3.18</v>
      </c>
      <c r="G19" s="657"/>
      <c r="H19" s="657">
        <f>+IS!W29</f>
        <v>439.19299999999998</v>
      </c>
      <c r="I19" s="657">
        <f>+IS!AB29</f>
        <v>1030.078</v>
      </c>
      <c r="J19" s="657">
        <f>+IS!AG29</f>
        <v>98</v>
      </c>
      <c r="K19" s="657">
        <f>+IS!AL29</f>
        <v>-197.7</v>
      </c>
      <c r="L19" s="657">
        <f>+IS!AQ29</f>
        <v>251.31899999999999</v>
      </c>
      <c r="M19" s="657">
        <f>+IS!AU29</f>
        <v>125.381</v>
      </c>
      <c r="N19" s="657">
        <f>+IS!AZ29</f>
        <v>430.23099999999999</v>
      </c>
      <c r="O19" s="657">
        <f>+IS!BE29</f>
        <v>55.652000000000001</v>
      </c>
      <c r="P19" s="657">
        <f>+IS!BJ29</f>
        <v>1593.6890000000001</v>
      </c>
      <c r="Q19" s="657">
        <f>+IS!BP29</f>
        <v>1885.8989999999999</v>
      </c>
      <c r="R19" s="657">
        <f>+IS!BU29</f>
        <v>3075.6329894404871</v>
      </c>
      <c r="S19" s="657">
        <f>+IS!BV29</f>
        <v>3388.6657938150142</v>
      </c>
      <c r="T19" s="657">
        <f>+IS!BW29</f>
        <v>3484.9978662633621</v>
      </c>
      <c r="U19" s="1026"/>
      <c r="V19" s="1026"/>
      <c r="W19" s="1026"/>
      <c r="X19" s="1026"/>
      <c r="Y19" s="1026"/>
      <c r="AF19" s="1029" t="s">
        <v>888</v>
      </c>
      <c r="AG19" s="1037">
        <f>AG14/AVERAGE(AF25:AG25)</f>
        <v>0.13011096249179405</v>
      </c>
      <c r="AH19" s="1037">
        <f>AH14/AVERAGE(AG25:AH25)</f>
        <v>0.13604509378033147</v>
      </c>
      <c r="AI19" s="1037">
        <f>AI14/AVERAGE(AH25:AI25)</f>
        <v>0.10898540925944036</v>
      </c>
      <c r="AJ19" s="1037">
        <f>AJ14/AVERAGE(AI25:AJ25)</f>
        <v>0.10649541701809159</v>
      </c>
    </row>
    <row r="20" spans="1:44" s="1039" customFormat="1">
      <c r="A20" s="1161" t="s">
        <v>487</v>
      </c>
      <c r="B20" s="1068" t="e">
        <f>B18-B19</f>
        <v>#REF!</v>
      </c>
      <c r="C20" s="1068" t="e">
        <f>C18-C19</f>
        <v>#REF!</v>
      </c>
      <c r="D20" s="1068" t="e">
        <f>D18-D19</f>
        <v>#REF!</v>
      </c>
      <c r="E20" s="1068" t="e">
        <f>E18-E19</f>
        <v>#REF!</v>
      </c>
      <c r="F20" s="1069">
        <f>F18-F19</f>
        <v>298.113</v>
      </c>
      <c r="G20" s="1068"/>
      <c r="H20" s="1068">
        <f>+IS!W30</f>
        <v>1682.0780000000007</v>
      </c>
      <c r="I20" s="1068">
        <f>+IS!AB31</f>
        <v>2418.4550000000004</v>
      </c>
      <c r="J20" s="1162">
        <f>+IS!AG31</f>
        <v>1622.4709999999998</v>
      </c>
      <c r="K20" s="1162">
        <f>+IS!AL31</f>
        <v>-53.230000000000786</v>
      </c>
      <c r="L20" s="1163">
        <f>+IS!AQ30</f>
        <v>525.58559059999925</v>
      </c>
      <c r="M20" s="1163">
        <f>+IS!AU30</f>
        <v>823.05317900000193</v>
      </c>
      <c r="N20" s="1163">
        <f>+IS!AZ30</f>
        <v>170.96100000000115</v>
      </c>
      <c r="O20" s="1163">
        <f>+IS!BE30</f>
        <v>4108.1179999999986</v>
      </c>
      <c r="P20" s="1163">
        <f>+IS!BJ30</f>
        <v>5502.1689999999971</v>
      </c>
      <c r="Q20" s="1163">
        <f>+IS!BP30</f>
        <v>5965.4979999999978</v>
      </c>
      <c r="R20" s="1163">
        <f>+IS!BU30</f>
        <v>6845.7637506901165</v>
      </c>
      <c r="S20" s="1163">
        <f>IS!BV30</f>
        <v>7542.5141862334185</v>
      </c>
      <c r="T20" s="1163">
        <f>+IS!BW30</f>
        <v>7756.9307345861926</v>
      </c>
      <c r="U20" s="1089">
        <f>RATE(5,,-O20,T20)</f>
        <v>0.13555820793726686</v>
      </c>
      <c r="V20" s="1038"/>
      <c r="W20" s="1038"/>
      <c r="X20" s="1038"/>
      <c r="Y20" s="1038"/>
      <c r="Z20" s="1016"/>
      <c r="AA20" s="1016"/>
      <c r="AF20" s="1040" t="s">
        <v>889</v>
      </c>
      <c r="AG20" s="1041">
        <f>AG13/AVERAGE(AF26:AG26)</f>
        <v>8.1844454042496323E-2</v>
      </c>
      <c r="AH20" s="1041">
        <f>AH13/AVERAGE(AG26:AH26)</f>
        <v>9.6350173336115147E-2</v>
      </c>
      <c r="AI20" s="1041">
        <f>AI13/AVERAGE(AH26:AI26)</f>
        <v>8.7209280737140918E-2</v>
      </c>
      <c r="AJ20" s="1041">
        <f>AJ13/AVERAGE(AI26:AJ26)</f>
        <v>8.9970151281008784E-2</v>
      </c>
    </row>
    <row r="21" spans="1:44">
      <c r="A21" s="1070" t="s">
        <v>573</v>
      </c>
      <c r="B21" s="1071">
        <f>+[29]IS!B20</f>
        <v>-6.3428920615521358</v>
      </c>
      <c r="C21" s="1071">
        <f>+[29]IS!C20</f>
        <v>-3.0560968835064721</v>
      </c>
      <c r="D21" s="1071">
        <f>+[29]IS!D20</f>
        <v>-4.5864340869951672</v>
      </c>
      <c r="E21" s="1071">
        <f>+[29]IS!E20</f>
        <v>-2.4920393311482698</v>
      </c>
      <c r="F21" s="1071">
        <f>+[29]IS!F20</f>
        <v>6.6243653130381652</v>
      </c>
      <c r="G21" s="1071"/>
      <c r="H21" s="1071">
        <f>+IS!W33</f>
        <v>6.6343389767562817</v>
      </c>
      <c r="I21" s="1071">
        <f>+IS!AB33</f>
        <v>9.538707640211161</v>
      </c>
      <c r="J21" s="1071">
        <f>+IS!AG35</f>
        <v>5.3327008784950989</v>
      </c>
      <c r="K21" s="1071">
        <f>+IS!AL34</f>
        <v>-0.1457960717504041</v>
      </c>
      <c r="L21" s="1071">
        <f>+IS!AQ33</f>
        <v>1.727482796744584</v>
      </c>
      <c r="M21" s="1071">
        <f>+IS!AU33</f>
        <v>2.2543287683614635</v>
      </c>
      <c r="N21" s="1071">
        <f>+IS!AZ33</f>
        <v>0.39021572211398442</v>
      </c>
      <c r="O21" s="1071">
        <f>+IS!BE33</f>
        <v>9.3767130041322062</v>
      </c>
      <c r="P21" s="1071">
        <f>+IS!BJ33</f>
        <v>12.558611902879393</v>
      </c>
      <c r="Q21" s="1071">
        <f>+IS!BP33</f>
        <v>13.616152864334634</v>
      </c>
      <c r="R21" s="1071">
        <f>+IS!BU33</f>
        <v>15.625345227258054</v>
      </c>
      <c r="S21" s="1071">
        <f>+IS!BV33</f>
        <v>17.215666846450507</v>
      </c>
      <c r="T21" s="1071">
        <f>+IS!BW33</f>
        <v>17.705069156033776</v>
      </c>
      <c r="U21" s="1042">
        <f>P21/O21-1</f>
        <v>0.33934054474579334</v>
      </c>
      <c r="V21" s="1042"/>
      <c r="W21" s="1042"/>
      <c r="X21" s="1042"/>
      <c r="Y21" s="1042"/>
      <c r="AF21" s="1426" t="s">
        <v>890</v>
      </c>
      <c r="AG21" s="1426"/>
      <c r="AH21" s="1426"/>
      <c r="AI21" s="1043"/>
      <c r="AL21" s="1035"/>
      <c r="AM21" s="1035"/>
      <c r="AN21" s="1035"/>
      <c r="AO21" s="1035"/>
      <c r="AP21" s="1035"/>
      <c r="AQ21" s="1035"/>
      <c r="AR21" s="1035"/>
    </row>
    <row r="22" spans="1:44" ht="12" thickBot="1">
      <c r="A22" s="1072" t="s">
        <v>488</v>
      </c>
      <c r="B22" s="1073">
        <f>+[29]IS!B21</f>
        <v>0</v>
      </c>
      <c r="C22" s="1073">
        <f>+[29]IS!C21</f>
        <v>0</v>
      </c>
      <c r="D22" s="1073">
        <f>+[29]IS!D21</f>
        <v>0</v>
      </c>
      <c r="E22" s="1073">
        <f>+[29]IS!E21</f>
        <v>0</v>
      </c>
      <c r="F22" s="1073">
        <f>+[29]IS!F21</f>
        <v>0</v>
      </c>
      <c r="G22" s="1073"/>
      <c r="H22" s="1073">
        <f>+IS!W36</f>
        <v>1.5</v>
      </c>
      <c r="I22" s="1073">
        <v>1.4</v>
      </c>
      <c r="J22" s="1073">
        <f>+IS!AG36</f>
        <v>1.5</v>
      </c>
      <c r="K22" s="1073">
        <f>+IS!AL36</f>
        <v>0</v>
      </c>
      <c r="L22" s="1073">
        <f>+IS!AQ36</f>
        <v>0</v>
      </c>
      <c r="M22" s="1073">
        <f>+IS!AU36</f>
        <v>0</v>
      </c>
      <c r="N22" s="1073">
        <f>+IS!AZ36</f>
        <v>0</v>
      </c>
      <c r="O22" s="1073">
        <f>+IS!BE36</f>
        <v>1.5</v>
      </c>
      <c r="P22" s="1073">
        <f>IS!BJ36</f>
        <v>3</v>
      </c>
      <c r="Q22" s="1073">
        <f>IS!BP36</f>
        <v>3</v>
      </c>
      <c r="R22" s="1073">
        <f>IS!BU36</f>
        <v>4</v>
      </c>
      <c r="S22" s="1073">
        <f>IS!BV36</f>
        <v>5</v>
      </c>
      <c r="T22" s="1073">
        <f>IS!BW36</f>
        <v>6</v>
      </c>
      <c r="U22" s="1042"/>
      <c r="V22" s="1042"/>
      <c r="W22" s="1042"/>
      <c r="X22" s="1042"/>
      <c r="Y22" s="1042"/>
    </row>
    <row r="23" spans="1:44" hidden="1">
      <c r="A23" s="1044"/>
      <c r="B23" s="1045"/>
      <c r="C23" s="1045"/>
      <c r="D23" s="1045"/>
      <c r="E23" s="1045"/>
      <c r="F23" s="1045"/>
      <c r="G23" s="1045"/>
      <c r="H23" s="1045"/>
      <c r="I23" s="1045"/>
      <c r="J23" s="1045"/>
      <c r="K23" s="1045"/>
      <c r="L23" s="1046"/>
      <c r="M23" s="1046"/>
      <c r="N23" s="1046"/>
      <c r="O23" s="1046"/>
      <c r="P23" s="1046"/>
      <c r="Q23" s="1046"/>
      <c r="R23" s="1046"/>
      <c r="S23" s="1046"/>
      <c r="T23" s="1046"/>
      <c r="U23" s="1046"/>
      <c r="V23" s="1046"/>
      <c r="W23" s="1046"/>
      <c r="X23" s="1046"/>
      <c r="Y23" s="1046"/>
    </row>
    <row r="24" spans="1:44" hidden="1">
      <c r="A24" s="1044"/>
      <c r="B24" s="1045"/>
      <c r="C24" s="1045"/>
      <c r="D24" s="1045"/>
      <c r="E24" s="1045"/>
      <c r="F24" s="1045"/>
      <c r="G24" s="1045"/>
      <c r="H24" s="1045"/>
      <c r="I24" s="1045"/>
      <c r="J24" s="1045"/>
      <c r="K24" s="1045"/>
      <c r="L24" s="1046"/>
      <c r="M24" s="1046"/>
      <c r="N24" s="1046"/>
      <c r="O24" s="1046"/>
      <c r="P24" s="1046"/>
      <c r="Q24" s="1046"/>
      <c r="R24" s="1046"/>
      <c r="S24" s="1046"/>
      <c r="T24" s="1046"/>
      <c r="U24" s="1046"/>
      <c r="V24" s="1046"/>
      <c r="W24" s="1046"/>
      <c r="X24" s="1046"/>
      <c r="Y24" s="1046"/>
    </row>
    <row r="25" spans="1:44" ht="12" thickBot="1">
      <c r="A25" s="654" t="s">
        <v>23</v>
      </c>
      <c r="B25" s="1019" t="s">
        <v>148</v>
      </c>
      <c r="C25" s="1019" t="s">
        <v>149</v>
      </c>
      <c r="D25" s="1019" t="s">
        <v>150</v>
      </c>
      <c r="E25" s="1019" t="s">
        <v>151</v>
      </c>
      <c r="F25" s="1020" t="s">
        <v>152</v>
      </c>
      <c r="G25" s="1019" t="s">
        <v>191</v>
      </c>
      <c r="H25" s="1019" t="s">
        <v>154</v>
      </c>
      <c r="I25" s="1019" t="s">
        <v>155</v>
      </c>
      <c r="J25" s="655"/>
      <c r="K25" s="655"/>
      <c r="L25" s="655"/>
      <c r="M25" s="655"/>
      <c r="N25" s="655"/>
      <c r="O25" s="655"/>
      <c r="P25" s="655"/>
      <c r="Q25" s="655"/>
      <c r="R25" s="655"/>
      <c r="S25" s="655"/>
      <c r="T25" s="655"/>
      <c r="U25" s="1047"/>
      <c r="V25" s="1047"/>
      <c r="W25" s="1047"/>
      <c r="X25" s="1047"/>
      <c r="Y25" s="1047"/>
      <c r="AE25" s="1048">
        <f>BS!O18</f>
        <v>61.876452868534415</v>
      </c>
      <c r="AF25" s="1015">
        <f>BS!P18</f>
        <v>68.970460550462064</v>
      </c>
      <c r="AG25" s="1015">
        <f>BS!Q18</f>
        <v>75.163635832440121</v>
      </c>
      <c r="AH25" s="1015">
        <f>BS!R18</f>
        <v>109.46061711059455</v>
      </c>
      <c r="AI25" s="1015">
        <f>BS!S18</f>
        <v>140.41049787363804</v>
      </c>
      <c r="AJ25" s="1015">
        <f>BS!T18</f>
        <v>153.03584310089607</v>
      </c>
    </row>
    <row r="26" spans="1:44">
      <c r="A26" s="660" t="s">
        <v>612</v>
      </c>
      <c r="B26" s="1159" t="s">
        <v>148</v>
      </c>
      <c r="C26" s="1159" t="s">
        <v>149</v>
      </c>
      <c r="D26" s="1159" t="s">
        <v>150</v>
      </c>
      <c r="E26" s="1159" t="s">
        <v>151</v>
      </c>
      <c r="F26" s="1160" t="s">
        <v>152</v>
      </c>
      <c r="G26" s="1159" t="s">
        <v>191</v>
      </c>
      <c r="H26" s="1159" t="s">
        <v>154</v>
      </c>
      <c r="I26" s="1159" t="s">
        <v>155</v>
      </c>
      <c r="J26" s="661" t="s">
        <v>156</v>
      </c>
      <c r="K26" s="661" t="s">
        <v>157</v>
      </c>
      <c r="L26" s="661" t="s">
        <v>158</v>
      </c>
      <c r="M26" s="661" t="s">
        <v>159</v>
      </c>
      <c r="N26" s="661" t="s">
        <v>538</v>
      </c>
      <c r="O26" s="661" t="s">
        <v>539</v>
      </c>
      <c r="P26" s="661" t="s">
        <v>849</v>
      </c>
      <c r="Q26" s="661" t="s">
        <v>580</v>
      </c>
      <c r="R26" s="661" t="s">
        <v>585</v>
      </c>
      <c r="S26" s="661" t="s">
        <v>894</v>
      </c>
      <c r="T26" s="661" t="s">
        <v>895</v>
      </c>
      <c r="U26" s="1019"/>
      <c r="V26" s="1019"/>
      <c r="W26" s="1019"/>
      <c r="X26" s="1019"/>
      <c r="Y26" s="1019"/>
      <c r="AB26" s="1021"/>
      <c r="AC26" s="1022"/>
      <c r="AF26" s="1015">
        <f>BS!P39</f>
        <v>49703.228999999992</v>
      </c>
      <c r="AG26" s="1015">
        <f>BS!Q39</f>
        <v>50685.197999999997</v>
      </c>
      <c r="AH26" s="1015">
        <f>BS!R39</f>
        <v>63526.718999999997</v>
      </c>
      <c r="AI26" s="1015">
        <f>BS!S39</f>
        <v>73282.068999999989</v>
      </c>
      <c r="AJ26" s="1015">
        <f>BS!T39</f>
        <v>78896.484736302198</v>
      </c>
    </row>
    <row r="27" spans="1:44" ht="12" customHeight="1">
      <c r="A27" s="1074" t="s">
        <v>489</v>
      </c>
      <c r="B27" s="1064"/>
      <c r="C27" s="1064"/>
      <c r="D27" s="1066"/>
      <c r="E27" s="1066"/>
      <c r="F27" s="657"/>
      <c r="G27" s="1066"/>
      <c r="H27" s="1066"/>
      <c r="I27" s="1066"/>
      <c r="J27" s="1066"/>
      <c r="K27" s="1066"/>
      <c r="L27" s="1066"/>
      <c r="M27" s="1066"/>
      <c r="N27" s="1066"/>
      <c r="O27" s="1066"/>
      <c r="P27" s="1066"/>
      <c r="Q27" s="1066"/>
      <c r="R27" s="1066"/>
      <c r="S27" s="1066"/>
      <c r="T27" s="1066"/>
      <c r="U27" s="1025"/>
      <c r="V27" s="1025"/>
      <c r="W27" s="1025"/>
      <c r="X27" s="1025"/>
      <c r="Y27" s="1025"/>
      <c r="AL27" s="1015"/>
      <c r="AM27" s="1015"/>
      <c r="AN27" s="1015"/>
    </row>
    <row r="28" spans="1:44">
      <c r="A28" s="1075" t="s">
        <v>223</v>
      </c>
      <c r="B28" s="1064"/>
      <c r="C28" s="1064"/>
      <c r="D28" s="1066"/>
      <c r="E28" s="1066"/>
      <c r="F28" s="657"/>
      <c r="G28" s="1067">
        <f>+BS!I7</f>
        <v>1676.306</v>
      </c>
      <c r="H28" s="1067">
        <f>+BS!J7</f>
        <v>1843.9370000000001</v>
      </c>
      <c r="I28" s="1067">
        <f>+BS!K7</f>
        <v>1843.9370000000001</v>
      </c>
      <c r="J28" s="1067">
        <f>+BS!L7</f>
        <v>2535.4121250000003</v>
      </c>
      <c r="K28" s="1067">
        <f>+BS!M7</f>
        <v>2535.4121250000003</v>
      </c>
      <c r="L28" s="1067">
        <f>+BS!N7</f>
        <v>3042.4941250000002</v>
      </c>
      <c r="M28" s="1067">
        <f>+BS!O7</f>
        <v>3650.993125</v>
      </c>
      <c r="N28" s="1067">
        <f>+BS!P7</f>
        <v>4381.1909999999998</v>
      </c>
      <c r="O28" s="1067">
        <f>+BS!Q7</f>
        <v>4381.1909999999998</v>
      </c>
      <c r="P28" s="1067">
        <f>+BS!R7</f>
        <v>4381.1909999999998</v>
      </c>
      <c r="Q28" s="1067">
        <f>+BS!S7</f>
        <v>4381.1909999999998</v>
      </c>
      <c r="R28" s="1067">
        <f>+BS!T7</f>
        <v>4381.1909999999998</v>
      </c>
      <c r="S28" s="1067">
        <f>+BS!U7</f>
        <v>4381.1909999999998</v>
      </c>
      <c r="T28" s="1067">
        <f>+BS!V7</f>
        <v>4381.1909999999998</v>
      </c>
      <c r="U28" s="1032"/>
      <c r="V28" s="1032"/>
      <c r="W28" s="1032"/>
      <c r="X28" s="1032"/>
      <c r="Y28" s="1032"/>
      <c r="AL28" s="1015"/>
      <c r="AM28" s="1015"/>
      <c r="AN28" s="1015"/>
    </row>
    <row r="29" spans="1:44" hidden="1">
      <c r="A29" s="1075" t="s">
        <v>224</v>
      </c>
      <c r="B29" s="1064"/>
      <c r="C29" s="1064"/>
      <c r="D29" s="1066"/>
      <c r="E29" s="1066"/>
      <c r="F29" s="657"/>
      <c r="G29" s="1067">
        <f>+BS!I8</f>
        <v>0</v>
      </c>
      <c r="H29" s="1067">
        <f>+BS!J8</f>
        <v>0</v>
      </c>
      <c r="I29" s="1067">
        <f>+BS!K8</f>
        <v>0</v>
      </c>
      <c r="J29" s="1067">
        <f>+BS!L8</f>
        <v>0</v>
      </c>
      <c r="K29" s="1067">
        <f>+BS!M8</f>
        <v>0</v>
      </c>
      <c r="L29" s="1067">
        <f>+BS!N8</f>
        <v>0</v>
      </c>
      <c r="M29" s="1067">
        <f>+BS!O8</f>
        <v>0</v>
      </c>
      <c r="N29" s="1067">
        <f>+BS!P8</f>
        <v>0</v>
      </c>
      <c r="O29" s="1067">
        <f>+BS!Q8</f>
        <v>0</v>
      </c>
      <c r="P29" s="1067">
        <f>+BS!R8</f>
        <v>0</v>
      </c>
      <c r="Q29" s="1067">
        <f>+BS!S8</f>
        <v>0</v>
      </c>
      <c r="R29" s="1067">
        <f>+BS!T8</f>
        <v>0</v>
      </c>
      <c r="S29" s="1067">
        <f>+BS!U8</f>
        <v>0</v>
      </c>
      <c r="T29" s="1067">
        <f>+BS!V8</f>
        <v>0</v>
      </c>
      <c r="U29" s="1032"/>
      <c r="V29" s="1032"/>
      <c r="W29" s="1032"/>
      <c r="X29" s="1032"/>
      <c r="Y29" s="1032"/>
      <c r="AL29" s="1015"/>
      <c r="AM29" s="1015"/>
      <c r="AN29" s="1015"/>
    </row>
    <row r="30" spans="1:44" hidden="1">
      <c r="A30" s="1075" t="s">
        <v>333</v>
      </c>
      <c r="B30" s="1064"/>
      <c r="C30" s="1064"/>
      <c r="D30" s="1066"/>
      <c r="E30" s="1066"/>
      <c r="F30" s="657"/>
      <c r="G30" s="1067">
        <f>+BS!I9</f>
        <v>0</v>
      </c>
      <c r="H30" s="1067">
        <f>+BS!J9</f>
        <v>0</v>
      </c>
      <c r="I30" s="1067">
        <f>+BS!K9</f>
        <v>8.3510000000000009</v>
      </c>
      <c r="J30" s="1067">
        <f>+BS!L9</f>
        <v>0</v>
      </c>
      <c r="K30" s="1067">
        <f>+BS!M9</f>
        <v>0</v>
      </c>
      <c r="L30" s="1067">
        <f>+BS!N9</f>
        <v>0</v>
      </c>
      <c r="M30" s="1067">
        <f>+BS!O9</f>
        <v>0</v>
      </c>
      <c r="N30" s="1067">
        <f>+BS!P9</f>
        <v>0</v>
      </c>
      <c r="O30" s="1067">
        <f>+BS!Q9</f>
        <v>0</v>
      </c>
      <c r="P30" s="1067">
        <f>+BS!R9</f>
        <v>0</v>
      </c>
      <c r="Q30" s="1067">
        <f>+BS!S9</f>
        <v>0</v>
      </c>
      <c r="R30" s="1067">
        <f>+BS!T9</f>
        <v>0</v>
      </c>
      <c r="S30" s="1067">
        <f>+BS!U9</f>
        <v>0</v>
      </c>
      <c r="T30" s="1067">
        <f>+BS!V9</f>
        <v>0</v>
      </c>
      <c r="U30" s="1032"/>
      <c r="V30" s="1032"/>
      <c r="W30" s="1032"/>
      <c r="X30" s="1032"/>
      <c r="Y30" s="1032"/>
      <c r="AL30" s="1015"/>
      <c r="AM30" s="1015"/>
      <c r="AN30" s="1015"/>
    </row>
    <row r="31" spans="1:44">
      <c r="A31" s="1075" t="s">
        <v>225</v>
      </c>
      <c r="B31" s="1064"/>
      <c r="C31" s="1064"/>
      <c r="D31" s="1066"/>
      <c r="E31" s="1066"/>
      <c r="F31" s="657"/>
      <c r="G31" s="1067">
        <f>+SUM(G32:G36)</f>
        <v>4389.0879999999997</v>
      </c>
      <c r="H31" s="1067">
        <f t="shared" ref="H31:M31" si="16">+SUM(H32:H36)</f>
        <v>7196.5680000000011</v>
      </c>
      <c r="I31" s="1067">
        <f t="shared" si="16"/>
        <v>3992.5770000000002</v>
      </c>
      <c r="J31" s="1067">
        <f t="shared" si="16"/>
        <v>6761.7210000000005</v>
      </c>
      <c r="K31" s="1067">
        <f t="shared" si="16"/>
        <v>8136.7210000000005</v>
      </c>
      <c r="L31" s="1067">
        <f t="shared" si="16"/>
        <v>17401.22</v>
      </c>
      <c r="M31" s="1067">
        <f t="shared" si="16"/>
        <v>22160.476999999999</v>
      </c>
      <c r="N31" s="1067">
        <f t="shared" ref="N31:T31" si="17">+SUM(N32:N36)</f>
        <v>24957.380999999998</v>
      </c>
      <c r="O31" s="1067">
        <f t="shared" si="17"/>
        <v>23562.611999999997</v>
      </c>
      <c r="P31" s="1067">
        <f t="shared" si="17"/>
        <v>33785.203999999998</v>
      </c>
      <c r="Q31" s="1067">
        <f t="shared" si="17"/>
        <v>42705.394</v>
      </c>
      <c r="R31" s="1067">
        <f t="shared" si="17"/>
        <v>42705.394</v>
      </c>
      <c r="S31" s="1067">
        <f t="shared" si="17"/>
        <v>42705.394</v>
      </c>
      <c r="T31" s="1067">
        <f t="shared" si="17"/>
        <v>42705.394</v>
      </c>
      <c r="U31" s="1032"/>
      <c r="V31" s="1032"/>
      <c r="W31" s="1032"/>
      <c r="X31" s="1032"/>
      <c r="Y31" s="1032"/>
    </row>
    <row r="32" spans="1:44" hidden="1">
      <c r="A32" s="1076" t="s">
        <v>342</v>
      </c>
      <c r="B32" s="1064"/>
      <c r="C32" s="1064"/>
      <c r="D32" s="1066"/>
      <c r="E32" s="1066"/>
      <c r="F32" s="657"/>
      <c r="G32" s="1067">
        <f>+BS!I11</f>
        <v>1561.35</v>
      </c>
      <c r="H32" s="1067">
        <f>+BS!J11</f>
        <v>1561.35</v>
      </c>
      <c r="I32" s="1067">
        <f>+BS!K11</f>
        <v>1561.35</v>
      </c>
      <c r="J32" s="1067">
        <f>+BS!L11</f>
        <v>2711.384</v>
      </c>
      <c r="K32" s="1067">
        <f>+BS!M11</f>
        <v>2711.384</v>
      </c>
      <c r="L32" s="1067">
        <f>+BS!N11</f>
        <v>3218.4659999999999</v>
      </c>
      <c r="M32" s="1067">
        <f>+BS!O11</f>
        <v>3826.9649999999997</v>
      </c>
      <c r="N32" s="1067">
        <f>+BS!P11</f>
        <v>4557.1629999999996</v>
      </c>
      <c r="O32" s="1067">
        <f>+BS!Q11</f>
        <v>4557.1629999999996</v>
      </c>
      <c r="P32" s="1067">
        <f>+BS!R11</f>
        <v>4557.1629999999996</v>
      </c>
      <c r="Q32" s="1067">
        <f>+BS!S11</f>
        <v>4557.1629999999996</v>
      </c>
      <c r="R32" s="1067">
        <f>+BS!T11</f>
        <v>4557.1629999999996</v>
      </c>
      <c r="S32" s="1067">
        <f>+BS!U11</f>
        <v>4557.1629999999996</v>
      </c>
      <c r="T32" s="1067">
        <f>+BS!V11</f>
        <v>4557.1629999999996</v>
      </c>
      <c r="U32" s="1032"/>
      <c r="V32" s="1032"/>
      <c r="W32" s="1032"/>
      <c r="X32" s="1032"/>
      <c r="Y32" s="1032"/>
    </row>
    <row r="33" spans="1:37" hidden="1">
      <c r="A33" s="1076" t="s">
        <v>338</v>
      </c>
      <c r="B33" s="1064"/>
      <c r="C33" s="1064"/>
      <c r="D33" s="1066"/>
      <c r="E33" s="1066"/>
      <c r="F33" s="657"/>
      <c r="G33" s="1067">
        <f>+BS!I12</f>
        <v>1722.48</v>
      </c>
      <c r="H33" s="1067">
        <f>+BS!J12</f>
        <v>3591.0350000000003</v>
      </c>
      <c r="I33" s="1067">
        <f>+BS!K12</f>
        <v>0</v>
      </c>
      <c r="J33" s="1067">
        <f>+BS!L12</f>
        <v>0</v>
      </c>
      <c r="K33" s="1067">
        <f>+BS!M12</f>
        <v>0</v>
      </c>
      <c r="L33" s="1067">
        <f>+BS!N12</f>
        <v>8757.4169999999995</v>
      </c>
      <c r="M33" s="1067">
        <f>+BS!O12</f>
        <v>12908.174999999999</v>
      </c>
      <c r="N33" s="1067">
        <f>+BS!P12</f>
        <v>14974.880999999999</v>
      </c>
      <c r="O33" s="1067">
        <f>+BS!Q12</f>
        <v>13580.111999999999</v>
      </c>
      <c r="P33" s="1067">
        <f>+BS!R12</f>
        <v>23802.704000000002</v>
      </c>
      <c r="Q33" s="1067">
        <f>+BS!S12</f>
        <v>32722.894</v>
      </c>
      <c r="R33" s="1067">
        <f>+BS!T12</f>
        <v>32722.894</v>
      </c>
      <c r="S33" s="1067">
        <f>+BS!U12</f>
        <v>32722.894</v>
      </c>
      <c r="T33" s="1067">
        <f>+BS!V12</f>
        <v>32722.894</v>
      </c>
      <c r="U33" s="1032"/>
      <c r="V33" s="1032"/>
      <c r="W33" s="1032"/>
      <c r="X33" s="1032"/>
      <c r="Y33" s="1032"/>
    </row>
    <row r="34" spans="1:37" hidden="1">
      <c r="A34" s="1076" t="s">
        <v>339</v>
      </c>
      <c r="B34" s="1064"/>
      <c r="C34" s="1064"/>
      <c r="D34" s="1066"/>
      <c r="E34" s="1066"/>
      <c r="F34" s="657"/>
      <c r="G34" s="1067">
        <v>167.631</v>
      </c>
      <c r="H34" s="1067">
        <f>+BS!J13</f>
        <v>-298.24400000000003</v>
      </c>
      <c r="I34" s="1067">
        <f>+BS!K13</f>
        <v>0</v>
      </c>
      <c r="J34" s="1067">
        <f>+BS!L13</f>
        <v>0</v>
      </c>
      <c r="K34" s="1067">
        <f>+BS!M13</f>
        <v>0</v>
      </c>
      <c r="L34" s="1067">
        <f>+BS!N13</f>
        <v>0</v>
      </c>
      <c r="M34" s="1067">
        <f>+BS!O13</f>
        <v>0</v>
      </c>
      <c r="N34" s="1067">
        <f>+BS!P13</f>
        <v>0</v>
      </c>
      <c r="O34" s="1067">
        <f>+BS!Q13</f>
        <v>0</v>
      </c>
      <c r="P34" s="1067">
        <f>+BS!R13</f>
        <v>0</v>
      </c>
      <c r="Q34" s="1067">
        <f>+BS!S13</f>
        <v>0</v>
      </c>
      <c r="R34" s="1067">
        <f>+BS!T13</f>
        <v>0</v>
      </c>
      <c r="S34" s="1067">
        <f>+BS!U13</f>
        <v>0</v>
      </c>
      <c r="T34" s="1067">
        <f>+BS!V13</f>
        <v>0</v>
      </c>
      <c r="U34" s="1032"/>
      <c r="V34" s="1032"/>
      <c r="W34" s="1032"/>
      <c r="X34" s="1032"/>
      <c r="Y34" s="1032"/>
    </row>
    <row r="35" spans="1:37" hidden="1">
      <c r="A35" s="1076" t="s">
        <v>340</v>
      </c>
      <c r="B35" s="1064"/>
      <c r="C35" s="1064"/>
      <c r="D35" s="1066"/>
      <c r="E35" s="1066"/>
      <c r="F35" s="657"/>
      <c r="G35" s="1067">
        <f>+BS!I14</f>
        <v>106.8</v>
      </c>
      <c r="H35" s="1067">
        <f>+BS!J14</f>
        <v>195.6</v>
      </c>
      <c r="I35" s="1067">
        <f>+BS!K14</f>
        <v>284.39999999999998</v>
      </c>
      <c r="J35" s="1067">
        <f>+BS!L14</f>
        <v>353.51</v>
      </c>
      <c r="K35" s="1067">
        <f>+BS!M14</f>
        <v>353.51</v>
      </c>
      <c r="L35" s="1067">
        <f>+BS!N14</f>
        <v>353.51</v>
      </c>
      <c r="M35" s="1067">
        <f>+BS!O14</f>
        <v>353.51</v>
      </c>
      <c r="N35" s="1067">
        <f>+BS!P14</f>
        <v>353.51</v>
      </c>
      <c r="O35" s="1067">
        <f>+BS!Q14</f>
        <v>353.51</v>
      </c>
      <c r="P35" s="1067">
        <f>+BS!R14</f>
        <v>353.51</v>
      </c>
      <c r="Q35" s="1067">
        <f>+BS!S14</f>
        <v>353.51</v>
      </c>
      <c r="R35" s="1067">
        <f>+BS!T14</f>
        <v>353.51</v>
      </c>
      <c r="S35" s="1067">
        <f>+BS!U14</f>
        <v>353.51</v>
      </c>
      <c r="T35" s="1067">
        <f>+BS!V14</f>
        <v>353.51</v>
      </c>
      <c r="U35" s="1032"/>
      <c r="V35" s="1032"/>
      <c r="W35" s="1032"/>
      <c r="X35" s="1032"/>
      <c r="Y35" s="1032"/>
    </row>
    <row r="36" spans="1:37">
      <c r="A36" s="1077" t="s">
        <v>341</v>
      </c>
      <c r="B36" s="1066"/>
      <c r="C36" s="1066"/>
      <c r="D36" s="657"/>
      <c r="E36" s="657"/>
      <c r="F36" s="657">
        <f>+[29]BS!B26</f>
        <v>150</v>
      </c>
      <c r="G36" s="1067">
        <f>+BS!I15</f>
        <v>830.827</v>
      </c>
      <c r="H36" s="1067">
        <f>+BS!J15</f>
        <v>2146.8270000000002</v>
      </c>
      <c r="I36" s="1067">
        <f>+BS!K15</f>
        <v>2146.8270000000002</v>
      </c>
      <c r="J36" s="1067">
        <f>+BS!L15</f>
        <v>3696.8270000000002</v>
      </c>
      <c r="K36" s="1067">
        <f>+BS!M15</f>
        <v>5071.8270000000002</v>
      </c>
      <c r="L36" s="1067">
        <f>+BS!N15</f>
        <v>5071.8270000000002</v>
      </c>
      <c r="M36" s="1067">
        <f>+BS!O15</f>
        <v>5071.8270000000002</v>
      </c>
      <c r="N36" s="1067">
        <f>+BS!P15</f>
        <v>5071.8270000000002</v>
      </c>
      <c r="O36" s="1067">
        <f>+BS!Q15</f>
        <v>5071.8270000000002</v>
      </c>
      <c r="P36" s="1067">
        <f>+BS!R15</f>
        <v>5071.8270000000002</v>
      </c>
      <c r="Q36" s="1067">
        <f>+BS!S15</f>
        <v>5071.8270000000002</v>
      </c>
      <c r="R36" s="1067">
        <f>+BS!T15</f>
        <v>5071.8270000000002</v>
      </c>
      <c r="S36" s="1067">
        <f>+BS!U15</f>
        <v>5071.8270000000002</v>
      </c>
      <c r="T36" s="1067">
        <f>+BS!V15</f>
        <v>5071.8270000000002</v>
      </c>
      <c r="U36" s="1032"/>
      <c r="V36" s="1032"/>
      <c r="W36" s="1032"/>
      <c r="X36" s="1032"/>
      <c r="Y36" s="1032"/>
      <c r="AG36" s="1023" t="s">
        <v>538</v>
      </c>
      <c r="AH36" s="1023" t="s">
        <v>539</v>
      </c>
      <c r="AI36" s="1023" t="s">
        <v>543</v>
      </c>
      <c r="AJ36" s="1023" t="s">
        <v>560</v>
      </c>
      <c r="AK36" s="1023" t="s">
        <v>587</v>
      </c>
    </row>
    <row r="37" spans="1:37">
      <c r="A37" s="1075" t="s">
        <v>226</v>
      </c>
      <c r="B37" s="1066"/>
      <c r="C37" s="1066"/>
      <c r="D37" s="657"/>
      <c r="E37" s="657"/>
      <c r="F37" s="657">
        <f>+[29]BS!B27</f>
        <v>40</v>
      </c>
      <c r="G37" s="1067">
        <f>+BS!I16</f>
        <v>251.661</v>
      </c>
      <c r="H37" s="1067">
        <f>+BS!J16</f>
        <v>277.49300000000068</v>
      </c>
      <c r="I37" s="1067">
        <f>+BS!K16</f>
        <v>2330.5570000000012</v>
      </c>
      <c r="J37" s="1067">
        <f>+BS!L16</f>
        <v>1757.6948750000015</v>
      </c>
      <c r="K37" s="1067">
        <f>+BS!M16</f>
        <v>-50.846864999999184</v>
      </c>
      <c r="L37" s="1067">
        <f>+BS!N16</f>
        <v>474.72672560000007</v>
      </c>
      <c r="M37" s="1067">
        <f>+BS!O16</f>
        <v>1297.791904600002</v>
      </c>
      <c r="N37" s="1067">
        <f>+BS!P16</f>
        <v>878.71100000000115</v>
      </c>
      <c r="O37" s="1067">
        <f>+BS!Q16</f>
        <v>4986.8289999999997</v>
      </c>
      <c r="P37" s="1067">
        <f>+BS!R16</f>
        <v>9790.4029999999966</v>
      </c>
      <c r="Q37" s="1067">
        <f>+BS!S16</f>
        <v>14429.949999999995</v>
      </c>
      <c r="R37" s="1067">
        <f>+BS!T16</f>
        <v>19961.356150690113</v>
      </c>
      <c r="S37" s="1067">
        <f>+BS!U16</f>
        <v>25751.39353692353</v>
      </c>
      <c r="T37" s="1067">
        <f>+BS!V16</f>
        <v>31317.728271509721</v>
      </c>
      <c r="U37" s="1032"/>
      <c r="V37" s="1032"/>
      <c r="W37" s="1032"/>
      <c r="X37" s="1032"/>
      <c r="Y37" s="1032"/>
      <c r="AF37" s="1014" t="s">
        <v>1</v>
      </c>
      <c r="AG37" s="1048">
        <f t="shared" ref="AG37:AK38" si="18">N21</f>
        <v>0.39021572211398442</v>
      </c>
      <c r="AH37" s="1048">
        <f t="shared" si="18"/>
        <v>9.3767130041322062</v>
      </c>
      <c r="AI37" s="1048">
        <f t="shared" si="18"/>
        <v>12.558611902879393</v>
      </c>
      <c r="AJ37" s="1048">
        <f t="shared" si="18"/>
        <v>13.616152864334634</v>
      </c>
      <c r="AK37" s="1048">
        <f t="shared" si="18"/>
        <v>15.625345227258054</v>
      </c>
    </row>
    <row r="38" spans="1:37" s="1039" customFormat="1">
      <c r="A38" s="1164" t="s">
        <v>490</v>
      </c>
      <c r="B38" s="1164"/>
      <c r="C38" s="1164"/>
      <c r="D38" s="1165"/>
      <c r="E38" s="1165"/>
      <c r="F38" s="1166">
        <f>SUM(F36:F37)</f>
        <v>190</v>
      </c>
      <c r="G38" s="1165">
        <f t="shared" ref="G38:L38" si="19">SUM(G37,G31,G30,G29,G28)</f>
        <v>6317.0550000000003</v>
      </c>
      <c r="H38" s="1165">
        <f t="shared" si="19"/>
        <v>9317.9980000000014</v>
      </c>
      <c r="I38" s="1165">
        <f t="shared" si="19"/>
        <v>8175.4220000000014</v>
      </c>
      <c r="J38" s="1165">
        <f t="shared" si="19"/>
        <v>11054.828000000003</v>
      </c>
      <c r="K38" s="1165">
        <f t="shared" si="19"/>
        <v>10621.286260000001</v>
      </c>
      <c r="L38" s="1165">
        <f t="shared" si="19"/>
        <v>20918.440850600004</v>
      </c>
      <c r="M38" s="1165">
        <f t="shared" ref="M38:T38" si="20">SUM(M37,M31,M30,M29,M28)</f>
        <v>27109.262029600002</v>
      </c>
      <c r="N38" s="1165">
        <f t="shared" si="20"/>
        <v>30217.282999999996</v>
      </c>
      <c r="O38" s="1165">
        <f t="shared" si="20"/>
        <v>32930.631999999998</v>
      </c>
      <c r="P38" s="1165">
        <f t="shared" si="20"/>
        <v>47956.797999999995</v>
      </c>
      <c r="Q38" s="1165">
        <f t="shared" si="20"/>
        <v>61516.534999999996</v>
      </c>
      <c r="R38" s="1165">
        <f t="shared" si="20"/>
        <v>67047.941150690123</v>
      </c>
      <c r="S38" s="1165">
        <f t="shared" si="20"/>
        <v>72837.978536923532</v>
      </c>
      <c r="T38" s="1165">
        <f t="shared" si="20"/>
        <v>78404.313271509731</v>
      </c>
      <c r="U38" s="1049"/>
      <c r="V38" s="1049"/>
      <c r="W38" s="1049"/>
      <c r="X38" s="1049"/>
      <c r="Y38" s="1049"/>
      <c r="Z38" s="1016"/>
      <c r="AF38" s="1039" t="s">
        <v>891</v>
      </c>
      <c r="AG38" s="1048">
        <f t="shared" si="18"/>
        <v>0</v>
      </c>
      <c r="AH38" s="1048">
        <f t="shared" si="18"/>
        <v>1.5</v>
      </c>
      <c r="AI38" s="1048">
        <f t="shared" si="18"/>
        <v>3</v>
      </c>
      <c r="AJ38" s="1048">
        <f t="shared" si="18"/>
        <v>3</v>
      </c>
      <c r="AK38" s="1048">
        <f t="shared" si="18"/>
        <v>4</v>
      </c>
    </row>
    <row r="39" spans="1:37" ht="12" customHeight="1">
      <c r="A39" s="1074" t="s">
        <v>491</v>
      </c>
      <c r="B39" s="1066"/>
      <c r="C39" s="1066"/>
      <c r="D39" s="657"/>
      <c r="E39" s="657"/>
      <c r="F39" s="657"/>
      <c r="G39" s="657"/>
      <c r="H39" s="657"/>
      <c r="I39" s="657"/>
      <c r="J39" s="657"/>
      <c r="K39" s="657"/>
      <c r="L39" s="657"/>
      <c r="M39" s="657"/>
      <c r="N39" s="657"/>
      <c r="O39" s="657"/>
      <c r="P39" s="657"/>
      <c r="Q39" s="657"/>
      <c r="R39" s="657"/>
      <c r="S39" s="657"/>
      <c r="T39" s="657"/>
      <c r="U39" s="1026"/>
      <c r="V39" s="1026"/>
      <c r="W39" s="1026"/>
      <c r="X39" s="1026"/>
      <c r="Y39" s="1026"/>
      <c r="AF39" s="1014" t="s">
        <v>892</v>
      </c>
      <c r="AG39" s="1016">
        <f>N9/N7</f>
        <v>0.23604038671493952</v>
      </c>
      <c r="AH39" s="1016">
        <f>O9/O7</f>
        <v>0.327093816243616</v>
      </c>
      <c r="AI39" s="1016">
        <f>P9/P7</f>
        <v>0.37429906271988944</v>
      </c>
      <c r="AJ39" s="1016">
        <f>Q9/Q7</f>
        <v>0.34878270174081882</v>
      </c>
      <c r="AK39" s="1016">
        <f>R9/R7</f>
        <v>0.38914889561523991</v>
      </c>
    </row>
    <row r="40" spans="1:37">
      <c r="A40" s="1075" t="s">
        <v>232</v>
      </c>
      <c r="B40" s="1066"/>
      <c r="C40" s="1066"/>
      <c r="D40" s="657"/>
      <c r="E40" s="657"/>
      <c r="F40" s="657">
        <f>+[29]BS!B33</f>
        <v>104.389</v>
      </c>
      <c r="G40" s="657">
        <f>+BS!I20</f>
        <v>2730.5729999999999</v>
      </c>
      <c r="H40" s="657">
        <f>+BS!J20</f>
        <v>4899.2240000000002</v>
      </c>
      <c r="I40" s="657">
        <f>+BS!K20</f>
        <v>7372.4679999999998</v>
      </c>
      <c r="J40" s="657">
        <f>+BS!L20</f>
        <v>8686.4470000000001</v>
      </c>
      <c r="K40" s="657">
        <f>+BS!M20</f>
        <v>8411.0509999999995</v>
      </c>
      <c r="L40" s="657">
        <f>+BS!N20</f>
        <v>4375.8370000000004</v>
      </c>
      <c r="M40" s="657">
        <f>+BS!O20</f>
        <v>5089.5069999999996</v>
      </c>
      <c r="N40" s="657">
        <f>+BS!P20</f>
        <v>4880.5789999999997</v>
      </c>
      <c r="O40" s="657">
        <f>+BS!Q20</f>
        <v>4629.0829999999996</v>
      </c>
      <c r="P40" s="657">
        <f>+BS!R20</f>
        <v>2899.1869999999999</v>
      </c>
      <c r="Q40" s="657">
        <f>+BS!S20</f>
        <v>1321.009</v>
      </c>
      <c r="R40" s="657">
        <f>+BS!T20</f>
        <v>669.66814916396106</v>
      </c>
      <c r="S40" s="657">
        <f>+BS!U20</f>
        <v>0</v>
      </c>
      <c r="T40" s="657">
        <f>+BS!V20</f>
        <v>0</v>
      </c>
      <c r="U40" s="1026"/>
      <c r="V40" s="1026"/>
      <c r="W40" s="1026"/>
      <c r="X40" s="1026"/>
      <c r="Y40" s="1026"/>
      <c r="AF40" s="1014" t="s">
        <v>893</v>
      </c>
      <c r="AG40" s="1017">
        <f>N20/N7</f>
        <v>9.2027333723848533E-3</v>
      </c>
      <c r="AH40" s="1017">
        <f>O20/O7</f>
        <v>0.17900410952523307</v>
      </c>
      <c r="AI40" s="1017">
        <f>P20/P7</f>
        <v>0.22082941816647045</v>
      </c>
      <c r="AJ40" s="1017">
        <f>Q20/Q7</f>
        <v>0.2247526034558375</v>
      </c>
      <c r="AK40" s="1017">
        <f>R20/R7</f>
        <v>0.23486253804124851</v>
      </c>
    </row>
    <row r="41" spans="1:37" hidden="1">
      <c r="A41" s="1075" t="s">
        <v>233</v>
      </c>
      <c r="B41" s="1066"/>
      <c r="C41" s="1066"/>
      <c r="D41" s="657"/>
      <c r="E41" s="657"/>
      <c r="F41" s="657">
        <f>+[29]BS!B34</f>
        <v>150</v>
      </c>
      <c r="G41" s="657">
        <f>+BS!I21</f>
        <v>83.486999999999995</v>
      </c>
      <c r="H41" s="657">
        <f>+BS!J21</f>
        <v>131.98500000000001</v>
      </c>
      <c r="I41" s="657">
        <f>+BS!K21</f>
        <v>28.885999999999996</v>
      </c>
      <c r="J41" s="657">
        <f>+BS!L21</f>
        <v>1.1411799999999996</v>
      </c>
      <c r="K41" s="657">
        <f>+BS!M21</f>
        <v>0</v>
      </c>
      <c r="L41" s="657">
        <f>+BS!N21</f>
        <v>0</v>
      </c>
      <c r="M41" s="657">
        <f>+BS!O21</f>
        <v>0</v>
      </c>
      <c r="N41" s="657">
        <f>+BS!P21</f>
        <v>0</v>
      </c>
      <c r="O41" s="657">
        <f>+BS!Q21</f>
        <v>0</v>
      </c>
      <c r="P41" s="657">
        <f>+BS!R21</f>
        <v>0</v>
      </c>
      <c r="Q41" s="657">
        <f>+BS!S21</f>
        <v>0</v>
      </c>
      <c r="R41" s="657">
        <f>+BS!T21</f>
        <v>0</v>
      </c>
      <c r="S41" s="657">
        <f>+BS!U21</f>
        <v>0</v>
      </c>
      <c r="T41" s="657">
        <f>+BS!V21</f>
        <v>0</v>
      </c>
      <c r="U41" s="1026"/>
      <c r="V41" s="1026"/>
      <c r="W41" s="1026"/>
      <c r="X41" s="1026"/>
      <c r="Y41" s="1026"/>
    </row>
    <row r="42" spans="1:37" hidden="1">
      <c r="A42" s="1075" t="s">
        <v>234</v>
      </c>
      <c r="B42" s="1066"/>
      <c r="C42" s="1066"/>
      <c r="D42" s="657"/>
      <c r="E42" s="657"/>
      <c r="F42" s="657">
        <f>+[29]BS!B35</f>
        <v>0</v>
      </c>
      <c r="G42" s="657">
        <f>+BS!I22</f>
        <v>176.15</v>
      </c>
      <c r="H42" s="657">
        <f>+BS!J22</f>
        <v>582.76499999999999</v>
      </c>
      <c r="I42" s="657">
        <f>+BS!K22</f>
        <v>1585.5719999999999</v>
      </c>
      <c r="J42" s="657">
        <f>+BS!L22</f>
        <v>1663.8620000000001</v>
      </c>
      <c r="K42" s="657">
        <f>+BS!M22</f>
        <v>1373.018</v>
      </c>
      <c r="L42" s="657">
        <f>+BS!N22</f>
        <v>1520.1980000000001</v>
      </c>
      <c r="M42" s="657">
        <f>+BS!O22</f>
        <v>1569.989</v>
      </c>
      <c r="N42" s="657">
        <f>+BS!P22</f>
        <v>1847.0989999999999</v>
      </c>
      <c r="O42" s="657">
        <f>+BS!Q22</f>
        <v>1851.1849999999999</v>
      </c>
      <c r="P42" s="657">
        <f>+BS!R22</f>
        <v>3297.7579999999998</v>
      </c>
      <c r="Q42" s="657">
        <f>+BS!S22</f>
        <v>4434.9920000000002</v>
      </c>
      <c r="R42" s="657">
        <f>+BS!T22</f>
        <v>4434.9920000000002</v>
      </c>
      <c r="S42" s="657">
        <f>+BS!U22</f>
        <v>4434.9920000000002</v>
      </c>
      <c r="T42" s="657">
        <f>+BS!V22</f>
        <v>4434.9920000000002</v>
      </c>
      <c r="U42" s="1026"/>
      <c r="V42" s="1026"/>
      <c r="W42" s="1026"/>
      <c r="X42" s="1026"/>
      <c r="Y42" s="1026"/>
    </row>
    <row r="43" spans="1:37" hidden="1">
      <c r="A43" s="1075" t="s">
        <v>235</v>
      </c>
      <c r="B43" s="1066"/>
      <c r="C43" s="1066"/>
      <c r="D43" s="657"/>
      <c r="E43" s="657"/>
      <c r="F43" s="657">
        <f>+[29]BS!B36</f>
        <v>15.611000000000001</v>
      </c>
      <c r="G43" s="657">
        <f>+BS!I23</f>
        <v>30.364999999999998</v>
      </c>
      <c r="H43" s="657">
        <f>+BS!J23</f>
        <v>28.673999999999999</v>
      </c>
      <c r="I43" s="657">
        <f>+BS!K23</f>
        <v>33.814</v>
      </c>
      <c r="J43" s="657">
        <f>+BS!L23</f>
        <v>79.466999999999999</v>
      </c>
      <c r="K43" s="657">
        <f>+BS!M23</f>
        <v>73.89</v>
      </c>
      <c r="L43" s="657">
        <f>+BS!N23</f>
        <v>73.765000000000001</v>
      </c>
      <c r="M43" s="657">
        <f>+BS!O23</f>
        <v>81.138000000000005</v>
      </c>
      <c r="N43" s="657">
        <f>+BS!P23</f>
        <v>70.893000000000001</v>
      </c>
      <c r="O43" s="657">
        <f>+BS!Q23</f>
        <v>68.355000000000004</v>
      </c>
      <c r="P43" s="657">
        <f>+BS!R23</f>
        <v>65.382999999999996</v>
      </c>
      <c r="Q43" s="657">
        <f>+BS!S23</f>
        <v>68.97</v>
      </c>
      <c r="R43" s="657">
        <f>+BS!T23</f>
        <v>68.97</v>
      </c>
      <c r="S43" s="657">
        <f>+BS!U23</f>
        <v>68.97</v>
      </c>
      <c r="T43" s="657">
        <f>+BS!V23</f>
        <v>68.97</v>
      </c>
      <c r="U43" s="1026"/>
      <c r="V43" s="1026"/>
      <c r="W43" s="1026"/>
      <c r="X43" s="1026"/>
      <c r="Y43" s="1026"/>
    </row>
    <row r="44" spans="1:37">
      <c r="A44" s="1066" t="s">
        <v>492</v>
      </c>
      <c r="B44" s="1066"/>
      <c r="C44" s="1066"/>
      <c r="D44" s="657"/>
      <c r="E44" s="657"/>
      <c r="F44" s="657">
        <f>+[29]BS!B37</f>
        <v>44.131</v>
      </c>
      <c r="G44" s="657">
        <f>+SUM(G40:G43)</f>
        <v>3020.5749999999998</v>
      </c>
      <c r="H44" s="657">
        <f>+SUM(H40:H43)</f>
        <v>5642.6480000000001</v>
      </c>
      <c r="I44" s="657">
        <f>+SUM(I40:I43)</f>
        <v>9020.74</v>
      </c>
      <c r="J44" s="657">
        <f>+SUM(J40:J43)</f>
        <v>10430.91718</v>
      </c>
      <c r="K44" s="657">
        <f>+SUM(K40:K43)</f>
        <v>9857.9589999999989</v>
      </c>
      <c r="L44" s="657">
        <f>+BS!N24</f>
        <v>5969.8000000000011</v>
      </c>
      <c r="M44" s="657">
        <f>+BS!O24</f>
        <v>6740.6339999999991</v>
      </c>
      <c r="N44" s="657">
        <f>+BS!P24</f>
        <v>6798.5709999999999</v>
      </c>
      <c r="O44" s="657">
        <f>+BS!Q24</f>
        <v>6548.6229999999996</v>
      </c>
      <c r="P44" s="657">
        <f>+BS!R24</f>
        <v>6262.3279999999995</v>
      </c>
      <c r="Q44" s="657">
        <f>+BS!S24</f>
        <v>5824.9710000000005</v>
      </c>
      <c r="R44" s="657">
        <f>+BS!T24</f>
        <v>5173.6301491639615</v>
      </c>
      <c r="S44" s="657">
        <f>+BS!U24</f>
        <v>4503.9620000000004</v>
      </c>
      <c r="T44" s="657">
        <f>+BS!V24</f>
        <v>4503.9620000000004</v>
      </c>
      <c r="U44" s="1026"/>
      <c r="V44" s="1026"/>
      <c r="W44" s="1026"/>
      <c r="X44" s="1026"/>
      <c r="Y44" s="1026"/>
    </row>
    <row r="45" spans="1:37" hidden="1">
      <c r="A45" s="1066"/>
      <c r="B45" s="1066"/>
      <c r="C45" s="1066"/>
      <c r="D45" s="1067"/>
      <c r="E45" s="1067"/>
      <c r="F45" s="657">
        <f>SUM(F40:F44)</f>
        <v>314.13099999999997</v>
      </c>
      <c r="G45" s="657"/>
      <c r="H45" s="657"/>
      <c r="I45" s="657"/>
      <c r="J45" s="657"/>
      <c r="K45" s="657"/>
      <c r="L45" s="657"/>
      <c r="M45" s="657"/>
      <c r="N45" s="657"/>
      <c r="O45" s="657"/>
      <c r="P45" s="657"/>
      <c r="Q45" s="657"/>
      <c r="R45" s="657"/>
      <c r="S45" s="657"/>
      <c r="T45" s="657"/>
      <c r="U45" s="1026"/>
      <c r="V45" s="1026"/>
      <c r="W45" s="1026"/>
      <c r="X45" s="1026"/>
      <c r="Y45" s="1026"/>
    </row>
    <row r="46" spans="1:37" ht="12" customHeight="1">
      <c r="A46" s="1074" t="s">
        <v>236</v>
      </c>
      <c r="B46" s="1066"/>
      <c r="C46" s="1066"/>
      <c r="D46" s="657"/>
      <c r="E46" s="657"/>
      <c r="F46" s="657"/>
      <c r="G46" s="657"/>
      <c r="H46" s="657"/>
      <c r="I46" s="657"/>
      <c r="J46" s="657"/>
      <c r="K46" s="657"/>
      <c r="L46" s="657"/>
      <c r="M46" s="657"/>
      <c r="N46" s="657"/>
      <c r="O46" s="657"/>
      <c r="P46" s="657"/>
      <c r="Q46" s="657"/>
      <c r="R46" s="657"/>
      <c r="S46" s="657"/>
      <c r="T46" s="657"/>
      <c r="U46" s="1026"/>
      <c r="V46" s="1026"/>
      <c r="W46" s="1026"/>
      <c r="X46" s="1026"/>
      <c r="Y46" s="1026"/>
    </row>
    <row r="47" spans="1:37">
      <c r="A47" s="1075" t="s">
        <v>237</v>
      </c>
      <c r="B47" s="1066"/>
      <c r="C47" s="1066"/>
      <c r="D47" s="657"/>
      <c r="E47" s="657"/>
      <c r="F47" s="657">
        <f>+[29]BS!B41</f>
        <v>49.097000000000001</v>
      </c>
      <c r="G47" s="657">
        <f>+BS!I28</f>
        <v>487.25400000000002</v>
      </c>
      <c r="H47" s="657">
        <f>+BS!J28</f>
        <v>511.42899999999997</v>
      </c>
      <c r="I47" s="657">
        <f>+BS!K28</f>
        <v>1481.3030000000001</v>
      </c>
      <c r="J47" s="657">
        <f>+BS!L28</f>
        <v>2042.2810032467532</v>
      </c>
      <c r="K47" s="657">
        <f>+BS!M28</f>
        <v>2687.6080000000002</v>
      </c>
      <c r="L47" s="657">
        <f>+BS!N28</f>
        <v>4763.942</v>
      </c>
      <c r="M47" s="657">
        <f>+BS!O28</f>
        <v>2139.2829999999999</v>
      </c>
      <c r="N47" s="657">
        <f>+BS!P28</f>
        <v>2001.566</v>
      </c>
      <c r="O47" s="657">
        <f>+BS!Q28</f>
        <v>2165.5610000000001</v>
      </c>
      <c r="P47" s="657">
        <f>+BS!R28</f>
        <v>1440.0319999999999</v>
      </c>
      <c r="Q47" s="657">
        <f>+BS!S28</f>
        <v>803.17399999999998</v>
      </c>
      <c r="R47" s="657">
        <f>+BS!T28</f>
        <v>785.39661982954544</v>
      </c>
      <c r="S47" s="657">
        <f>+BS!U28</f>
        <v>669.66814916396106</v>
      </c>
      <c r="T47" s="657">
        <f>+BS!V28</f>
        <v>0</v>
      </c>
      <c r="U47" s="1026"/>
      <c r="V47" s="1026"/>
      <c r="W47" s="1026"/>
      <c r="X47" s="1026"/>
      <c r="Y47" s="1026"/>
    </row>
    <row r="48" spans="1:37" hidden="1">
      <c r="A48" s="1075" t="s">
        <v>238</v>
      </c>
      <c r="B48" s="1066"/>
      <c r="C48" s="1066"/>
      <c r="D48" s="657"/>
      <c r="E48" s="657"/>
      <c r="F48" s="657">
        <f>+[29]BS!B42</f>
        <v>52.555999999999997</v>
      </c>
      <c r="G48" s="657">
        <f>+BS!I29</f>
        <v>0</v>
      </c>
      <c r="H48" s="657">
        <f>+BS!J29</f>
        <v>88.245999999999995</v>
      </c>
      <c r="I48" s="657">
        <f>+BS!K29</f>
        <v>94.775000000000006</v>
      </c>
      <c r="J48" s="657">
        <f>+BS!L29</f>
        <v>0</v>
      </c>
      <c r="K48" s="657">
        <f>+BS!M29</f>
        <v>0</v>
      </c>
      <c r="L48" s="657">
        <f>+BS!N29</f>
        <v>0</v>
      </c>
      <c r="M48" s="657">
        <f>+BS!O29</f>
        <v>0</v>
      </c>
      <c r="N48" s="657">
        <f>+BS!P29</f>
        <v>0</v>
      </c>
      <c r="O48" s="657">
        <f>+BS!Q29</f>
        <v>0</v>
      </c>
      <c r="P48" s="657">
        <f>+BS!R29</f>
        <v>0</v>
      </c>
      <c r="Q48" s="657">
        <f>+BS!S29</f>
        <v>0</v>
      </c>
      <c r="R48" s="657">
        <f>+BS!T29</f>
        <v>0</v>
      </c>
      <c r="S48" s="657">
        <f>+BS!U29</f>
        <v>0</v>
      </c>
      <c r="T48" s="657">
        <f>+BS!V29</f>
        <v>0</v>
      </c>
      <c r="U48" s="1026"/>
      <c r="V48" s="1026"/>
      <c r="W48" s="1026"/>
      <c r="X48" s="1026"/>
      <c r="Y48" s="1026"/>
    </row>
    <row r="49" spans="1:26" hidden="1">
      <c r="A49" s="1075" t="s">
        <v>336</v>
      </c>
      <c r="B49" s="1066"/>
      <c r="C49" s="1066"/>
      <c r="D49" s="657"/>
      <c r="E49" s="657"/>
      <c r="F49" s="657">
        <f>+[29]BS!B43</f>
        <v>49.384999999999998</v>
      </c>
      <c r="G49" s="657">
        <f>+BS!I30</f>
        <v>0</v>
      </c>
      <c r="H49" s="657">
        <f>+BS!J30</f>
        <v>0</v>
      </c>
      <c r="I49" s="657">
        <f>+BS!K30</f>
        <v>42.948</v>
      </c>
      <c r="J49" s="657">
        <f>+BS!L30</f>
        <v>0</v>
      </c>
      <c r="K49" s="657">
        <f>+BS!M30</f>
        <v>0</v>
      </c>
      <c r="L49" s="657">
        <f>+BS!N30</f>
        <v>0</v>
      </c>
      <c r="M49" s="657">
        <f>+BS!O30</f>
        <v>0</v>
      </c>
      <c r="N49" s="657">
        <f>+BS!P30</f>
        <v>0</v>
      </c>
      <c r="O49" s="657">
        <f>+BS!Q30</f>
        <v>0</v>
      </c>
      <c r="P49" s="657">
        <f>+BS!R30</f>
        <v>0</v>
      </c>
      <c r="Q49" s="657">
        <f>+BS!S30</f>
        <v>0</v>
      </c>
      <c r="R49" s="657">
        <f>+BS!T30</f>
        <v>0</v>
      </c>
      <c r="S49" s="657">
        <f>+BS!U30</f>
        <v>0</v>
      </c>
      <c r="T49" s="657">
        <f>+BS!V30</f>
        <v>0</v>
      </c>
      <c r="U49" s="1026"/>
      <c r="V49" s="1026"/>
      <c r="W49" s="1026"/>
      <c r="X49" s="1026"/>
      <c r="Y49" s="1026"/>
    </row>
    <row r="50" spans="1:26" hidden="1">
      <c r="A50" s="1075" t="s">
        <v>239</v>
      </c>
      <c r="B50" s="1066"/>
      <c r="C50" s="1066"/>
      <c r="D50" s="657"/>
      <c r="E50" s="657"/>
      <c r="F50" s="657">
        <f>+[29]BS!B44</f>
        <v>46.462000000000003</v>
      </c>
      <c r="G50" s="657">
        <f>+BS!I31</f>
        <v>0</v>
      </c>
      <c r="H50" s="657">
        <f>+BS!J31</f>
        <v>0</v>
      </c>
      <c r="I50" s="657">
        <f>+BS!K31</f>
        <v>0</v>
      </c>
      <c r="J50" s="657">
        <f>+BS!L31</f>
        <v>0</v>
      </c>
      <c r="K50" s="657">
        <f>+BS!M31</f>
        <v>0</v>
      </c>
      <c r="L50" s="657">
        <f>+BS!N31</f>
        <v>0</v>
      </c>
      <c r="M50" s="657">
        <f>+BS!O31</f>
        <v>0</v>
      </c>
      <c r="N50" s="657">
        <f>+BS!P31</f>
        <v>0</v>
      </c>
      <c r="O50" s="657">
        <f>+BS!Q31</f>
        <v>0</v>
      </c>
      <c r="P50" s="657">
        <f>+BS!R31</f>
        <v>0</v>
      </c>
      <c r="Q50" s="657">
        <f>+BS!S31</f>
        <v>0</v>
      </c>
      <c r="R50" s="657">
        <f>+BS!T31</f>
        <v>0</v>
      </c>
      <c r="S50" s="657">
        <f>+BS!U31</f>
        <v>0</v>
      </c>
      <c r="T50" s="657">
        <f>+BS!V31</f>
        <v>0</v>
      </c>
      <c r="U50" s="1026"/>
      <c r="V50" s="1026"/>
      <c r="W50" s="1026"/>
      <c r="X50" s="1026"/>
      <c r="Y50" s="1026"/>
    </row>
    <row r="51" spans="1:26" hidden="1">
      <c r="A51" s="1075" t="s">
        <v>518</v>
      </c>
      <c r="B51" s="1066"/>
      <c r="C51" s="1066"/>
      <c r="D51" s="657"/>
      <c r="E51" s="657"/>
      <c r="F51" s="657">
        <f>+[29]BS!B45</f>
        <v>145.79499999999999</v>
      </c>
      <c r="G51" s="657">
        <f>+BS!I32</f>
        <v>1360.6769999999999</v>
      </c>
      <c r="H51" s="657">
        <f>+BS!J32</f>
        <v>960.62</v>
      </c>
      <c r="I51" s="657">
        <f>+BS!K32</f>
        <v>2613.6950000000002</v>
      </c>
      <c r="J51" s="657">
        <f>+BS!L32</f>
        <v>3942.9720000000002</v>
      </c>
      <c r="K51" s="657">
        <f>+BS!M32</f>
        <v>7597.02</v>
      </c>
      <c r="L51" s="657">
        <f>+BS!N32</f>
        <v>9068.5750000000007</v>
      </c>
      <c r="M51" s="657">
        <f>+BS!O32</f>
        <v>9585.6419999999998</v>
      </c>
      <c r="N51" s="657">
        <f>+BS!P32</f>
        <v>8691.982</v>
      </c>
      <c r="O51" s="657">
        <f>+BS!Q32</f>
        <v>6733.4669999999996</v>
      </c>
      <c r="P51" s="657">
        <f>+BS!R32</f>
        <v>5420.29</v>
      </c>
      <c r="Q51" s="657">
        <f>+BS!S32</f>
        <v>2551.6759999999999</v>
      </c>
      <c r="R51" s="657">
        <f>+BS!T32</f>
        <v>3000</v>
      </c>
      <c r="S51" s="657">
        <f>+BS!U32</f>
        <v>3000</v>
      </c>
      <c r="T51" s="657">
        <f>+BS!V32</f>
        <v>3000</v>
      </c>
      <c r="U51" s="1026"/>
      <c r="V51" s="1026"/>
      <c r="W51" s="1026"/>
      <c r="X51" s="1026"/>
      <c r="Y51" s="1026"/>
    </row>
    <row r="52" spans="1:26">
      <c r="A52" s="1075" t="s">
        <v>241</v>
      </c>
      <c r="B52" s="1066"/>
      <c r="C52" s="1066"/>
      <c r="D52" s="657"/>
      <c r="E52" s="657"/>
      <c r="F52" s="657">
        <f>+[29]BS!B46</f>
        <v>159.952</v>
      </c>
      <c r="G52" s="657">
        <f>+BS!I33</f>
        <v>493.96800000000002</v>
      </c>
      <c r="H52" s="657">
        <f>+BS!J33</f>
        <v>1154.4259999999999</v>
      </c>
      <c r="I52" s="657">
        <f>+BS!K33</f>
        <v>1747.626</v>
      </c>
      <c r="J52" s="657">
        <f>+BS!L33</f>
        <v>1369.886</v>
      </c>
      <c r="K52" s="657">
        <f>+BS!M33</f>
        <v>1735</v>
      </c>
      <c r="L52" s="657">
        <f>+BS!N33</f>
        <v>1967.192</v>
      </c>
      <c r="M52" s="657">
        <f>+BS!O33</f>
        <v>2026.174</v>
      </c>
      <c r="N52" s="657">
        <f>+BS!P33</f>
        <v>1958.7370000000001</v>
      </c>
      <c r="O52" s="657">
        <f>+BS!Q33</f>
        <v>2108.8939999999998</v>
      </c>
      <c r="P52" s="657">
        <f>+BS!R33</f>
        <v>2286.3510000000001</v>
      </c>
      <c r="Q52" s="657">
        <f>+BS!S33</f>
        <v>2476.3040000000001</v>
      </c>
      <c r="R52" s="657">
        <f>+BS!T33</f>
        <v>2795.009816618579</v>
      </c>
      <c r="S52" s="657">
        <f>+BS!U33</f>
        <v>2997.8380758682347</v>
      </c>
      <c r="T52" s="657">
        <f>+BS!V33</f>
        <v>3137.1273113531392</v>
      </c>
      <c r="U52" s="1026"/>
      <c r="V52" s="1026"/>
      <c r="W52" s="1026"/>
      <c r="X52" s="1026"/>
      <c r="Y52" s="1026"/>
    </row>
    <row r="53" spans="1:26" hidden="1">
      <c r="A53" s="1075" t="s">
        <v>242</v>
      </c>
      <c r="B53" s="1066"/>
      <c r="C53" s="1066"/>
      <c r="D53" s="657"/>
      <c r="E53" s="657"/>
      <c r="F53" s="657">
        <f>+[29]BS!B47</f>
        <v>91.563000000000002</v>
      </c>
      <c r="G53" s="657">
        <f>+BS!I34</f>
        <v>35.090000000000003</v>
      </c>
      <c r="H53" s="657">
        <f>+BS!J34</f>
        <v>35.090000000000003</v>
      </c>
      <c r="I53" s="657">
        <f>+BS!K34</f>
        <v>35.090000000000003</v>
      </c>
      <c r="J53" s="657">
        <f>+BS!L34</f>
        <v>35.090000000000003</v>
      </c>
      <c r="K53" s="657">
        <f>+BS!M34</f>
        <v>35.090000000000003</v>
      </c>
      <c r="L53" s="657">
        <f>+BS!N34</f>
        <v>35.090000000000003</v>
      </c>
      <c r="M53" s="657">
        <f>+BS!O34</f>
        <v>35.090000000000003</v>
      </c>
      <c r="N53" s="657">
        <f>+BS!P34</f>
        <v>35.090000000000003</v>
      </c>
      <c r="O53" s="657">
        <f>+BS!Q34</f>
        <v>198.02100000000002</v>
      </c>
      <c r="P53" s="657">
        <f>+BS!R34</f>
        <v>160.92000000000002</v>
      </c>
      <c r="Q53" s="657">
        <f>+BS!S34</f>
        <v>94.507000000000005</v>
      </c>
      <c r="R53" s="657">
        <f>+BS!T34</f>
        <v>94.507000000000005</v>
      </c>
      <c r="S53" s="657">
        <f>+BS!U34</f>
        <v>94.507000000000005</v>
      </c>
      <c r="T53" s="657">
        <f>+BS!V34</f>
        <v>94.507000000000005</v>
      </c>
      <c r="U53" s="1026"/>
      <c r="V53" s="1026"/>
      <c r="W53" s="1026"/>
      <c r="X53" s="1026"/>
      <c r="Y53" s="1026"/>
    </row>
    <row r="54" spans="1:26" hidden="1">
      <c r="A54" s="1075" t="s">
        <v>337</v>
      </c>
      <c r="B54" s="1066"/>
      <c r="C54" s="1066"/>
      <c r="D54" s="657"/>
      <c r="E54" s="657"/>
      <c r="F54" s="657">
        <f>+[29]BS!B48</f>
        <v>2.6339999999999999</v>
      </c>
      <c r="G54" s="657">
        <f>+BS!I35</f>
        <v>0</v>
      </c>
      <c r="H54" s="657">
        <f>+BS!J35</f>
        <v>306.048</v>
      </c>
      <c r="I54" s="657">
        <f>+BS!K35</f>
        <v>0</v>
      </c>
      <c r="J54" s="657">
        <f>+BS!L35</f>
        <v>0</v>
      </c>
      <c r="K54" s="657">
        <f>+BS!M35</f>
        <v>0</v>
      </c>
      <c r="L54" s="657">
        <f>+BS!N35</f>
        <v>0</v>
      </c>
      <c r="M54" s="657">
        <f>+BS!O35</f>
        <v>0</v>
      </c>
      <c r="N54" s="657">
        <f>+BS!P35</f>
        <v>0</v>
      </c>
      <c r="O54" s="657">
        <f>+BS!Q35</f>
        <v>0</v>
      </c>
      <c r="P54" s="657">
        <f>+BS!R35</f>
        <v>0</v>
      </c>
      <c r="Q54" s="657">
        <f>+BS!S35</f>
        <v>14.901999999999999</v>
      </c>
      <c r="R54" s="657">
        <f>+BS!T35</f>
        <v>0</v>
      </c>
      <c r="S54" s="657">
        <f>+BS!U35</f>
        <v>0</v>
      </c>
      <c r="T54" s="657">
        <f>+BS!V35</f>
        <v>0</v>
      </c>
      <c r="U54" s="1026"/>
      <c r="V54" s="1026"/>
      <c r="W54" s="1026"/>
      <c r="X54" s="1026"/>
      <c r="Y54" s="1026"/>
    </row>
    <row r="55" spans="1:26" hidden="1">
      <c r="A55" s="1075" t="s">
        <v>243</v>
      </c>
      <c r="B55" s="1066"/>
      <c r="C55" s="1066"/>
      <c r="D55" s="1067"/>
      <c r="E55" s="1067"/>
      <c r="F55" s="657">
        <f>SUM(F47:F54)</f>
        <v>597.44399999999996</v>
      </c>
      <c r="G55" s="657">
        <f>+BS!I36</f>
        <v>0</v>
      </c>
      <c r="H55" s="657">
        <f>+BS!J36</f>
        <v>0</v>
      </c>
      <c r="I55" s="657">
        <f>+BS!K36</f>
        <v>0</v>
      </c>
      <c r="J55" s="657">
        <f>+BS!L36</f>
        <v>0</v>
      </c>
      <c r="K55" s="657">
        <f>+BS!M36</f>
        <v>0</v>
      </c>
      <c r="L55" s="657">
        <f>+BS!N36</f>
        <v>0</v>
      </c>
      <c r="M55" s="657">
        <f>+BS!O36</f>
        <v>0</v>
      </c>
      <c r="N55" s="657">
        <f>+BS!P36</f>
        <v>0</v>
      </c>
      <c r="O55" s="657">
        <f>+BS!Q36</f>
        <v>0</v>
      </c>
      <c r="P55" s="657">
        <f>+BS!R36</f>
        <v>0</v>
      </c>
      <c r="Q55" s="657">
        <f>+BS!S36</f>
        <v>0</v>
      </c>
      <c r="R55" s="657">
        <f>+BS!T36</f>
        <v>0</v>
      </c>
      <c r="S55" s="657">
        <f>+BS!U36</f>
        <v>0</v>
      </c>
      <c r="T55" s="657">
        <f>+BS!V36</f>
        <v>0</v>
      </c>
      <c r="U55" s="1026"/>
      <c r="V55" s="1026"/>
      <c r="W55" s="1026"/>
      <c r="X55" s="1026"/>
      <c r="Y55" s="1026"/>
    </row>
    <row r="56" spans="1:26">
      <c r="A56" s="1075" t="s">
        <v>517</v>
      </c>
      <c r="B56" s="1066"/>
      <c r="C56" s="1066"/>
      <c r="D56" s="1067"/>
      <c r="E56" s="1067"/>
      <c r="F56" s="657"/>
      <c r="G56" s="657">
        <f t="shared" ref="G56:O56" si="21">+SUM(G47:G55)</f>
        <v>2376.989</v>
      </c>
      <c r="H56" s="657">
        <f t="shared" si="21"/>
        <v>3055.8590000000004</v>
      </c>
      <c r="I56" s="657">
        <f t="shared" si="21"/>
        <v>6015.4370000000008</v>
      </c>
      <c r="J56" s="657">
        <f t="shared" si="21"/>
        <v>7390.2290032467536</v>
      </c>
      <c r="K56" s="657">
        <f t="shared" si="21"/>
        <v>12054.718000000001</v>
      </c>
      <c r="L56" s="657">
        <f t="shared" si="21"/>
        <v>15834.798999999999</v>
      </c>
      <c r="M56" s="657">
        <f t="shared" si="21"/>
        <v>13786.188999999998</v>
      </c>
      <c r="N56" s="657">
        <f t="shared" si="21"/>
        <v>12687.375</v>
      </c>
      <c r="O56" s="657">
        <f t="shared" si="21"/>
        <v>11205.943000000001</v>
      </c>
      <c r="P56" s="657">
        <f>+SUM(P47:P55)</f>
        <v>9307.5930000000008</v>
      </c>
      <c r="Q56" s="657">
        <f>+SUM(Q47:Q55)</f>
        <v>5940.5630000000001</v>
      </c>
      <c r="R56" s="657">
        <f>+SUM(R47:R55)</f>
        <v>6674.9134364481242</v>
      </c>
      <c r="S56" s="657">
        <f>+SUM(S47:S55)</f>
        <v>6762.0132250321949</v>
      </c>
      <c r="T56" s="657">
        <f>+SUM(T47:T55)</f>
        <v>6231.6343113531384</v>
      </c>
      <c r="U56" s="1026"/>
      <c r="V56" s="1026"/>
      <c r="W56" s="1026"/>
      <c r="X56" s="1026"/>
      <c r="Y56" s="1026"/>
    </row>
    <row r="57" spans="1:26" s="1050" customFormat="1">
      <c r="A57" s="1164" t="s">
        <v>493</v>
      </c>
      <c r="B57" s="1164"/>
      <c r="C57" s="1164"/>
      <c r="D57" s="1165"/>
      <c r="E57" s="1165"/>
      <c r="F57" s="1166">
        <f>F55+F45</f>
        <v>911.57499999999993</v>
      </c>
      <c r="G57" s="1165">
        <f t="shared" ref="G57:O57" si="22">G56+G44</f>
        <v>5397.5640000000003</v>
      </c>
      <c r="H57" s="1165">
        <f t="shared" si="22"/>
        <v>8698.5070000000014</v>
      </c>
      <c r="I57" s="1165">
        <f t="shared" si="22"/>
        <v>15036.177</v>
      </c>
      <c r="J57" s="1165">
        <f t="shared" si="22"/>
        <v>17821.146183246754</v>
      </c>
      <c r="K57" s="1165">
        <f t="shared" si="22"/>
        <v>21912.677</v>
      </c>
      <c r="L57" s="1165">
        <f t="shared" si="22"/>
        <v>21804.599000000002</v>
      </c>
      <c r="M57" s="1165">
        <f t="shared" si="22"/>
        <v>20526.822999999997</v>
      </c>
      <c r="N57" s="1165">
        <f t="shared" si="22"/>
        <v>19485.946</v>
      </c>
      <c r="O57" s="1165">
        <f t="shared" si="22"/>
        <v>17754.565999999999</v>
      </c>
      <c r="P57" s="1165">
        <f>P56+P44</f>
        <v>15569.921</v>
      </c>
      <c r="Q57" s="1165">
        <f>Q56+Q44</f>
        <v>11765.534</v>
      </c>
      <c r="R57" s="1165">
        <f>R56+R44</f>
        <v>11848.543585612086</v>
      </c>
      <c r="S57" s="1165">
        <f>S56+S44</f>
        <v>11265.975225032194</v>
      </c>
      <c r="T57" s="1165">
        <f>T56+T44</f>
        <v>10735.59631135314</v>
      </c>
      <c r="U57" s="1049"/>
      <c r="V57" s="1049"/>
      <c r="W57" s="1049"/>
      <c r="X57" s="1049"/>
      <c r="Y57" s="1049"/>
      <c r="Z57" s="1016"/>
    </row>
    <row r="58" spans="1:26" s="1039" customFormat="1">
      <c r="A58" s="1161" t="s">
        <v>494</v>
      </c>
      <c r="B58" s="1161"/>
      <c r="C58" s="1161"/>
      <c r="D58" s="1163"/>
      <c r="E58" s="1163"/>
      <c r="F58" s="1167">
        <f t="shared" ref="F58:O58" si="23">F57+F38</f>
        <v>1101.5749999999998</v>
      </c>
      <c r="G58" s="1163">
        <f>G57+G38</f>
        <v>11714.619000000001</v>
      </c>
      <c r="H58" s="1163">
        <f t="shared" si="23"/>
        <v>18016.505000000005</v>
      </c>
      <c r="I58" s="1163">
        <f t="shared" si="23"/>
        <v>23211.599000000002</v>
      </c>
      <c r="J58" s="1163">
        <f t="shared" si="23"/>
        <v>28875.974183246755</v>
      </c>
      <c r="K58" s="1163">
        <f t="shared" si="23"/>
        <v>32533.96326</v>
      </c>
      <c r="L58" s="1163">
        <f t="shared" si="23"/>
        <v>42723.039850600006</v>
      </c>
      <c r="M58" s="1163">
        <f t="shared" si="23"/>
        <v>47636.085029599999</v>
      </c>
      <c r="N58" s="1163">
        <f t="shared" si="23"/>
        <v>49703.228999999992</v>
      </c>
      <c r="O58" s="1163">
        <f t="shared" si="23"/>
        <v>50685.197999999997</v>
      </c>
      <c r="P58" s="1163">
        <f>P57+P38</f>
        <v>63526.718999999997</v>
      </c>
      <c r="Q58" s="1163">
        <f>Q57+Q38</f>
        <v>73282.068999999989</v>
      </c>
      <c r="R58" s="1163">
        <f>R57+R38</f>
        <v>78896.484736302213</v>
      </c>
      <c r="S58" s="1163">
        <f>S57+S38</f>
        <v>84103.953761955723</v>
      </c>
      <c r="T58" s="1163">
        <f>T57+T38</f>
        <v>89139.909582862863</v>
      </c>
      <c r="U58" s="1038"/>
      <c r="V58" s="1038"/>
      <c r="W58" s="1038"/>
      <c r="X58" s="1038"/>
      <c r="Y58" s="1038"/>
    </row>
    <row r="59" spans="1:26" s="1039" customFormat="1" ht="1.5" customHeight="1">
      <c r="A59" s="1078"/>
      <c r="B59" s="1078"/>
      <c r="C59" s="1078"/>
      <c r="D59" s="1068"/>
      <c r="E59" s="1068"/>
      <c r="F59" s="1069"/>
      <c r="G59" s="1068"/>
      <c r="H59" s="1068"/>
      <c r="I59" s="1068"/>
      <c r="J59" s="1068"/>
      <c r="K59" s="1068"/>
      <c r="L59" s="1068"/>
      <c r="M59" s="1068"/>
      <c r="N59" s="1068"/>
      <c r="O59" s="1068"/>
      <c r="P59" s="1068"/>
      <c r="Q59" s="1068"/>
      <c r="R59" s="1068"/>
      <c r="S59" s="1068"/>
      <c r="T59" s="1068"/>
      <c r="U59" s="1038"/>
      <c r="V59" s="1038"/>
      <c r="W59" s="1038"/>
      <c r="X59" s="1038"/>
      <c r="Y59" s="1038"/>
    </row>
    <row r="60" spans="1:26">
      <c r="A60" s="1066" t="s">
        <v>495</v>
      </c>
      <c r="B60" s="1066"/>
      <c r="C60" s="1066"/>
      <c r="D60" s="657"/>
      <c r="E60" s="657"/>
      <c r="F60" s="657">
        <f>+[29]BS!B7</f>
        <v>387.49099999999999</v>
      </c>
      <c r="G60" s="657">
        <f>+BS!I43+BS!I44</f>
        <v>6294.6660000000002</v>
      </c>
      <c r="H60" s="657">
        <f>+BS!J43+BS!J44</f>
        <v>6954.4990000000007</v>
      </c>
      <c r="I60" s="657">
        <f>+BS!K43+BS!K44</f>
        <v>7816.7809999999999</v>
      </c>
      <c r="J60" s="657">
        <f>+BS!L43+BS!L44</f>
        <v>22250.927</v>
      </c>
      <c r="K60" s="657">
        <f>+BS!M43+BS!M44</f>
        <v>22983.028999999999</v>
      </c>
      <c r="L60" s="657">
        <f>+BS!N43+BS!N44</f>
        <v>24345.793000000001</v>
      </c>
      <c r="M60" s="657">
        <f>+BS!O43+BS!O44</f>
        <v>25307.302</v>
      </c>
      <c r="N60" s="657">
        <f>+BS!P43+BS!P44</f>
        <v>24611.564999999995</v>
      </c>
      <c r="O60" s="657">
        <f>+BS!Q43+BS!Q44</f>
        <v>25192.214999999997</v>
      </c>
      <c r="P60" s="657">
        <f>+BS!R43+BS!R44</f>
        <v>27324.793999999994</v>
      </c>
      <c r="Q60" s="657">
        <f>+BS!S43+BS!S44</f>
        <v>28951.965999999989</v>
      </c>
      <c r="R60" s="657">
        <f>+BS!T43+BS!T44</f>
        <v>28093.48639993808</v>
      </c>
      <c r="S60" s="657">
        <f>+BS!U43+BS!U44</f>
        <v>27217.832776613519</v>
      </c>
      <c r="T60" s="657">
        <f>+BS!V43+BS!V44</f>
        <v>26324.661560912951</v>
      </c>
      <c r="U60" s="1026"/>
      <c r="V60" s="1026"/>
      <c r="W60" s="1026"/>
      <c r="X60" s="1026"/>
      <c r="Y60" s="1026"/>
    </row>
    <row r="61" spans="1:26" hidden="1">
      <c r="A61" s="1066" t="s">
        <v>516</v>
      </c>
      <c r="B61" s="1066"/>
      <c r="C61" s="1066"/>
      <c r="D61" s="657"/>
      <c r="E61" s="657"/>
      <c r="F61" s="657">
        <f>+[29]BS!B8+[29]BS!B9+[29]BS!B10</f>
        <v>69.11399999999999</v>
      </c>
      <c r="G61" s="657">
        <f>+BS!I45</f>
        <v>1126.1079999999999</v>
      </c>
      <c r="H61" s="657">
        <f>+BS!J45</f>
        <v>3983.1750000000002</v>
      </c>
      <c r="I61" s="657">
        <f>+BS!K45</f>
        <v>11759.677</v>
      </c>
      <c r="J61" s="657">
        <f>+BS!L45</f>
        <v>1907.0630000000001</v>
      </c>
      <c r="K61" s="657">
        <f>+BS!M45</f>
        <v>2488.3069999999998</v>
      </c>
      <c r="L61" s="657">
        <f>+BS!N45</f>
        <v>1750.2080000000001</v>
      </c>
      <c r="M61" s="657">
        <f>+BS!O45</f>
        <v>465.65</v>
      </c>
      <c r="N61" s="657">
        <f>+BS!P45</f>
        <v>1373.82</v>
      </c>
      <c r="O61" s="657">
        <f>+BS!Q45</f>
        <v>1993.5119999999999</v>
      </c>
      <c r="P61" s="657">
        <f>+BS!R45</f>
        <v>1610.1849999999999</v>
      </c>
      <c r="Q61" s="657">
        <f>+BS!S45</f>
        <v>880.65899999999999</v>
      </c>
      <c r="R61" s="657">
        <f>+BS!T45</f>
        <v>880.65899999999999</v>
      </c>
      <c r="S61" s="657">
        <f>+BS!U45</f>
        <v>880.65899999999999</v>
      </c>
      <c r="T61" s="657">
        <f>+BS!V45</f>
        <v>880.65899999999999</v>
      </c>
      <c r="U61" s="1026"/>
      <c r="V61" s="1026"/>
      <c r="W61" s="1026"/>
      <c r="X61" s="1026"/>
      <c r="Y61" s="1026"/>
    </row>
    <row r="62" spans="1:26" hidden="1">
      <c r="A62" s="1066"/>
      <c r="B62" s="1066"/>
      <c r="C62" s="1066"/>
      <c r="D62" s="657"/>
      <c r="E62" s="657"/>
      <c r="F62" s="657"/>
      <c r="G62" s="657">
        <f t="shared" ref="G62:O62" si="24">+SUM(G60:G61)</f>
        <v>7420.7740000000003</v>
      </c>
      <c r="H62" s="657">
        <f t="shared" si="24"/>
        <v>10937.674000000001</v>
      </c>
      <c r="I62" s="657">
        <f t="shared" si="24"/>
        <v>19576.457999999999</v>
      </c>
      <c r="J62" s="657">
        <f>+SUM(J60:J61)</f>
        <v>24157.989999999998</v>
      </c>
      <c r="K62" s="657">
        <f t="shared" si="24"/>
        <v>25471.335999999999</v>
      </c>
      <c r="L62" s="657">
        <f t="shared" si="24"/>
        <v>26096.001</v>
      </c>
      <c r="M62" s="657">
        <f t="shared" si="24"/>
        <v>25772.952000000001</v>
      </c>
      <c r="N62" s="657">
        <f t="shared" si="24"/>
        <v>25985.384999999995</v>
      </c>
      <c r="O62" s="657">
        <f t="shared" si="24"/>
        <v>27185.726999999995</v>
      </c>
      <c r="P62" s="657">
        <f>+SUM(P60:P61)</f>
        <v>28934.978999999996</v>
      </c>
      <c r="Q62" s="657">
        <f>+SUM(Q60:Q61)</f>
        <v>29832.624999999989</v>
      </c>
      <c r="R62" s="657">
        <f>+SUM(R60:R61)</f>
        <v>28974.145399938079</v>
      </c>
      <c r="S62" s="657">
        <f>+SUM(S60:S61)</f>
        <v>28098.491776613519</v>
      </c>
      <c r="T62" s="657">
        <f>+SUM(T60:T61)</f>
        <v>27205.320560912951</v>
      </c>
      <c r="U62" s="1026"/>
      <c r="V62" s="1026"/>
      <c r="W62" s="1026"/>
      <c r="X62" s="1026"/>
      <c r="Y62" s="1026"/>
    </row>
    <row r="63" spans="1:26" hidden="1">
      <c r="A63" s="1075" t="s">
        <v>252</v>
      </c>
      <c r="B63" s="1066"/>
      <c r="C63" s="1066"/>
      <c r="D63" s="657"/>
      <c r="E63" s="657"/>
      <c r="F63" s="657"/>
      <c r="G63" s="657">
        <f>+BS!I48</f>
        <v>1387.681</v>
      </c>
      <c r="H63" s="657">
        <f>+BS!J48</f>
        <v>2610.634</v>
      </c>
      <c r="I63" s="657">
        <f>+BS!K48</f>
        <v>96.677000000000007</v>
      </c>
      <c r="J63" s="657">
        <f>+BS!L48</f>
        <v>0</v>
      </c>
      <c r="K63" s="657">
        <f>+BS!M48</f>
        <v>0.01</v>
      </c>
      <c r="L63" s="657">
        <f>+BS!N48</f>
        <v>3172.5079999999998</v>
      </c>
      <c r="M63" s="657">
        <f>+BS!O48</f>
        <v>4696.9219999999996</v>
      </c>
      <c r="N63" s="657">
        <f>+BS!P48</f>
        <v>5259.4160000000002</v>
      </c>
      <c r="O63" s="657">
        <f>+BS!Q48</f>
        <v>4864.9449999999997</v>
      </c>
      <c r="P63" s="657">
        <f>+BS!R48</f>
        <v>8650.86</v>
      </c>
      <c r="Q63" s="657">
        <f>+BS!S48</f>
        <v>11258.37</v>
      </c>
      <c r="R63" s="657">
        <f>+BS!T48</f>
        <v>11258.37</v>
      </c>
      <c r="S63" s="657">
        <f>+BS!U48</f>
        <v>11258.37</v>
      </c>
      <c r="T63" s="657">
        <f>+BS!V48</f>
        <v>11258.37</v>
      </c>
      <c r="U63" s="1026"/>
      <c r="V63" s="1026"/>
      <c r="W63" s="1026"/>
      <c r="X63" s="1026"/>
      <c r="Y63" s="1026"/>
    </row>
    <row r="64" spans="1:26" hidden="1">
      <c r="A64" s="1075" t="s">
        <v>253</v>
      </c>
      <c r="B64" s="1066"/>
      <c r="C64" s="1066"/>
      <c r="D64" s="657"/>
      <c r="E64" s="657"/>
      <c r="F64" s="657"/>
      <c r="G64" s="657">
        <f>+BS!I49</f>
        <v>4.9569999999999999</v>
      </c>
      <c r="H64" s="657">
        <f>+BS!J49</f>
        <v>4.7789999999999999</v>
      </c>
      <c r="I64" s="657">
        <f>+BS!K49</f>
        <v>3.5150000000000001</v>
      </c>
      <c r="J64" s="657">
        <f>+BS!L49</f>
        <v>3.5150000000000001</v>
      </c>
      <c r="K64" s="657">
        <f>+BS!M49</f>
        <v>0</v>
      </c>
      <c r="L64" s="657">
        <f>+BS!N49</f>
        <v>0</v>
      </c>
      <c r="M64" s="657">
        <f>+BS!O49</f>
        <v>0</v>
      </c>
      <c r="N64" s="657">
        <f>+BS!P49</f>
        <v>133.21899999999999</v>
      </c>
      <c r="O64" s="657">
        <f>+BS!Q49</f>
        <v>194.15</v>
      </c>
      <c r="P64" s="657">
        <f>+BS!R49</f>
        <v>150.89099999999999</v>
      </c>
      <c r="Q64" s="657">
        <f>+BS!S49</f>
        <v>122.44800000000001</v>
      </c>
      <c r="R64" s="657">
        <f>+BS!T49</f>
        <v>122.44800000000001</v>
      </c>
      <c r="S64" s="657">
        <f>+BS!U49</f>
        <v>122.44800000000001</v>
      </c>
      <c r="T64" s="657">
        <f>+BS!V49</f>
        <v>122.44800000000001</v>
      </c>
      <c r="U64" s="1026"/>
      <c r="V64" s="1026"/>
      <c r="W64" s="1026"/>
      <c r="X64" s="1026"/>
      <c r="Y64" s="1026"/>
    </row>
    <row r="65" spans="1:29" hidden="1">
      <c r="A65" s="1075" t="s">
        <v>254</v>
      </c>
      <c r="B65" s="1066"/>
      <c r="C65" s="1066"/>
      <c r="D65" s="657"/>
      <c r="E65" s="657"/>
      <c r="F65" s="657"/>
      <c r="G65" s="657">
        <f>+BS!I50</f>
        <v>20.064</v>
      </c>
      <c r="H65" s="657">
        <f>+BS!J50</f>
        <v>266.649</v>
      </c>
      <c r="I65" s="657">
        <f>+BS!K50</f>
        <v>332.29499999999996</v>
      </c>
      <c r="J65" s="657">
        <f>+BS!L50</f>
        <v>193.39800000000002</v>
      </c>
      <c r="K65" s="657">
        <f>+BS!M50</f>
        <v>523.04600000000005</v>
      </c>
      <c r="L65" s="657">
        <f>+BS!N50</f>
        <v>166.94</v>
      </c>
      <c r="M65" s="657">
        <f>+BS!O50</f>
        <v>158.67699999999999</v>
      </c>
      <c r="N65" s="657">
        <f>+BS!P50</f>
        <v>0</v>
      </c>
      <c r="O65" s="657">
        <f>+BS!Q50</f>
        <v>0</v>
      </c>
      <c r="P65" s="657">
        <f>+BS!R50</f>
        <v>0</v>
      </c>
      <c r="Q65" s="657">
        <f>+BS!S50</f>
        <v>0</v>
      </c>
      <c r="R65" s="657">
        <f>+BS!T50</f>
        <v>0</v>
      </c>
      <c r="S65" s="657">
        <f>+BS!U50</f>
        <v>0</v>
      </c>
      <c r="T65" s="657">
        <f>+BS!V50</f>
        <v>0</v>
      </c>
      <c r="U65" s="1026"/>
      <c r="V65" s="1026"/>
      <c r="W65" s="1026"/>
      <c r="X65" s="1026"/>
      <c r="Y65" s="1026"/>
    </row>
    <row r="66" spans="1:29">
      <c r="A66" s="1074" t="s">
        <v>255</v>
      </c>
      <c r="B66" s="1066"/>
      <c r="C66" s="1066"/>
      <c r="D66" s="657"/>
      <c r="E66" s="657"/>
      <c r="F66" s="657"/>
      <c r="G66" s="657"/>
      <c r="H66" s="657"/>
      <c r="I66" s="657"/>
      <c r="J66" s="657"/>
      <c r="K66" s="657"/>
      <c r="L66" s="657"/>
      <c r="M66" s="657"/>
      <c r="N66" s="657"/>
      <c r="O66" s="657"/>
      <c r="P66" s="657"/>
      <c r="Q66" s="657"/>
      <c r="R66" s="657"/>
      <c r="S66" s="657"/>
      <c r="T66" s="657"/>
      <c r="U66" s="1026"/>
      <c r="V66" s="1026"/>
      <c r="W66" s="1026"/>
      <c r="X66" s="1026"/>
      <c r="Y66" s="1026"/>
    </row>
    <row r="67" spans="1:29" hidden="1">
      <c r="A67" s="1075" t="s">
        <v>256</v>
      </c>
      <c r="B67" s="1066"/>
      <c r="C67" s="1066"/>
      <c r="D67" s="657"/>
      <c r="E67" s="657"/>
      <c r="F67" s="657">
        <f>+[29]BS!B14</f>
        <v>24.574000000000002</v>
      </c>
      <c r="G67" s="657">
        <f>+BS!I53</f>
        <v>938.84699999999998</v>
      </c>
      <c r="H67" s="657">
        <f>+BS!J53</f>
        <v>1035.0809999999999</v>
      </c>
      <c r="I67" s="657">
        <f>+BS!K53</f>
        <v>836.04899999999998</v>
      </c>
      <c r="J67" s="657">
        <f>+BS!L53</f>
        <v>1496.2909999999999</v>
      </c>
      <c r="K67" s="657">
        <f>+BS!M53</f>
        <v>2299.25</v>
      </c>
      <c r="L67" s="657">
        <f>+BS!N53</f>
        <v>2935.88</v>
      </c>
      <c r="M67" s="657">
        <f>+BS!O53</f>
        <v>3017.7420000000002</v>
      </c>
      <c r="N67" s="657">
        <f>+BS!P53</f>
        <v>3543.0340000000001</v>
      </c>
      <c r="O67" s="657">
        <f>+BS!Q53</f>
        <v>4137.2619999999997</v>
      </c>
      <c r="P67" s="657">
        <f>+BS!R53</f>
        <v>3912.998</v>
      </c>
      <c r="Q67" s="657">
        <f>+BS!S53</f>
        <v>3688.7950000000001</v>
      </c>
      <c r="R67" s="657">
        <f>+BS!T53</f>
        <v>4372.193927424777</v>
      </c>
      <c r="S67" s="657">
        <f>+BS!U53</f>
        <v>4689.4752758224531</v>
      </c>
      <c r="T67" s="657">
        <f>+BS!V53</f>
        <v>4907.3634370452673</v>
      </c>
      <c r="U67" s="1026"/>
      <c r="V67" s="1026"/>
      <c r="W67" s="1026"/>
      <c r="X67" s="1026"/>
      <c r="Y67" s="1026"/>
    </row>
    <row r="68" spans="1:29">
      <c r="A68" s="1075" t="s">
        <v>257</v>
      </c>
      <c r="B68" s="1066"/>
      <c r="C68" s="1066"/>
      <c r="D68" s="657"/>
      <c r="E68" s="657"/>
      <c r="F68" s="657">
        <f>+[29]BS!B15</f>
        <v>47.465000000000003</v>
      </c>
      <c r="G68" s="657">
        <f>+BS!I54</f>
        <v>298.53800000000001</v>
      </c>
      <c r="H68" s="657">
        <f>+BS!J54</f>
        <v>100.994</v>
      </c>
      <c r="I68" s="657">
        <f>+BS!K54</f>
        <v>226.286</v>
      </c>
      <c r="J68" s="657">
        <f>+BS!L54</f>
        <v>295.14</v>
      </c>
      <c r="K68" s="657">
        <f>+BS!M54</f>
        <v>445.85599999999999</v>
      </c>
      <c r="L68" s="657">
        <f>+BS!N54</f>
        <v>899.83600000000001</v>
      </c>
      <c r="M68" s="657">
        <f>+BS!O54</f>
        <v>1036.876</v>
      </c>
      <c r="N68" s="657">
        <f>+BS!P54</f>
        <v>862.14099999999996</v>
      </c>
      <c r="O68" s="657">
        <f>+BS!Q54</f>
        <v>954.64499999999998</v>
      </c>
      <c r="P68" s="657">
        <f>+BS!R54</f>
        <v>1661.721</v>
      </c>
      <c r="Q68" s="657">
        <f>+BS!S54</f>
        <v>1348.742</v>
      </c>
      <c r="R68" s="657">
        <f>+BS!T54</f>
        <v>1317.0868713625152</v>
      </c>
      <c r="S68" s="657">
        <f>+BS!U54</f>
        <v>1401.7834638476704</v>
      </c>
      <c r="T68" s="657">
        <f>+BS!V54</f>
        <v>1484.8792493265037</v>
      </c>
      <c r="U68" s="1026"/>
      <c r="V68" s="1026"/>
      <c r="W68" s="1026"/>
      <c r="X68" s="1026"/>
      <c r="Y68" s="1026"/>
    </row>
    <row r="69" spans="1:29" hidden="1">
      <c r="A69" s="1075" t="s">
        <v>258</v>
      </c>
      <c r="B69" s="1066"/>
      <c r="C69" s="1066"/>
      <c r="D69" s="657"/>
      <c r="E69" s="657"/>
      <c r="F69" s="657">
        <f>+[29]BS!B16</f>
        <v>0.995</v>
      </c>
      <c r="G69" s="657">
        <f>+BS!I55</f>
        <v>52.622</v>
      </c>
      <c r="H69" s="657">
        <f>+BS!J55</f>
        <v>76.238</v>
      </c>
      <c r="I69" s="657">
        <f>+BS!K55</f>
        <v>74.165000000000006</v>
      </c>
      <c r="J69" s="657">
        <f>+BS!L55</f>
        <v>144.245</v>
      </c>
      <c r="K69" s="657">
        <f>+BS!M55</f>
        <v>366.173</v>
      </c>
      <c r="L69" s="657">
        <f>+BS!N55</f>
        <v>513.96600000000001</v>
      </c>
      <c r="M69" s="657">
        <f>+BS!O55</f>
        <v>303.94900000000001</v>
      </c>
      <c r="N69" s="657">
        <f>+BS!P55</f>
        <v>459.3</v>
      </c>
      <c r="O69" s="657">
        <f>+BS!Q55</f>
        <v>317.97000000000003</v>
      </c>
      <c r="P69" s="657">
        <f>+BS!R55</f>
        <v>273.53500000000003</v>
      </c>
      <c r="Q69" s="657">
        <f>+BS!S55</f>
        <v>168.76900000000001</v>
      </c>
      <c r="R69" s="657">
        <f>+BS!T55</f>
        <v>546.1850334200002</v>
      </c>
      <c r="S69" s="657">
        <f>+BS!U55</f>
        <v>585.82058636085469</v>
      </c>
      <c r="T69" s="657">
        <f>+BS!V55</f>
        <v>613.03970211709486</v>
      </c>
      <c r="U69" s="1026"/>
      <c r="V69" s="1026"/>
      <c r="W69" s="1026"/>
      <c r="X69" s="1026"/>
      <c r="Y69" s="1026"/>
    </row>
    <row r="70" spans="1:29">
      <c r="A70" s="1075" t="s">
        <v>259</v>
      </c>
      <c r="B70" s="1066"/>
      <c r="C70" s="1066"/>
      <c r="D70" s="657"/>
      <c r="E70" s="657"/>
      <c r="F70" s="657">
        <f>+[29]BS!B17</f>
        <v>2.1469999999999998</v>
      </c>
      <c r="G70" s="657">
        <f>+BS!I56</f>
        <v>1386.816</v>
      </c>
      <c r="H70" s="657">
        <f>+BS!J56</f>
        <v>2769.134</v>
      </c>
      <c r="I70" s="657">
        <f>+BS!K56</f>
        <v>0</v>
      </c>
      <c r="J70" s="657">
        <f>+BS!L56</f>
        <v>0</v>
      </c>
      <c r="K70" s="657">
        <f>+BS!M56</f>
        <v>0</v>
      </c>
      <c r="L70" s="657">
        <f>+BS!N56</f>
        <v>7785.9679999999998</v>
      </c>
      <c r="M70" s="657">
        <f>+BS!O56</f>
        <v>10740.972</v>
      </c>
      <c r="N70" s="657">
        <f>+BS!P56</f>
        <v>12126.349</v>
      </c>
      <c r="O70" s="657">
        <f>+BS!Q56</f>
        <v>11126.050999999999</v>
      </c>
      <c r="P70" s="657">
        <f>+BS!R56</f>
        <v>17862.718000000001</v>
      </c>
      <c r="Q70" s="657">
        <f>+BS!S56</f>
        <v>24405.152999999998</v>
      </c>
      <c r="R70" s="657">
        <f>+BS!T56</f>
        <v>24405.152999999998</v>
      </c>
      <c r="S70" s="657">
        <f>+BS!U56</f>
        <v>24405.152999999998</v>
      </c>
      <c r="T70" s="657">
        <f>+BS!V56</f>
        <v>24405.152999999998</v>
      </c>
      <c r="U70" s="1026"/>
      <c r="V70" s="1026"/>
      <c r="W70" s="1026"/>
      <c r="X70" s="1026"/>
      <c r="Y70" s="1026"/>
    </row>
    <row r="71" spans="1:29" hidden="1">
      <c r="A71" s="1075" t="s">
        <v>260</v>
      </c>
      <c r="B71" s="1066"/>
      <c r="C71" s="1066"/>
      <c r="D71" s="657"/>
      <c r="E71" s="657"/>
      <c r="F71" s="657">
        <f>+[29]BS!B18</f>
        <v>0.95199999999999996</v>
      </c>
      <c r="G71" s="657">
        <f>+BS!I57</f>
        <v>120.32899999999999</v>
      </c>
      <c r="H71" s="657">
        <f>+BS!J57</f>
        <v>121.486</v>
      </c>
      <c r="I71" s="657">
        <f>+BS!K57</f>
        <v>152.465</v>
      </c>
      <c r="J71" s="657">
        <f>+BS!L57</f>
        <v>229.315</v>
      </c>
      <c r="K71" s="657">
        <f>+BS!M57</f>
        <v>782.35799999999995</v>
      </c>
      <c r="L71" s="657">
        <f>+BS!N57</f>
        <v>908.1</v>
      </c>
      <c r="M71" s="657">
        <f>+BS!O57</f>
        <v>1087.1610000000001</v>
      </c>
      <c r="N71" s="657">
        <f>+BS!P57</f>
        <v>1136.5640000000001</v>
      </c>
      <c r="O71" s="657">
        <f>+BS!Q57</f>
        <v>1476.008</v>
      </c>
      <c r="P71" s="657">
        <f>+BS!R57</f>
        <v>1610.136</v>
      </c>
      <c r="Q71" s="657">
        <f>+BS!S57</f>
        <v>1148.1410000000001</v>
      </c>
      <c r="R71" s="657">
        <f>+BS!T57</f>
        <v>1148.1410000000001</v>
      </c>
      <c r="S71" s="657">
        <f>+BS!U57</f>
        <v>1148.1410000000001</v>
      </c>
      <c r="T71" s="657">
        <f>+BS!V57</f>
        <v>1148.1410000000001</v>
      </c>
      <c r="U71" s="1026"/>
      <c r="V71" s="1026"/>
      <c r="W71" s="1026"/>
      <c r="X71" s="1026"/>
      <c r="Y71" s="1026"/>
    </row>
    <row r="72" spans="1:29">
      <c r="A72" s="1079" t="s">
        <v>496</v>
      </c>
      <c r="B72" s="1066"/>
      <c r="C72" s="1066"/>
      <c r="D72" s="657"/>
      <c r="E72" s="657"/>
      <c r="F72" s="657">
        <f>+[29]BS!B20</f>
        <v>2.2950000000000088</v>
      </c>
      <c r="G72" s="657">
        <f>+BS!I58</f>
        <v>83.991</v>
      </c>
      <c r="H72" s="657">
        <f>+BS!J58</f>
        <v>93.835999999999999</v>
      </c>
      <c r="I72" s="657">
        <f>+BS!K58</f>
        <v>77.167000000000002</v>
      </c>
      <c r="J72" s="657">
        <f>+BS!L58</f>
        <v>116.173</v>
      </c>
      <c r="K72" s="657">
        <f>+BS!M58</f>
        <v>226.37200000000001</v>
      </c>
      <c r="L72" s="657">
        <f>+BS!N58</f>
        <v>243.84200000000001</v>
      </c>
      <c r="M72" s="657">
        <f>+BS!O58</f>
        <v>230.792</v>
      </c>
      <c r="N72" s="657">
        <f>+BS!P58</f>
        <v>197.821</v>
      </c>
      <c r="O72" s="657">
        <f>+BS!Q58</f>
        <v>428.44099999999997</v>
      </c>
      <c r="P72" s="657">
        <f>+BS!R58</f>
        <v>468.88099999999997</v>
      </c>
      <c r="Q72" s="657">
        <f>+BS!S58</f>
        <v>1309.0260000000001</v>
      </c>
      <c r="R72" s="657">
        <f>+BS!T58</f>
        <v>6752.7615041568224</v>
      </c>
      <c r="S72" s="657">
        <f>+BS!U58</f>
        <v>12394.270659311225</v>
      </c>
      <c r="T72" s="657">
        <f>+BS!V58</f>
        <v>17995.19463346104</v>
      </c>
      <c r="U72" s="1026"/>
      <c r="V72" s="1026"/>
      <c r="W72" s="1026"/>
      <c r="X72" s="1026"/>
      <c r="Y72" s="1026"/>
      <c r="Z72" s="1016"/>
    </row>
    <row r="73" spans="1:29">
      <c r="A73" s="1066" t="s">
        <v>497</v>
      </c>
      <c r="B73" s="1066"/>
      <c r="C73" s="1066"/>
      <c r="D73" s="1067"/>
      <c r="E73" s="1067"/>
      <c r="F73" s="657">
        <f>SUM(F67:F72)</f>
        <v>78.428000000000026</v>
      </c>
      <c r="G73" s="657">
        <f>SUM(G67:G72)</f>
        <v>2881.1430000000005</v>
      </c>
      <c r="H73" s="657">
        <f>SUM(H67:H72)</f>
        <v>4196.7690000000002</v>
      </c>
      <c r="I73" s="657">
        <f>SUM(I67:I72)</f>
        <v>1366.1319999999998</v>
      </c>
      <c r="J73" s="657">
        <f>SUM(J67:J72)</f>
        <v>2281.1639999999998</v>
      </c>
      <c r="K73" s="657">
        <f>SUM(K67:K72)+BS!M3</f>
        <v>6539.5712600000024</v>
      </c>
      <c r="L73" s="657">
        <f>SUM(L67:L72)+BS!N3</f>
        <v>13287.593149399994</v>
      </c>
      <c r="M73" s="657">
        <f>SUM(M67:M72)+BS!O3</f>
        <v>15827.449970400008</v>
      </c>
      <c r="N73" s="657">
        <f>SUM(N67:N72)+BS!P3</f>
        <v>18325.208999999999</v>
      </c>
      <c r="O73" s="657">
        <f>SUM(O67:O72)+BS!Q3</f>
        <v>18440.377999999997</v>
      </c>
      <c r="P73" s="657">
        <f>SUM(P67:P72)+BS!R3</f>
        <v>25789.989000000001</v>
      </c>
      <c r="Q73" s="657">
        <f>SUM(Q67:Q72)+BS!S3</f>
        <v>32068.626</v>
      </c>
      <c r="R73" s="657">
        <f>SUM(R67:R72)+BS!T3</f>
        <v>38541.521336364116</v>
      </c>
      <c r="S73" s="657">
        <f>SUM(S67:S72)+BS!U3</f>
        <v>44624.643985342205</v>
      </c>
      <c r="T73" s="657">
        <f>SUM(T67:T72)+BS!V3</f>
        <v>50553.771021949899</v>
      </c>
      <c r="U73" s="1026"/>
      <c r="V73" s="1026"/>
      <c r="W73" s="1026"/>
      <c r="X73" s="1026"/>
      <c r="Y73" s="1026"/>
      <c r="Z73" s="1016"/>
    </row>
    <row r="74" spans="1:29" s="1039" customFormat="1" ht="11.25" customHeight="1" thickBot="1">
      <c r="A74" s="1168" t="s">
        <v>498</v>
      </c>
      <c r="B74" s="1168"/>
      <c r="C74" s="1168"/>
      <c r="D74" s="1169"/>
      <c r="E74" s="1169"/>
      <c r="F74" s="1169">
        <f t="shared" ref="F74:O74" si="25">+F73+F65+F64+F63+F62</f>
        <v>78.428000000000026</v>
      </c>
      <c r="G74" s="1169">
        <f t="shared" si="25"/>
        <v>11714.619000000001</v>
      </c>
      <c r="H74" s="1169">
        <f t="shared" si="25"/>
        <v>18016.505000000001</v>
      </c>
      <c r="I74" s="1169">
        <f t="shared" si="25"/>
        <v>21375.076999999997</v>
      </c>
      <c r="J74" s="1169">
        <f t="shared" si="25"/>
        <v>26636.066999999999</v>
      </c>
      <c r="K74" s="1169">
        <f t="shared" si="25"/>
        <v>32533.963260000004</v>
      </c>
      <c r="L74" s="1169">
        <f t="shared" si="25"/>
        <v>42723.042149399989</v>
      </c>
      <c r="M74" s="1169">
        <f t="shared" si="25"/>
        <v>46456.000970400011</v>
      </c>
      <c r="N74" s="1169">
        <f t="shared" si="25"/>
        <v>49703.228999999992</v>
      </c>
      <c r="O74" s="1169">
        <f t="shared" si="25"/>
        <v>50685.2</v>
      </c>
      <c r="P74" s="1169">
        <f>+P73+P65+P64+P63+P62</f>
        <v>63526.718999999997</v>
      </c>
      <c r="Q74" s="1169">
        <f>+Q73+Q65+Q64+Q63+Q62</f>
        <v>73282.068999999989</v>
      </c>
      <c r="R74" s="1169">
        <f>+R73+R65+R64+R63+R62</f>
        <v>78896.484736302198</v>
      </c>
      <c r="S74" s="1169">
        <f>+S73+S65+S64+S63+S62</f>
        <v>84103.953761955723</v>
      </c>
      <c r="T74" s="1169">
        <f>+T73+T65+T64+T63+T62</f>
        <v>89139.909582862849</v>
      </c>
      <c r="U74" s="1038"/>
      <c r="V74" s="1038"/>
      <c r="W74" s="1038"/>
      <c r="X74" s="1038"/>
      <c r="Y74" s="1038"/>
      <c r="Z74" s="1016"/>
    </row>
    <row r="75" spans="1:29" s="1039" customFormat="1" hidden="1">
      <c r="A75" s="1051"/>
      <c r="B75" s="1051"/>
      <c r="C75" s="1051"/>
      <c r="D75" s="1052"/>
      <c r="E75" s="1052"/>
      <c r="F75" s="1053"/>
      <c r="G75" s="1052"/>
      <c r="H75" s="1052"/>
      <c r="I75" s="1052"/>
      <c r="J75" s="1052"/>
      <c r="K75" s="1052"/>
      <c r="L75" s="1052"/>
      <c r="M75" s="1052"/>
      <c r="N75" s="1052"/>
      <c r="O75" s="1052"/>
      <c r="P75" s="1052"/>
      <c r="Q75" s="1052"/>
      <c r="R75" s="1052"/>
      <c r="S75" s="1052"/>
      <c r="T75" s="1052"/>
      <c r="U75" s="1052"/>
      <c r="V75" s="1052"/>
      <c r="W75" s="1052"/>
      <c r="X75" s="1052"/>
      <c r="Y75" s="1052"/>
      <c r="Z75" s="1016"/>
    </row>
    <row r="76" spans="1:29" s="1039" customFormat="1" hidden="1">
      <c r="A76" s="1051"/>
      <c r="B76" s="1051"/>
      <c r="C76" s="1051"/>
      <c r="D76" s="1052"/>
      <c r="E76" s="1052"/>
      <c r="F76" s="1053"/>
      <c r="G76" s="1052"/>
      <c r="H76" s="1052"/>
      <c r="I76" s="1052"/>
      <c r="J76" s="1052"/>
      <c r="K76" s="1052"/>
      <c r="L76" s="1052"/>
      <c r="M76" s="1052"/>
      <c r="N76" s="1052"/>
      <c r="O76" s="1052"/>
      <c r="P76" s="1052"/>
      <c r="Q76" s="1052"/>
      <c r="R76" s="1052"/>
      <c r="S76" s="1052"/>
      <c r="T76" s="1052"/>
      <c r="U76" s="1052"/>
      <c r="V76" s="1052"/>
      <c r="W76" s="1052"/>
      <c r="X76" s="1052"/>
      <c r="Y76" s="1052"/>
      <c r="Z76" s="1016"/>
    </row>
    <row r="77" spans="1:29" ht="12" thickBot="1">
      <c r="A77" s="654" t="s">
        <v>936</v>
      </c>
      <c r="B77" s="1019" t="s">
        <v>148</v>
      </c>
      <c r="C77" s="1019" t="s">
        <v>149</v>
      </c>
      <c r="D77" s="1019" t="s">
        <v>150</v>
      </c>
      <c r="E77" s="1019" t="s">
        <v>151</v>
      </c>
      <c r="F77" s="1020" t="s">
        <v>152</v>
      </c>
      <c r="G77" s="1019" t="s">
        <v>191</v>
      </c>
      <c r="H77" s="1019" t="s">
        <v>154</v>
      </c>
      <c r="I77" s="1019" t="s">
        <v>155</v>
      </c>
      <c r="J77" s="655"/>
      <c r="K77" s="655"/>
      <c r="L77" s="655"/>
      <c r="M77" s="655"/>
      <c r="N77" s="655"/>
      <c r="O77" s="655"/>
      <c r="P77" s="655"/>
      <c r="Q77" s="655"/>
      <c r="R77" s="655"/>
      <c r="S77" s="655"/>
      <c r="T77" s="655"/>
      <c r="U77" s="1018"/>
      <c r="V77" s="1018"/>
      <c r="W77" s="1018"/>
      <c r="X77" s="1018"/>
      <c r="Y77" s="1018"/>
    </row>
    <row r="78" spans="1:29">
      <c r="A78" s="660" t="s">
        <v>612</v>
      </c>
      <c r="B78" s="1159" t="s">
        <v>148</v>
      </c>
      <c r="C78" s="1159" t="s">
        <v>149</v>
      </c>
      <c r="D78" s="1159" t="s">
        <v>150</v>
      </c>
      <c r="E78" s="1159" t="s">
        <v>151</v>
      </c>
      <c r="F78" s="1160" t="s">
        <v>152</v>
      </c>
      <c r="G78" s="1159" t="s">
        <v>191</v>
      </c>
      <c r="H78" s="1159" t="s">
        <v>154</v>
      </c>
      <c r="I78" s="1159" t="s">
        <v>155</v>
      </c>
      <c r="J78" s="661" t="s">
        <v>156</v>
      </c>
      <c r="K78" s="661" t="s">
        <v>157</v>
      </c>
      <c r="L78" s="661" t="s">
        <v>158</v>
      </c>
      <c r="M78" s="661" t="s">
        <v>159</v>
      </c>
      <c r="N78" s="661" t="s">
        <v>538</v>
      </c>
      <c r="O78" s="661" t="s">
        <v>539</v>
      </c>
      <c r="P78" s="661" t="s">
        <v>849</v>
      </c>
      <c r="Q78" s="661" t="s">
        <v>580</v>
      </c>
      <c r="R78" s="661" t="s">
        <v>585</v>
      </c>
      <c r="S78" s="661" t="s">
        <v>894</v>
      </c>
      <c r="T78" s="661" t="s">
        <v>895</v>
      </c>
      <c r="U78" s="1019"/>
      <c r="V78" s="1019"/>
      <c r="W78" s="1019"/>
      <c r="X78" s="1019"/>
      <c r="Y78" s="1019"/>
      <c r="AB78" s="1021"/>
      <c r="AC78" s="1022"/>
    </row>
    <row r="79" spans="1:29" hidden="1">
      <c r="A79" s="1054" t="s">
        <v>499</v>
      </c>
      <c r="B79" s="1054"/>
      <c r="C79" s="1054"/>
      <c r="D79" s="1055"/>
      <c r="E79" s="1055"/>
      <c r="F79" s="1056"/>
      <c r="G79" s="1055"/>
      <c r="H79" s="1057"/>
      <c r="I79" s="1057"/>
      <c r="J79" s="1057"/>
      <c r="K79" s="1057"/>
      <c r="L79" s="1057"/>
      <c r="M79" s="1057"/>
      <c r="N79" s="1057"/>
      <c r="O79" s="1057"/>
      <c r="P79" s="1057"/>
      <c r="Q79" s="1057"/>
      <c r="R79" s="1057"/>
      <c r="S79" s="1057"/>
      <c r="T79" s="1057"/>
      <c r="U79" s="1057"/>
      <c r="V79" s="1057"/>
      <c r="W79" s="1057"/>
      <c r="X79" s="1057"/>
      <c r="Y79" s="1057"/>
    </row>
    <row r="80" spans="1:29" hidden="1">
      <c r="A80" s="1055" t="s">
        <v>20</v>
      </c>
      <c r="B80" s="1055"/>
      <c r="C80" s="1055"/>
      <c r="D80" s="1056"/>
      <c r="E80" s="1056"/>
      <c r="F80" s="1056">
        <f>+F18</f>
        <v>294.93299999999999</v>
      </c>
      <c r="G80" s="1056">
        <f>+G18</f>
        <v>0</v>
      </c>
      <c r="H80" s="1056">
        <v>0</v>
      </c>
      <c r="I80" s="1056">
        <v>0</v>
      </c>
      <c r="J80" s="1056">
        <v>0</v>
      </c>
      <c r="K80" s="1056">
        <v>0</v>
      </c>
      <c r="L80" s="1056">
        <v>0</v>
      </c>
      <c r="M80" s="1056">
        <v>0</v>
      </c>
      <c r="N80" s="1056">
        <v>0</v>
      </c>
      <c r="O80" s="1056">
        <v>0</v>
      </c>
      <c r="P80" s="1056">
        <v>0</v>
      </c>
      <c r="Q80" s="1056">
        <v>0</v>
      </c>
      <c r="R80" s="1056"/>
      <c r="S80" s="1056"/>
      <c r="T80" s="1056"/>
      <c r="U80" s="1056"/>
      <c r="V80" s="1056"/>
      <c r="W80" s="1056"/>
      <c r="X80" s="1056"/>
      <c r="Y80" s="1056"/>
    </row>
    <row r="81" spans="1:25" hidden="1">
      <c r="A81" s="1058" t="s">
        <v>500</v>
      </c>
      <c r="B81" s="1058"/>
      <c r="C81" s="1055"/>
      <c r="D81" s="1056"/>
      <c r="E81" s="1056"/>
      <c r="F81" s="1056"/>
      <c r="G81" s="1056"/>
      <c r="H81" s="1056">
        <v>0</v>
      </c>
      <c r="I81" s="1056">
        <v>0</v>
      </c>
      <c r="J81" s="1056">
        <v>0</v>
      </c>
      <c r="K81" s="1056">
        <v>0</v>
      </c>
      <c r="L81" s="1056">
        <v>0</v>
      </c>
      <c r="M81" s="1056">
        <v>0</v>
      </c>
      <c r="N81" s="1056">
        <v>0</v>
      </c>
      <c r="O81" s="1056">
        <v>0</v>
      </c>
      <c r="P81" s="1056">
        <v>0</v>
      </c>
      <c r="Q81" s="1056">
        <v>0</v>
      </c>
      <c r="R81" s="1056"/>
      <c r="S81" s="1056"/>
      <c r="T81" s="1056"/>
      <c r="U81" s="1056"/>
      <c r="V81" s="1056"/>
      <c r="W81" s="1056"/>
      <c r="X81" s="1056"/>
      <c r="Y81" s="1056"/>
    </row>
    <row r="82" spans="1:25" hidden="1">
      <c r="A82" s="1059" t="s">
        <v>485</v>
      </c>
      <c r="B82" s="1059"/>
      <c r="C82" s="1060"/>
      <c r="D82" s="1056"/>
      <c r="E82" s="1056"/>
      <c r="F82" s="1056">
        <f>+[29]CF!B8+[29]CF!B9</f>
        <v>48.125</v>
      </c>
      <c r="G82" s="1056">
        <f>+[29]CF!C8+[29]CF!C9</f>
        <v>67.012</v>
      </c>
      <c r="H82" s="1056">
        <v>0</v>
      </c>
      <c r="I82" s="1056">
        <v>0</v>
      </c>
      <c r="J82" s="1056">
        <v>0</v>
      </c>
      <c r="K82" s="1056">
        <v>0</v>
      </c>
      <c r="L82" s="1056">
        <v>0</v>
      </c>
      <c r="M82" s="1056">
        <v>0</v>
      </c>
      <c r="N82" s="1056">
        <v>0</v>
      </c>
      <c r="O82" s="1056">
        <v>0</v>
      </c>
      <c r="P82" s="1056">
        <v>0</v>
      </c>
      <c r="Q82" s="1056">
        <v>0</v>
      </c>
      <c r="R82" s="1056"/>
      <c r="S82" s="1056"/>
      <c r="T82" s="1056"/>
      <c r="U82" s="1056"/>
      <c r="V82" s="1056"/>
      <c r="W82" s="1056"/>
      <c r="X82" s="1056"/>
      <c r="Y82" s="1056"/>
    </row>
    <row r="83" spans="1:25" hidden="1">
      <c r="A83" s="1059" t="s">
        <v>501</v>
      </c>
      <c r="B83" s="1059"/>
      <c r="C83" s="1060"/>
      <c r="D83" s="1056"/>
      <c r="E83" s="1056"/>
      <c r="F83" s="1056" t="e">
        <f>+[29]CF!B10+[29]CF!B11+[29]CF!B12+[29]CF!B13+[29]CF!B14+[29]CF!B15+[29]CF!B16+[29]CF!B17+[29]CF!B18+[29]CF!B19</f>
        <v>#REF!</v>
      </c>
      <c r="G83" s="1056">
        <f>+[29]CF!C10+[29]CF!C11+[29]CF!C12+[29]CF!C13+[29]CF!C14+[29]CF!C15+[29]CF!C16+[29]CF!C17+[29]CF!C18+[29]CF!C19</f>
        <v>-11.665999999999997</v>
      </c>
      <c r="H83" s="1056">
        <v>0</v>
      </c>
      <c r="I83" s="1056">
        <v>0</v>
      </c>
      <c r="J83" s="1056">
        <v>0</v>
      </c>
      <c r="K83" s="1056">
        <v>0</v>
      </c>
      <c r="L83" s="1056">
        <v>0</v>
      </c>
      <c r="M83" s="1056">
        <v>0</v>
      </c>
      <c r="N83" s="1056">
        <v>0</v>
      </c>
      <c r="O83" s="1056">
        <v>0</v>
      </c>
      <c r="P83" s="1056">
        <v>0</v>
      </c>
      <c r="Q83" s="1056">
        <v>0</v>
      </c>
      <c r="R83" s="1056"/>
      <c r="S83" s="1056"/>
      <c r="T83" s="1056"/>
      <c r="U83" s="1056"/>
      <c r="V83" s="1056"/>
      <c r="W83" s="1056"/>
      <c r="X83" s="1056"/>
      <c r="Y83" s="1056"/>
    </row>
    <row r="84" spans="1:25" hidden="1">
      <c r="A84" s="1059" t="s">
        <v>122</v>
      </c>
      <c r="B84" s="1059"/>
      <c r="C84" s="1060"/>
      <c r="D84" s="1056"/>
      <c r="E84" s="1056"/>
      <c r="F84" s="1056">
        <f>+[29]CF!B32</f>
        <v>15.329999999999998</v>
      </c>
      <c r="G84" s="1056">
        <f>+[29]CF!C32</f>
        <v>-257.69099999999997</v>
      </c>
      <c r="H84" s="1056">
        <v>0</v>
      </c>
      <c r="I84" s="1056">
        <v>0</v>
      </c>
      <c r="J84" s="1056">
        <v>0</v>
      </c>
      <c r="K84" s="1056">
        <v>0</v>
      </c>
      <c r="L84" s="1056">
        <v>0</v>
      </c>
      <c r="M84" s="1056">
        <v>0</v>
      </c>
      <c r="N84" s="1056">
        <v>0</v>
      </c>
      <c r="O84" s="1056">
        <v>0</v>
      </c>
      <c r="P84" s="1056">
        <v>0</v>
      </c>
      <c r="Q84" s="1056">
        <v>0</v>
      </c>
      <c r="R84" s="1056"/>
      <c r="S84" s="1056"/>
      <c r="T84" s="1056"/>
      <c r="U84" s="1056"/>
      <c r="V84" s="1056"/>
      <c r="W84" s="1056"/>
      <c r="X84" s="1056"/>
      <c r="Y84" s="1056"/>
    </row>
    <row r="85" spans="1:25" hidden="1">
      <c r="A85" s="1061" t="s">
        <v>502</v>
      </c>
      <c r="B85" s="1061"/>
      <c r="C85" s="1061"/>
      <c r="D85" s="1062"/>
      <c r="E85" s="1062"/>
      <c r="F85" s="1056">
        <f>+[29]CF!B38</f>
        <v>0.60699999999999998</v>
      </c>
      <c r="G85" s="1056">
        <f>+[29]CF!C38</f>
        <v>-82.78</v>
      </c>
      <c r="H85" s="1056">
        <v>0</v>
      </c>
      <c r="I85" s="1056">
        <v>0</v>
      </c>
      <c r="J85" s="1056">
        <v>0</v>
      </c>
      <c r="K85" s="1056">
        <v>0</v>
      </c>
      <c r="L85" s="1056">
        <v>0</v>
      </c>
      <c r="M85" s="1056">
        <v>0</v>
      </c>
      <c r="N85" s="1056">
        <v>0</v>
      </c>
      <c r="O85" s="1056">
        <v>0</v>
      </c>
      <c r="P85" s="1056">
        <v>0</v>
      </c>
      <c r="Q85" s="1056">
        <v>0</v>
      </c>
      <c r="R85" s="1056"/>
      <c r="S85" s="1056"/>
      <c r="T85" s="1056"/>
      <c r="U85" s="1056"/>
      <c r="V85" s="1056"/>
      <c r="W85" s="1056"/>
      <c r="X85" s="1056"/>
      <c r="Y85" s="1056"/>
    </row>
    <row r="86" spans="1:25">
      <c r="A86" s="1066" t="s">
        <v>127</v>
      </c>
      <c r="B86" s="1066"/>
      <c r="C86" s="1066"/>
      <c r="D86" s="1081"/>
      <c r="E86" s="1081"/>
      <c r="F86" s="657" t="e">
        <f>SUM(F80:F85)</f>
        <v>#REF!</v>
      </c>
      <c r="G86" s="657">
        <f>SUM(G80:G85)</f>
        <v>-285.125</v>
      </c>
      <c r="H86" s="657">
        <f>+CFS!J23</f>
        <v>2484.7590000000009</v>
      </c>
      <c r="I86" s="657">
        <f>+CFS!K23</f>
        <v>4195.5470000000005</v>
      </c>
      <c r="J86" s="657">
        <f>+CFS!L23</f>
        <v>475.66100000000051</v>
      </c>
      <c r="K86" s="657">
        <f>+CFS!M23</f>
        <v>-609.92800000000068</v>
      </c>
      <c r="L86" s="657">
        <f>+CFS!N23</f>
        <v>1148.0875905999987</v>
      </c>
      <c r="M86" s="657">
        <f>+CFS!O23</f>
        <v>1126.8921790000022</v>
      </c>
      <c r="N86" s="657">
        <f>+CFS!P23</f>
        <v>370.31500000000085</v>
      </c>
      <c r="O86" s="657">
        <f>+CFS!Q23</f>
        <v>4011.6339999999991</v>
      </c>
      <c r="P86" s="657">
        <f>+CFS!R23</f>
        <v>6519.9819999999991</v>
      </c>
      <c r="Q86" s="657">
        <f>+CFS!S23</f>
        <v>9203.0609999999979</v>
      </c>
      <c r="R86" s="657">
        <f>+CFS!T23</f>
        <v>6153.2244799264563</v>
      </c>
      <c r="S86" s="657">
        <f>+CFS!U23</f>
        <v>7272.1527234712576</v>
      </c>
      <c r="T86" s="657">
        <f>+CFS!V23</f>
        <v>7502.7947943873623</v>
      </c>
      <c r="U86" s="1024"/>
      <c r="V86" s="1024"/>
      <c r="W86" s="1024"/>
      <c r="X86" s="1024"/>
      <c r="Y86" s="1024"/>
    </row>
    <row r="87" spans="1:25" hidden="1">
      <c r="A87" s="1080" t="s">
        <v>503</v>
      </c>
      <c r="B87" s="1080"/>
      <c r="C87" s="1080"/>
      <c r="D87" s="656"/>
      <c r="E87" s="656"/>
      <c r="F87" s="657">
        <f>+[29]CF!B42</f>
        <v>-9.5000000000000001E-2</v>
      </c>
      <c r="G87" s="657">
        <f>+[29]CF!C42</f>
        <v>-7.0730000000000004</v>
      </c>
      <c r="H87" s="657">
        <v>0</v>
      </c>
      <c r="I87" s="657">
        <v>0</v>
      </c>
      <c r="J87" s="657">
        <v>0</v>
      </c>
      <c r="K87" s="657">
        <v>0</v>
      </c>
      <c r="L87" s="657">
        <v>0</v>
      </c>
      <c r="M87" s="657">
        <v>0</v>
      </c>
      <c r="N87" s="657">
        <v>0</v>
      </c>
      <c r="O87" s="657">
        <v>0</v>
      </c>
      <c r="P87" s="657">
        <v>0</v>
      </c>
      <c r="Q87" s="657">
        <v>0</v>
      </c>
      <c r="R87" s="657">
        <v>0</v>
      </c>
      <c r="S87" s="657">
        <v>0</v>
      </c>
      <c r="T87" s="657">
        <v>0</v>
      </c>
      <c r="U87" s="1026"/>
      <c r="V87" s="1026"/>
      <c r="W87" s="1026"/>
      <c r="X87" s="1026"/>
      <c r="Y87" s="1026"/>
    </row>
    <row r="88" spans="1:25" hidden="1">
      <c r="A88" s="1080" t="s">
        <v>504</v>
      </c>
      <c r="B88" s="1080"/>
      <c r="C88" s="1080"/>
      <c r="D88" s="1081"/>
      <c r="E88" s="1081"/>
      <c r="F88" s="657">
        <f>+[29]CF!B43+[29]CF!B44</f>
        <v>0</v>
      </c>
      <c r="G88" s="1082">
        <f>+[29]CF!C43+[29]CF!C44</f>
        <v>0.186</v>
      </c>
      <c r="H88" s="1082">
        <v>0</v>
      </c>
      <c r="I88" s="657">
        <v>0</v>
      </c>
      <c r="J88" s="657">
        <v>0</v>
      </c>
      <c r="K88" s="657">
        <v>0</v>
      </c>
      <c r="L88" s="657">
        <v>0</v>
      </c>
      <c r="M88" s="657">
        <v>0</v>
      </c>
      <c r="N88" s="657">
        <v>0</v>
      </c>
      <c r="O88" s="657">
        <v>0</v>
      </c>
      <c r="P88" s="657">
        <v>0</v>
      </c>
      <c r="Q88" s="657">
        <v>0</v>
      </c>
      <c r="R88" s="657">
        <v>0</v>
      </c>
      <c r="S88" s="657">
        <v>0</v>
      </c>
      <c r="T88" s="657">
        <v>0</v>
      </c>
      <c r="U88" s="1026"/>
      <c r="V88" s="1026"/>
      <c r="W88" s="1026"/>
      <c r="X88" s="1026"/>
      <c r="Y88" s="1026"/>
    </row>
    <row r="89" spans="1:25">
      <c r="A89" s="1079" t="s">
        <v>131</v>
      </c>
      <c r="B89" s="1079"/>
      <c r="C89" s="1079"/>
      <c r="D89" s="1081"/>
      <c r="E89" s="1081"/>
      <c r="F89" s="657">
        <f>SUM(F87:F88)</f>
        <v>-9.5000000000000001E-2</v>
      </c>
      <c r="G89" s="657">
        <f>SUM(G87:G88)</f>
        <v>-6.8870000000000005</v>
      </c>
      <c r="H89" s="657">
        <f>+CFS!J27</f>
        <v>-3984.2200000000003</v>
      </c>
      <c r="I89" s="657">
        <f>+CFS!K27</f>
        <v>-8944.7109999999993</v>
      </c>
      <c r="J89" s="657">
        <f>+CFS!L27</f>
        <v>-4789.1689999999999</v>
      </c>
      <c r="K89" s="657">
        <f>+CFS!M27</f>
        <v>-3177.8539999999998</v>
      </c>
      <c r="L89" s="657">
        <f>+CFS!N27</f>
        <v>-1632.1210000000001</v>
      </c>
      <c r="M89" s="657">
        <f>+CFS!O27</f>
        <v>-1291.3570000000009</v>
      </c>
      <c r="N89" s="657">
        <f>+CFS!P27</f>
        <v>-1567.3340000000001</v>
      </c>
      <c r="O89" s="657">
        <f>+CFS!Q27</f>
        <v>-2655.5390000000002</v>
      </c>
      <c r="P89" s="657">
        <f>+CFS!R27</f>
        <v>-3046.8190000000004</v>
      </c>
      <c r="Q89" s="657">
        <f>+CFS!S27</f>
        <v>-2888.9599999999946</v>
      </c>
      <c r="R89" s="657">
        <f>+CFS!T27</f>
        <v>-891.46069572344231</v>
      </c>
      <c r="S89" s="657">
        <f>+CFS!U27</f>
        <v>-909.29451113966888</v>
      </c>
      <c r="T89" s="657">
        <f>+CFS!V27</f>
        <v>-927.48509491800496</v>
      </c>
      <c r="U89" s="1024"/>
      <c r="V89" s="1024"/>
      <c r="W89" s="1024"/>
      <c r="X89" s="1024"/>
      <c r="Y89" s="1024"/>
    </row>
    <row r="90" spans="1:25" hidden="1">
      <c r="A90" s="1080" t="s">
        <v>505</v>
      </c>
      <c r="B90" s="1080"/>
      <c r="C90" s="1066"/>
      <c r="D90" s="1066"/>
      <c r="E90" s="1066"/>
      <c r="F90" s="657">
        <f>+[29]CF!B48</f>
        <v>-3.6059999999999999</v>
      </c>
      <c r="G90" s="657">
        <f>+[29]CF!C48</f>
        <v>-142.67499999999998</v>
      </c>
      <c r="H90" s="657">
        <v>0</v>
      </c>
      <c r="I90" s="657">
        <v>0</v>
      </c>
      <c r="J90" s="657">
        <v>0</v>
      </c>
      <c r="K90" s="657">
        <v>0</v>
      </c>
      <c r="L90" s="657">
        <v>0</v>
      </c>
      <c r="M90" s="657">
        <v>0</v>
      </c>
      <c r="N90" s="657">
        <v>0</v>
      </c>
      <c r="O90" s="657">
        <v>0</v>
      </c>
      <c r="P90" s="657">
        <v>0</v>
      </c>
      <c r="Q90" s="657">
        <v>0</v>
      </c>
      <c r="R90" s="657">
        <v>0</v>
      </c>
      <c r="S90" s="657">
        <v>0</v>
      </c>
      <c r="T90" s="657">
        <v>0</v>
      </c>
      <c r="U90" s="1026"/>
      <c r="V90" s="1026"/>
      <c r="W90" s="1026"/>
      <c r="X90" s="1026"/>
      <c r="Y90" s="1026"/>
    </row>
    <row r="91" spans="1:25" hidden="1">
      <c r="A91" s="1080" t="s">
        <v>506</v>
      </c>
      <c r="B91" s="1080"/>
      <c r="C91" s="1066"/>
      <c r="D91" s="1066"/>
      <c r="E91" s="1066"/>
      <c r="F91" s="657">
        <f>+[29]CF!B49</f>
        <v>0</v>
      </c>
      <c r="G91" s="657">
        <f>+[29]CF!C49</f>
        <v>0</v>
      </c>
      <c r="H91" s="657">
        <v>0</v>
      </c>
      <c r="I91" s="657">
        <v>0</v>
      </c>
      <c r="J91" s="657">
        <v>0</v>
      </c>
      <c r="K91" s="657">
        <v>0</v>
      </c>
      <c r="L91" s="657">
        <v>0</v>
      </c>
      <c r="M91" s="657">
        <v>0</v>
      </c>
      <c r="N91" s="657">
        <v>0</v>
      </c>
      <c r="O91" s="657">
        <v>0</v>
      </c>
      <c r="P91" s="657">
        <v>0</v>
      </c>
      <c r="Q91" s="657">
        <v>0</v>
      </c>
      <c r="R91" s="657">
        <v>0</v>
      </c>
      <c r="S91" s="657">
        <v>0</v>
      </c>
      <c r="T91" s="657">
        <v>0</v>
      </c>
      <c r="U91" s="1026"/>
      <c r="V91" s="1026"/>
      <c r="W91" s="1026"/>
      <c r="X91" s="1026"/>
      <c r="Y91" s="1026"/>
    </row>
    <row r="92" spans="1:25" hidden="1">
      <c r="A92" s="1080" t="s">
        <v>507</v>
      </c>
      <c r="B92" s="1080"/>
      <c r="C92" s="1066"/>
      <c r="D92" s="1066"/>
      <c r="E92" s="1066"/>
      <c r="F92" s="657">
        <f>+[29]CF!B50</f>
        <v>-26.018999999999998</v>
      </c>
      <c r="G92" s="657">
        <f>+[29]CF!C50</f>
        <v>-58.362000000000002</v>
      </c>
      <c r="H92" s="657">
        <v>0</v>
      </c>
      <c r="I92" s="657">
        <v>0</v>
      </c>
      <c r="J92" s="657">
        <v>0</v>
      </c>
      <c r="K92" s="657">
        <v>0</v>
      </c>
      <c r="L92" s="657">
        <v>0</v>
      </c>
      <c r="M92" s="657">
        <v>0</v>
      </c>
      <c r="N92" s="657">
        <v>0</v>
      </c>
      <c r="O92" s="657">
        <v>0</v>
      </c>
      <c r="P92" s="657">
        <v>0</v>
      </c>
      <c r="Q92" s="657">
        <v>0</v>
      </c>
      <c r="R92" s="657">
        <v>0</v>
      </c>
      <c r="S92" s="657">
        <v>0</v>
      </c>
      <c r="T92" s="657">
        <v>0</v>
      </c>
      <c r="U92" s="1026"/>
      <c r="V92" s="1026"/>
      <c r="W92" s="1026"/>
      <c r="X92" s="1026"/>
      <c r="Y92" s="1026"/>
    </row>
    <row r="93" spans="1:25" hidden="1">
      <c r="A93" s="1080" t="s">
        <v>508</v>
      </c>
      <c r="B93" s="1080"/>
      <c r="C93" s="1066"/>
      <c r="D93" s="1066"/>
      <c r="E93" s="1066"/>
      <c r="F93" s="657">
        <f>+[29]CF!B51</f>
        <v>-2.2879999999999998</v>
      </c>
      <c r="G93" s="657">
        <f>+[29]CF!C51</f>
        <v>-49.384999999999998</v>
      </c>
      <c r="H93" s="657">
        <v>0</v>
      </c>
      <c r="I93" s="657">
        <v>0</v>
      </c>
      <c r="J93" s="657">
        <v>0</v>
      </c>
      <c r="K93" s="657">
        <v>0</v>
      </c>
      <c r="L93" s="657">
        <v>0</v>
      </c>
      <c r="M93" s="657">
        <v>0</v>
      </c>
      <c r="N93" s="657">
        <v>0</v>
      </c>
      <c r="O93" s="657">
        <v>0</v>
      </c>
      <c r="P93" s="657">
        <v>0</v>
      </c>
      <c r="Q93" s="657">
        <v>0</v>
      </c>
      <c r="R93" s="657">
        <v>0</v>
      </c>
      <c r="S93" s="657">
        <v>0</v>
      </c>
      <c r="T93" s="657">
        <v>0</v>
      </c>
      <c r="U93" s="1026"/>
      <c r="V93" s="1026"/>
      <c r="W93" s="1026"/>
      <c r="X93" s="1026"/>
      <c r="Y93" s="1026"/>
    </row>
    <row r="94" spans="1:25" hidden="1">
      <c r="A94" s="1080" t="s">
        <v>509</v>
      </c>
      <c r="B94" s="1080"/>
      <c r="C94" s="1066"/>
      <c r="D94" s="1066"/>
      <c r="E94" s="1066"/>
      <c r="F94" s="657">
        <f>+[29]CF!B52</f>
        <v>0</v>
      </c>
      <c r="G94" s="657">
        <f>+[29]CF!C52</f>
        <v>297.53800000000001</v>
      </c>
      <c r="H94" s="657">
        <v>0</v>
      </c>
      <c r="I94" s="657">
        <v>0</v>
      </c>
      <c r="J94" s="657">
        <v>0</v>
      </c>
      <c r="K94" s="657">
        <v>0</v>
      </c>
      <c r="L94" s="657">
        <v>0</v>
      </c>
      <c r="M94" s="657">
        <v>0</v>
      </c>
      <c r="N94" s="657">
        <v>0</v>
      </c>
      <c r="O94" s="657">
        <v>0</v>
      </c>
      <c r="P94" s="657">
        <v>0</v>
      </c>
      <c r="Q94" s="657">
        <v>0</v>
      </c>
      <c r="R94" s="657">
        <v>0</v>
      </c>
      <c r="S94" s="657">
        <v>0</v>
      </c>
      <c r="T94" s="657">
        <v>0</v>
      </c>
      <c r="U94" s="1026"/>
      <c r="V94" s="1026"/>
      <c r="W94" s="1026"/>
      <c r="X94" s="1026"/>
      <c r="Y94" s="1026"/>
    </row>
    <row r="95" spans="1:25" hidden="1">
      <c r="A95" s="1080" t="s">
        <v>510</v>
      </c>
      <c r="B95" s="1080"/>
      <c r="C95" s="1083"/>
      <c r="D95" s="1081"/>
      <c r="E95" s="1081"/>
      <c r="F95" s="657">
        <f>+[29]CF!B53</f>
        <v>2.3250000000000002</v>
      </c>
      <c r="G95" s="657">
        <f>+[29]CF!C53</f>
        <v>-33.658999999999992</v>
      </c>
      <c r="H95" s="657">
        <v>0</v>
      </c>
      <c r="I95" s="657">
        <v>0</v>
      </c>
      <c r="J95" s="657">
        <v>0</v>
      </c>
      <c r="K95" s="657">
        <v>0</v>
      </c>
      <c r="L95" s="657">
        <v>0</v>
      </c>
      <c r="M95" s="657">
        <v>0</v>
      </c>
      <c r="N95" s="657">
        <v>0</v>
      </c>
      <c r="O95" s="657">
        <v>0</v>
      </c>
      <c r="P95" s="657">
        <v>0</v>
      </c>
      <c r="Q95" s="657">
        <v>0</v>
      </c>
      <c r="R95" s="657">
        <v>0</v>
      </c>
      <c r="S95" s="657">
        <v>0</v>
      </c>
      <c r="T95" s="657">
        <v>0</v>
      </c>
      <c r="U95" s="1026"/>
      <c r="V95" s="1026"/>
      <c r="W95" s="1026"/>
      <c r="X95" s="1026"/>
      <c r="Y95" s="1026"/>
    </row>
    <row r="96" spans="1:25" hidden="1">
      <c r="A96" s="1080" t="s">
        <v>511</v>
      </c>
      <c r="B96" s="1080"/>
      <c r="C96" s="1083"/>
      <c r="D96" s="657"/>
      <c r="E96" s="657"/>
      <c r="F96" s="657">
        <f>+[29]CF!B54</f>
        <v>2.31</v>
      </c>
      <c r="G96" s="657">
        <f>+[29]CF!C54</f>
        <v>-0.33400000000000002</v>
      </c>
      <c r="H96" s="657">
        <v>0</v>
      </c>
      <c r="I96" s="657">
        <v>0</v>
      </c>
      <c r="J96" s="657">
        <v>0</v>
      </c>
      <c r="K96" s="657">
        <v>0</v>
      </c>
      <c r="L96" s="657">
        <v>0</v>
      </c>
      <c r="M96" s="657">
        <v>0</v>
      </c>
      <c r="N96" s="657">
        <v>0</v>
      </c>
      <c r="O96" s="657">
        <v>0</v>
      </c>
      <c r="P96" s="657">
        <v>0</v>
      </c>
      <c r="Q96" s="657">
        <v>0</v>
      </c>
      <c r="R96" s="657">
        <v>0</v>
      </c>
      <c r="S96" s="657">
        <v>0</v>
      </c>
      <c r="T96" s="657">
        <v>0</v>
      </c>
      <c r="U96" s="1026"/>
      <c r="V96" s="1026"/>
      <c r="W96" s="1026"/>
      <c r="X96" s="1026"/>
      <c r="Y96" s="1026"/>
    </row>
    <row r="97" spans="1:26" hidden="1">
      <c r="A97" s="1080" t="s">
        <v>134</v>
      </c>
      <c r="B97" s="1080"/>
      <c r="C97" s="1083"/>
      <c r="D97" s="657"/>
      <c r="E97" s="657"/>
      <c r="F97" s="657">
        <f>+[29]CF!B55</f>
        <v>0</v>
      </c>
      <c r="G97" s="657">
        <f>+[29]CF!C55</f>
        <v>0</v>
      </c>
      <c r="H97" s="657">
        <v>0</v>
      </c>
      <c r="I97" s="657">
        <v>0</v>
      </c>
      <c r="J97" s="657">
        <v>0</v>
      </c>
      <c r="K97" s="657">
        <v>0</v>
      </c>
      <c r="L97" s="657">
        <v>0</v>
      </c>
      <c r="M97" s="657">
        <v>0</v>
      </c>
      <c r="N97" s="657">
        <v>0</v>
      </c>
      <c r="O97" s="657">
        <v>0</v>
      </c>
      <c r="P97" s="657">
        <v>0</v>
      </c>
      <c r="Q97" s="657">
        <v>0</v>
      </c>
      <c r="R97" s="657">
        <v>0</v>
      </c>
      <c r="S97" s="657">
        <v>0</v>
      </c>
      <c r="T97" s="657">
        <v>0</v>
      </c>
      <c r="U97" s="1026"/>
      <c r="V97" s="1026"/>
      <c r="W97" s="1026"/>
      <c r="X97" s="1026"/>
      <c r="Y97" s="1026"/>
    </row>
    <row r="98" spans="1:26">
      <c r="A98" s="1079" t="s">
        <v>137</v>
      </c>
      <c r="B98" s="1079"/>
      <c r="C98" s="1079"/>
      <c r="D98" s="1081"/>
      <c r="E98" s="1081"/>
      <c r="F98" s="657">
        <f>SUM(F90:F97)</f>
        <v>-27.278000000000002</v>
      </c>
      <c r="G98" s="657">
        <f>SUM(G90:G97)</f>
        <v>13.123000000000051</v>
      </c>
      <c r="H98" s="657">
        <f>+CFS!J38</f>
        <v>1873.538</v>
      </c>
      <c r="I98" s="657">
        <f>+CFS!K38</f>
        <v>3079.42</v>
      </c>
      <c r="J98" s="657">
        <f>+CFS!L38</f>
        <v>3023.2370032467525</v>
      </c>
      <c r="K98" s="657">
        <f>+CFS!M38</f>
        <v>243.31425999999999</v>
      </c>
      <c r="L98" s="657">
        <f>+CFS!N38</f>
        <v>-970.09400000000028</v>
      </c>
      <c r="M98" s="657">
        <f>+CFS!O38</f>
        <v>-63.638999999999669</v>
      </c>
      <c r="N98" s="657">
        <f>+CFS!P38</f>
        <v>2057.71</v>
      </c>
      <c r="O98" s="657">
        <f>+CFS!Q38</f>
        <v>833.04000000000019</v>
      </c>
      <c r="P98" s="657">
        <f>+CFS!R38</f>
        <v>-2119.5460000000003</v>
      </c>
      <c r="Q98" s="657">
        <f>+CFS!S38</f>
        <v>-2091.627</v>
      </c>
      <c r="R98" s="657">
        <f>+CFS!T38</f>
        <v>-251.45028004619326</v>
      </c>
      <c r="S98" s="657">
        <f>+CFS!U38</f>
        <v>-721.34905717718516</v>
      </c>
      <c r="T98" s="657">
        <f>+CFS!V38</f>
        <v>-974.38572531954128</v>
      </c>
      <c r="U98" s="1024"/>
      <c r="V98" s="1024"/>
      <c r="W98" s="1024"/>
      <c r="X98" s="1024"/>
      <c r="Y98" s="1024"/>
    </row>
    <row r="99" spans="1:26">
      <c r="A99" s="1079" t="s">
        <v>22</v>
      </c>
      <c r="B99" s="1079"/>
      <c r="C99" s="1079"/>
      <c r="D99" s="1081"/>
      <c r="E99" s="1081"/>
      <c r="F99" s="657" t="e">
        <f t="shared" ref="F99:O99" si="26">F98+F89+F86</f>
        <v>#REF!</v>
      </c>
      <c r="G99" s="657">
        <f t="shared" si="26"/>
        <v>-278.88899999999995</v>
      </c>
      <c r="H99" s="657">
        <f t="shared" si="26"/>
        <v>374.07700000000068</v>
      </c>
      <c r="I99" s="657">
        <f t="shared" si="26"/>
        <v>-1669.7439999999988</v>
      </c>
      <c r="J99" s="657">
        <f t="shared" si="26"/>
        <v>-1290.2709967532469</v>
      </c>
      <c r="K99" s="657">
        <f t="shared" si="26"/>
        <v>-3544.4677400000005</v>
      </c>
      <c r="L99" s="657">
        <f t="shared" si="26"/>
        <v>-1454.1274094000014</v>
      </c>
      <c r="M99" s="657">
        <f t="shared" si="26"/>
        <v>-228.10382099999833</v>
      </c>
      <c r="N99" s="657">
        <f t="shared" si="26"/>
        <v>860.69100000000083</v>
      </c>
      <c r="O99" s="657">
        <f t="shared" si="26"/>
        <v>2189.1349999999993</v>
      </c>
      <c r="P99" s="657">
        <f>P98+P89+P86</f>
        <v>1353.6169999999984</v>
      </c>
      <c r="Q99" s="657">
        <f>Q98+Q89+Q86</f>
        <v>4222.4740000000038</v>
      </c>
      <c r="R99" s="657">
        <f>R98+R89+R86</f>
        <v>5010.3135041568203</v>
      </c>
      <c r="S99" s="657">
        <f>S98+S89+S86</f>
        <v>5641.5091551544037</v>
      </c>
      <c r="T99" s="657">
        <f>T98+T89+T86</f>
        <v>5600.9239741498159</v>
      </c>
      <c r="U99" s="1024"/>
      <c r="V99" s="1024"/>
      <c r="W99" s="1024"/>
      <c r="X99" s="1024"/>
      <c r="Y99" s="1024"/>
    </row>
    <row r="100" spans="1:26" hidden="1">
      <c r="A100" s="1079" t="s">
        <v>512</v>
      </c>
      <c r="B100" s="1079"/>
      <c r="C100" s="1079"/>
      <c r="D100" s="1081"/>
      <c r="E100" s="1081"/>
      <c r="F100" s="657">
        <f>+[29]CF!B59</f>
        <v>4.7240000000000002</v>
      </c>
      <c r="G100" s="657">
        <f>+[29]CF!C59</f>
        <v>241.39500000000001</v>
      </c>
      <c r="H100" s="657">
        <f>+CFS!J41</f>
        <v>-1276.6859999999997</v>
      </c>
      <c r="I100" s="657">
        <f>+CFS!K41</f>
        <v>-902.60899999999901</v>
      </c>
      <c r="J100" s="657">
        <f>+CFS!L41</f>
        <v>-2572.3529999999978</v>
      </c>
      <c r="K100" s="657">
        <f>+CFS!M41</f>
        <v>-3862.6239967532451</v>
      </c>
      <c r="L100" s="657">
        <f>+CFS!N41</f>
        <v>-7407.0917367532456</v>
      </c>
      <c r="M100" s="657">
        <f>+CFS!O41</f>
        <v>-8861.2191461532475</v>
      </c>
      <c r="N100" s="657">
        <f>+CFS!P41</f>
        <v>-9354.85</v>
      </c>
      <c r="O100" s="657">
        <f>+CFS!Q41</f>
        <v>-8494.1610000000001</v>
      </c>
      <c r="P100" s="657">
        <f>+CFS!R41</f>
        <v>-6305.0260000000007</v>
      </c>
      <c r="Q100" s="657">
        <f>+CFS!S41</f>
        <v>-4951.4090000000024</v>
      </c>
      <c r="R100" s="657">
        <f>+CFS!T41</f>
        <v>-728.93499999999858</v>
      </c>
      <c r="S100" s="657">
        <f>+CFS!U41</f>
        <v>4281.3785041568226</v>
      </c>
      <c r="T100" s="657">
        <f>+CFS!V41</f>
        <v>9922.8876593112254</v>
      </c>
      <c r="U100" s="1026"/>
      <c r="V100" s="1026"/>
      <c r="W100" s="1026"/>
      <c r="X100" s="1026"/>
      <c r="Y100" s="1026"/>
    </row>
    <row r="101" spans="1:26" hidden="1">
      <c r="A101" s="1079"/>
      <c r="B101" s="1079"/>
      <c r="C101" s="1079"/>
      <c r="D101" s="1081"/>
      <c r="E101" s="1081"/>
      <c r="F101" s="657"/>
      <c r="G101" s="657"/>
      <c r="H101" s="657">
        <f t="shared" ref="H101:O101" si="27">+H99+H100</f>
        <v>-902.60899999999901</v>
      </c>
      <c r="I101" s="657">
        <f t="shared" si="27"/>
        <v>-2572.3529999999978</v>
      </c>
      <c r="J101" s="657">
        <f t="shared" si="27"/>
        <v>-3862.6239967532447</v>
      </c>
      <c r="K101" s="657">
        <f t="shared" si="27"/>
        <v>-7407.0917367532456</v>
      </c>
      <c r="L101" s="657">
        <f t="shared" si="27"/>
        <v>-8861.2191461532475</v>
      </c>
      <c r="M101" s="657">
        <f t="shared" si="27"/>
        <v>-9089.3229671532463</v>
      </c>
      <c r="N101" s="657">
        <f t="shared" si="27"/>
        <v>-8494.1589999999997</v>
      </c>
      <c r="O101" s="657">
        <f t="shared" si="27"/>
        <v>-6305.0260000000007</v>
      </c>
      <c r="P101" s="657">
        <f>+P99+P100</f>
        <v>-4951.4090000000024</v>
      </c>
      <c r="Q101" s="657">
        <f>+Q99+Q100</f>
        <v>-728.93499999999858</v>
      </c>
      <c r="R101" s="657">
        <f>+R99+R100</f>
        <v>4281.3785041568217</v>
      </c>
      <c r="S101" s="657">
        <f>+S99+S100</f>
        <v>9922.8876593112254</v>
      </c>
      <c r="T101" s="657">
        <f>+T99+T100</f>
        <v>15523.811633461042</v>
      </c>
      <c r="U101" s="1026"/>
      <c r="V101" s="1026"/>
      <c r="W101" s="1026"/>
      <c r="X101" s="1026"/>
      <c r="Y101" s="1026"/>
    </row>
    <row r="102" spans="1:26" hidden="1">
      <c r="A102" s="1079" t="str">
        <f>+A51</f>
        <v>Short Term running finance</v>
      </c>
      <c r="B102" s="1079"/>
      <c r="C102" s="1079"/>
      <c r="D102" s="1081"/>
      <c r="E102" s="1081"/>
      <c r="F102" s="657"/>
      <c r="G102" s="657"/>
      <c r="H102" s="657">
        <f>+CFS!J44</f>
        <v>960.62</v>
      </c>
      <c r="I102" s="657">
        <f>+CFS!K44</f>
        <v>2613.6950000000002</v>
      </c>
      <c r="J102" s="657">
        <f>+CFS!L44</f>
        <v>3942.9720000000002</v>
      </c>
      <c r="K102" s="657">
        <f>+CFS!M44</f>
        <v>7597.02</v>
      </c>
      <c r="L102" s="657">
        <f>+CFS!N44</f>
        <v>9068.5750000000007</v>
      </c>
      <c r="M102" s="657">
        <f>+CFS!O44</f>
        <v>9585.6419999999998</v>
      </c>
      <c r="N102" s="657">
        <f>+CFS!P44</f>
        <v>8691.982</v>
      </c>
      <c r="O102" s="657">
        <f>+CFS!Q44</f>
        <v>6733.4669999999996</v>
      </c>
      <c r="P102" s="657">
        <f>+CFS!R44</f>
        <v>5420.29</v>
      </c>
      <c r="Q102" s="657">
        <f>+CFS!S44</f>
        <v>2551.6759999999999</v>
      </c>
      <c r="R102" s="657">
        <f>+CFS!T44</f>
        <v>2471.3829999999998</v>
      </c>
      <c r="S102" s="657">
        <f>+CFS!U44</f>
        <v>2471.3829999999998</v>
      </c>
      <c r="T102" s="657">
        <f>+CFS!V44</f>
        <v>2471.3829999999998</v>
      </c>
      <c r="U102" s="1026"/>
      <c r="V102" s="1026"/>
      <c r="W102" s="1026"/>
      <c r="X102" s="1026"/>
      <c r="Y102" s="1026"/>
    </row>
    <row r="103" spans="1:26" s="1039" customFormat="1" ht="12" thickBot="1">
      <c r="A103" s="1168" t="s">
        <v>513</v>
      </c>
      <c r="B103" s="1168"/>
      <c r="C103" s="1168"/>
      <c r="D103" s="1169"/>
      <c r="E103" s="1169"/>
      <c r="F103" s="1170" t="e">
        <f>F99+F100</f>
        <v>#REF!</v>
      </c>
      <c r="G103" s="1169">
        <f>G99+G100</f>
        <v>-37.493999999999943</v>
      </c>
      <c r="H103" s="1169">
        <f t="shared" ref="H103:O103" si="28">+H102+H101</f>
        <v>58.01100000000099</v>
      </c>
      <c r="I103" s="1169">
        <f t="shared" si="28"/>
        <v>41.342000000002372</v>
      </c>
      <c r="J103" s="1169">
        <f t="shared" si="28"/>
        <v>80.348003246755525</v>
      </c>
      <c r="K103" s="1169">
        <f t="shared" si="28"/>
        <v>189.9282632467548</v>
      </c>
      <c r="L103" s="1169">
        <f t="shared" si="28"/>
        <v>207.35585384675323</v>
      </c>
      <c r="M103" s="1169">
        <f t="shared" si="28"/>
        <v>496.31903284675354</v>
      </c>
      <c r="N103" s="1169">
        <f t="shared" si="28"/>
        <v>197.82300000000032</v>
      </c>
      <c r="O103" s="1169">
        <f t="shared" si="28"/>
        <v>428.44099999999889</v>
      </c>
      <c r="P103" s="1169">
        <f>+P102+P101</f>
        <v>468.88099999999758</v>
      </c>
      <c r="Q103" s="1169">
        <f>+Q102+Q101</f>
        <v>1822.7410000000013</v>
      </c>
      <c r="R103" s="1169">
        <f>+R102+R101</f>
        <v>6752.7615041568215</v>
      </c>
      <c r="S103" s="1169">
        <f>+S102+S101</f>
        <v>12394.270659311225</v>
      </c>
      <c r="T103" s="1169">
        <f>+T102+T101</f>
        <v>17995.19463346104</v>
      </c>
      <c r="U103" s="1038"/>
      <c r="V103" s="1038"/>
      <c r="W103" s="1038"/>
      <c r="X103" s="1038"/>
      <c r="Y103" s="1038"/>
      <c r="Z103" s="1016"/>
    </row>
    <row r="104" spans="1:26" hidden="1">
      <c r="A104" s="1066"/>
      <c r="B104" s="1066"/>
      <c r="C104" s="1066"/>
      <c r="D104" s="1066"/>
      <c r="E104" s="1066"/>
      <c r="F104" s="657"/>
      <c r="G104" s="1066"/>
      <c r="H104" s="1066"/>
      <c r="I104" s="1066"/>
      <c r="J104" s="1066"/>
      <c r="K104" s="1066"/>
      <c r="L104" s="1066"/>
      <c r="M104" s="1066"/>
      <c r="N104" s="1066"/>
      <c r="O104" s="1066"/>
      <c r="P104" s="1066"/>
      <c r="Q104" s="1066"/>
      <c r="R104" s="1066"/>
      <c r="S104" s="1066"/>
      <c r="T104" s="1066"/>
    </row>
    <row r="105" spans="1:26">
      <c r="A105" s="654" t="s">
        <v>948</v>
      </c>
      <c r="B105" s="1019" t="s">
        <v>148</v>
      </c>
      <c r="C105" s="1019" t="s">
        <v>149</v>
      </c>
      <c r="D105" s="1019" t="s">
        <v>150</v>
      </c>
      <c r="E105" s="1019" t="s">
        <v>151</v>
      </c>
      <c r="F105" s="1020" t="s">
        <v>152</v>
      </c>
      <c r="G105" s="1019" t="s">
        <v>191</v>
      </c>
      <c r="H105" s="1019" t="s">
        <v>154</v>
      </c>
      <c r="I105" s="1019" t="s">
        <v>155</v>
      </c>
      <c r="J105" s="655"/>
      <c r="K105" s="655"/>
      <c r="L105" s="655"/>
      <c r="M105" s="655"/>
      <c r="N105" s="655"/>
      <c r="O105" s="655"/>
      <c r="P105" s="655"/>
      <c r="Q105" s="655"/>
      <c r="R105" s="655"/>
      <c r="S105" s="655"/>
      <c r="T105" s="655"/>
    </row>
    <row r="106" spans="1:26">
      <c r="A106" s="660" t="s">
        <v>612</v>
      </c>
      <c r="B106" s="1159" t="s">
        <v>148</v>
      </c>
      <c r="C106" s="1159" t="s">
        <v>149</v>
      </c>
      <c r="D106" s="1159" t="s">
        <v>150</v>
      </c>
      <c r="E106" s="1159" t="s">
        <v>151</v>
      </c>
      <c r="F106" s="1160" t="s">
        <v>152</v>
      </c>
      <c r="G106" s="1159" t="s">
        <v>191</v>
      </c>
      <c r="H106" s="1159" t="s">
        <v>154</v>
      </c>
      <c r="I106" s="1159" t="s">
        <v>155</v>
      </c>
      <c r="J106" s="661" t="s">
        <v>156</v>
      </c>
      <c r="K106" s="661" t="s">
        <v>157</v>
      </c>
      <c r="L106" s="661" t="s">
        <v>158</v>
      </c>
      <c r="M106" s="661" t="s">
        <v>159</v>
      </c>
      <c r="N106" s="661" t="s">
        <v>538</v>
      </c>
      <c r="O106" s="661" t="s">
        <v>539</v>
      </c>
      <c r="P106" s="661" t="s">
        <v>849</v>
      </c>
      <c r="Q106" s="661" t="s">
        <v>580</v>
      </c>
      <c r="R106" s="661" t="s">
        <v>585</v>
      </c>
      <c r="S106" s="661" t="s">
        <v>894</v>
      </c>
      <c r="T106" s="661" t="s">
        <v>895</v>
      </c>
    </row>
    <row r="107" spans="1:26">
      <c r="A107" s="1079" t="s">
        <v>896</v>
      </c>
      <c r="B107" s="1079"/>
      <c r="C107" s="1079"/>
      <c r="D107" s="1079"/>
      <c r="E107" s="1079"/>
      <c r="F107" s="1079"/>
      <c r="G107" s="1079"/>
      <c r="H107" s="1079"/>
      <c r="I107" s="1079"/>
      <c r="J107" s="1084">
        <f>J9/J7</f>
        <v>0.31652705570808259</v>
      </c>
      <c r="K107" s="1084">
        <f t="shared" ref="K107:T107" si="29">K9/K7</f>
        <v>0.15388667970004163</v>
      </c>
      <c r="L107" s="1084">
        <f t="shared" si="29"/>
        <v>0.31487234376467299</v>
      </c>
      <c r="M107" s="1084">
        <f t="shared" si="29"/>
        <v>0.19539376919201767</v>
      </c>
      <c r="N107" s="1084">
        <f t="shared" si="29"/>
        <v>0.23604038671493952</v>
      </c>
      <c r="O107" s="1084">
        <f t="shared" si="29"/>
        <v>0.327093816243616</v>
      </c>
      <c r="P107" s="1084">
        <f>P9/P7</f>
        <v>0.37429906271988944</v>
      </c>
      <c r="Q107" s="1084">
        <f t="shared" si="29"/>
        <v>0.34878270174081882</v>
      </c>
      <c r="R107" s="1084">
        <f t="shared" si="29"/>
        <v>0.38914889561523991</v>
      </c>
      <c r="S107" s="1084">
        <f t="shared" si="29"/>
        <v>0.39385428218338603</v>
      </c>
      <c r="T107" s="1084">
        <f t="shared" si="29"/>
        <v>0.38643118996693593</v>
      </c>
    </row>
    <row r="108" spans="1:26">
      <c r="A108" s="1079" t="s">
        <v>897</v>
      </c>
      <c r="B108" s="1079"/>
      <c r="C108" s="1079"/>
      <c r="D108" s="1079"/>
      <c r="E108" s="1079"/>
      <c r="F108" s="1079"/>
      <c r="G108" s="1079"/>
      <c r="H108" s="1079"/>
      <c r="I108" s="1079"/>
      <c r="J108" s="1084">
        <f>J11/J7</f>
        <v>0.29015620071265841</v>
      </c>
      <c r="K108" s="1084">
        <f t="shared" ref="K108:T108" si="30">K11/K7</f>
        <v>9.9803181681883818E-2</v>
      </c>
      <c r="L108" s="1084">
        <f t="shared" si="30"/>
        <v>0.20325547051458578</v>
      </c>
      <c r="M108" s="1084">
        <f t="shared" si="30"/>
        <v>0.12620744539237433</v>
      </c>
      <c r="N108" s="1084">
        <f t="shared" si="30"/>
        <v>9.1671951819644742E-2</v>
      </c>
      <c r="O108" s="1084">
        <f t="shared" si="30"/>
        <v>0.21944144914566555</v>
      </c>
      <c r="P108" s="1084">
        <f t="shared" si="30"/>
        <v>0.28773783384473312</v>
      </c>
      <c r="Q108" s="1084">
        <f t="shared" si="30"/>
        <v>0.2762314218297901</v>
      </c>
      <c r="R108" s="1084">
        <f t="shared" si="30"/>
        <v>0.31997722091864894</v>
      </c>
      <c r="S108" s="1084">
        <f t="shared" si="30"/>
        <v>0.32670946349577301</v>
      </c>
      <c r="T108" s="1084">
        <f t="shared" si="30"/>
        <v>0.32005792817456397</v>
      </c>
    </row>
    <row r="109" spans="1:26">
      <c r="A109" s="1079" t="s">
        <v>898</v>
      </c>
      <c r="B109" s="1079"/>
      <c r="C109" s="1079"/>
      <c r="D109" s="1079"/>
      <c r="E109" s="1079"/>
      <c r="F109" s="1079"/>
      <c r="G109" s="1079"/>
      <c r="H109" s="1079"/>
      <c r="I109" s="1079"/>
      <c r="J109" s="1084">
        <f>J16/J7</f>
        <v>0.42011986681465036</v>
      </c>
      <c r="K109" s="1084">
        <f t="shared" ref="K109:T109" si="31">K16/K7</f>
        <v>0.23064590411245509</v>
      </c>
      <c r="L109" s="1084">
        <f t="shared" si="31"/>
        <v>0.32150404259666471</v>
      </c>
      <c r="M109" s="1084">
        <f t="shared" si="31"/>
        <v>0.25162533401751974</v>
      </c>
      <c r="N109" s="1084">
        <f t="shared" si="31"/>
        <v>0.22619751374776761</v>
      </c>
      <c r="O109" s="1084">
        <f t="shared" si="31"/>
        <v>0.313266233121406</v>
      </c>
      <c r="P109" s="1084">
        <f t="shared" si="31"/>
        <v>0.38804468981363077</v>
      </c>
      <c r="Q109" s="1084">
        <f t="shared" si="31"/>
        <v>0.38618270789698134</v>
      </c>
      <c r="R109" s="1084">
        <f t="shared" si="31"/>
        <v>0.41743552621835911</v>
      </c>
      <c r="S109" s="1084">
        <f t="shared" si="31"/>
        <v>0.41990803962489931</v>
      </c>
      <c r="T109" s="1084">
        <f t="shared" si="31"/>
        <v>0.41135302386126249</v>
      </c>
    </row>
    <row r="110" spans="1:26">
      <c r="A110" s="1079" t="s">
        <v>899</v>
      </c>
      <c r="B110" s="1079"/>
      <c r="C110" s="1079"/>
      <c r="D110" s="1079"/>
      <c r="E110" s="1079"/>
      <c r="F110" s="1079"/>
      <c r="G110" s="1079"/>
      <c r="H110" s="1079"/>
      <c r="I110" s="1079"/>
      <c r="J110" s="1084">
        <f>J20/J7</f>
        <v>0.25273610218665415</v>
      </c>
      <c r="K110" s="1084">
        <f t="shared" ref="K110:T110" si="32">K20/K7</f>
        <v>-4.2768774793114821E-3</v>
      </c>
      <c r="L110" s="1084">
        <f t="shared" si="32"/>
        <v>2.9137341564349269E-2</v>
      </c>
      <c r="M110" s="1084">
        <f t="shared" si="32"/>
        <v>4.8801327112577883E-2</v>
      </c>
      <c r="N110" s="1084">
        <f t="shared" si="32"/>
        <v>9.2027333723848533E-3</v>
      </c>
      <c r="O110" s="1084">
        <f t="shared" si="32"/>
        <v>0.17900410952523307</v>
      </c>
      <c r="P110" s="1084">
        <f t="shared" si="32"/>
        <v>0.22082941816647045</v>
      </c>
      <c r="Q110" s="1084">
        <f t="shared" si="32"/>
        <v>0.2247526034558375</v>
      </c>
      <c r="R110" s="1084">
        <f t="shared" si="32"/>
        <v>0.23486253804124851</v>
      </c>
      <c r="S110" s="1084">
        <f t="shared" si="32"/>
        <v>0.24125878939335887</v>
      </c>
      <c r="T110" s="1084">
        <f t="shared" si="32"/>
        <v>0.2371007619701585</v>
      </c>
    </row>
    <row r="111" spans="1:26">
      <c r="A111" s="1079" t="s">
        <v>900</v>
      </c>
      <c r="B111" s="1079"/>
      <c r="C111" s="1079"/>
      <c r="D111" s="1079"/>
      <c r="E111" s="1079"/>
      <c r="F111" s="1079"/>
      <c r="G111" s="1079"/>
      <c r="H111" s="1079"/>
      <c r="I111" s="1079"/>
      <c r="J111" s="1084">
        <f>J7/J74</f>
        <v>0.24101249632687891</v>
      </c>
      <c r="K111" s="1084">
        <f t="shared" ref="K111:T111" si="33">K7/K74</f>
        <v>0.38255394525825126</v>
      </c>
      <c r="L111" s="1084">
        <f t="shared" si="33"/>
        <v>0.42221276114939144</v>
      </c>
      <c r="M111" s="1084">
        <f t="shared" si="33"/>
        <v>0.36303996957779427</v>
      </c>
      <c r="N111" s="1084">
        <f t="shared" si="33"/>
        <v>0.37376239680524587</v>
      </c>
      <c r="O111" s="1084">
        <f t="shared" si="33"/>
        <v>0.4527919984531974</v>
      </c>
      <c r="P111" s="1084">
        <f t="shared" si="33"/>
        <v>0.39221172432972651</v>
      </c>
      <c r="Q111" s="1084">
        <f t="shared" si="33"/>
        <v>0.36219650130238545</v>
      </c>
      <c r="R111" s="1084">
        <f t="shared" si="33"/>
        <v>0.36944560475143062</v>
      </c>
      <c r="S111" s="1084">
        <f t="shared" si="33"/>
        <v>0.3717205566098471</v>
      </c>
      <c r="T111" s="1084">
        <f t="shared" si="33"/>
        <v>0.36701581143692402</v>
      </c>
    </row>
    <row r="112" spans="1:26">
      <c r="A112" s="1079" t="s">
        <v>888</v>
      </c>
      <c r="B112" s="1079"/>
      <c r="C112" s="1079"/>
      <c r="D112" s="1079"/>
      <c r="E112" s="1079"/>
      <c r="F112" s="1079"/>
      <c r="G112" s="1079"/>
      <c r="H112" s="1079"/>
      <c r="I112" s="1079"/>
      <c r="J112" s="1084"/>
      <c r="K112" s="1084">
        <f>K20/AVERAGE(J38:K38)</f>
        <v>-4.9113968824411229E-3</v>
      </c>
      <c r="L112" s="1084">
        <f t="shared" ref="L112:T112" si="34">L20/AVERAGE(K38:L38)</f>
        <v>3.332848053865109E-2</v>
      </c>
      <c r="M112" s="1084">
        <f t="shared" si="34"/>
        <v>3.4274101389067911E-2</v>
      </c>
      <c r="N112" s="1084">
        <f t="shared" si="34"/>
        <v>5.9644620101116201E-3</v>
      </c>
      <c r="O112" s="1084">
        <f t="shared" si="34"/>
        <v>0.13011096249179405</v>
      </c>
      <c r="P112" s="1084">
        <f t="shared" si="34"/>
        <v>0.13604509378033144</v>
      </c>
      <c r="Q112" s="1084">
        <f t="shared" si="34"/>
        <v>0.10898540925944035</v>
      </c>
      <c r="R112" s="1084">
        <f t="shared" si="34"/>
        <v>0.10649541701809158</v>
      </c>
      <c r="S112" s="1084">
        <f t="shared" si="34"/>
        <v>0.10783807552721517</v>
      </c>
      <c r="T112" s="1084">
        <f t="shared" si="34"/>
        <v>0.10257621253731447</v>
      </c>
    </row>
    <row r="113" spans="1:29">
      <c r="A113" s="1079" t="s">
        <v>889</v>
      </c>
      <c r="B113" s="1079"/>
      <c r="C113" s="1079"/>
      <c r="D113" s="1079"/>
      <c r="E113" s="1079"/>
      <c r="F113" s="1079"/>
      <c r="G113" s="1079"/>
      <c r="H113" s="1079"/>
      <c r="I113" s="1079"/>
      <c r="J113" s="1084"/>
      <c r="K113" s="1084">
        <f>K20/AVERAGE(J74:K74)</f>
        <v>-1.7992216588736552E-3</v>
      </c>
      <c r="L113" s="1084">
        <f t="shared" ref="L113:T113" si="35">L20/AVERAGE(K74:L74)</f>
        <v>1.3967751912019365E-2</v>
      </c>
      <c r="M113" s="1084">
        <f t="shared" si="35"/>
        <v>1.8458443827309094E-2</v>
      </c>
      <c r="N113" s="1084">
        <f t="shared" si="35"/>
        <v>3.5557897053174578E-3</v>
      </c>
      <c r="O113" s="1084">
        <f t="shared" si="35"/>
        <v>8.1844452411940799E-2</v>
      </c>
      <c r="P113" s="1084">
        <f t="shared" si="35"/>
        <v>9.6350171648897656E-2</v>
      </c>
      <c r="Q113" s="1084">
        <f t="shared" si="35"/>
        <v>8.7209280737140918E-2</v>
      </c>
      <c r="R113" s="1084">
        <f t="shared" si="35"/>
        <v>8.9970151281008784E-2</v>
      </c>
      <c r="S113" s="1084">
        <f t="shared" si="35"/>
        <v>9.2545937369536951E-2</v>
      </c>
      <c r="T113" s="1084">
        <f t="shared" si="35"/>
        <v>8.9549269853755983E-2</v>
      </c>
    </row>
    <row r="114" spans="1:29">
      <c r="A114" s="1079" t="s">
        <v>901</v>
      </c>
      <c r="B114" s="1079"/>
      <c r="C114" s="1079"/>
      <c r="D114" s="1079"/>
      <c r="E114" s="1079"/>
      <c r="F114" s="1079"/>
      <c r="G114" s="1079"/>
      <c r="H114" s="1079"/>
      <c r="I114" s="1079"/>
      <c r="J114" s="1085"/>
      <c r="K114" s="1085">
        <f>(K40+K47)/K38</f>
        <v>1.0449449085839815</v>
      </c>
      <c r="L114" s="1085">
        <f t="shared" ref="L114:T114" si="36">(L40+L47)/L38</f>
        <v>0.43692448520788507</v>
      </c>
      <c r="M114" s="1085">
        <f t="shared" si="36"/>
        <v>0.26665388353644759</v>
      </c>
      <c r="N114" s="1085">
        <f t="shared" si="36"/>
        <v>0.22775525516308004</v>
      </c>
      <c r="O114" s="1085">
        <f t="shared" si="36"/>
        <v>0.20633202545277601</v>
      </c>
      <c r="P114" s="1085">
        <f t="shared" si="36"/>
        <v>9.0481833253337737E-2</v>
      </c>
      <c r="Q114" s="1085">
        <f t="shared" si="36"/>
        <v>3.4530277103546225E-2</v>
      </c>
      <c r="R114" s="1085">
        <f t="shared" si="36"/>
        <v>2.1701856075241013E-2</v>
      </c>
      <c r="S114" s="1085">
        <f t="shared" si="36"/>
        <v>9.193941987619662E-3</v>
      </c>
      <c r="T114" s="1085">
        <f t="shared" si="36"/>
        <v>0</v>
      </c>
    </row>
    <row r="115" spans="1:29">
      <c r="A115" s="1086" t="s">
        <v>902</v>
      </c>
      <c r="B115" s="1086"/>
      <c r="C115" s="1086"/>
      <c r="D115" s="1086"/>
      <c r="E115" s="1086"/>
      <c r="F115" s="1086"/>
      <c r="G115" s="1086"/>
      <c r="H115" s="1086"/>
      <c r="I115" s="1086"/>
      <c r="J115" s="1087"/>
      <c r="K115" s="1087">
        <f>K14/K17</f>
        <v>0.86155510484690812</v>
      </c>
      <c r="L115" s="1087">
        <f t="shared" ref="L115:T115" si="37">L14/L17</f>
        <v>1.6998449908262789</v>
      </c>
      <c r="M115" s="1087">
        <f t="shared" si="37"/>
        <v>1.498451816834494</v>
      </c>
      <c r="N115" s="1087">
        <f t="shared" si="37"/>
        <v>1.3509459086659803</v>
      </c>
      <c r="O115" s="1087">
        <f t="shared" si="37"/>
        <v>3.4254876752470689</v>
      </c>
      <c r="P115" s="1087">
        <f t="shared" si="37"/>
        <v>8.1323829329998905</v>
      </c>
      <c r="Q115" s="1087">
        <f t="shared" si="37"/>
        <v>13.895263106893381</v>
      </c>
      <c r="R115" s="1087">
        <f t="shared" si="37"/>
        <v>21.000526314772632</v>
      </c>
      <c r="S115" s="1087">
        <f t="shared" si="37"/>
        <v>27.562441303849074</v>
      </c>
      <c r="T115" s="1087">
        <f t="shared" si="37"/>
        <v>29.450469914847346</v>
      </c>
      <c r="V115" s="1015">
        <v>72.69</v>
      </c>
    </row>
    <row r="116" spans="1:29">
      <c r="A116" s="1207" t="s">
        <v>956</v>
      </c>
      <c r="B116" s="1079"/>
      <c r="C116" s="1079"/>
      <c r="D116" s="1079"/>
      <c r="E116" s="1079"/>
      <c r="F116" s="1079"/>
      <c r="G116" s="1079"/>
      <c r="H116" s="1079"/>
      <c r="I116" s="1079"/>
      <c r="J116" s="1079"/>
      <c r="K116" s="1079"/>
      <c r="L116" s="1079"/>
      <c r="M116" s="1079"/>
      <c r="N116" s="1079"/>
      <c r="O116" s="1079"/>
      <c r="P116" s="1079"/>
      <c r="Q116" s="1079"/>
      <c r="R116" s="1079"/>
      <c r="S116" s="1079"/>
      <c r="T116" s="1079"/>
      <c r="V116" s="1015">
        <f>O28/10</f>
        <v>438.1191</v>
      </c>
    </row>
    <row r="117" spans="1:29">
      <c r="V117" s="1015"/>
    </row>
    <row r="118" spans="1:29">
      <c r="A118" s="1014" t="s">
        <v>903</v>
      </c>
      <c r="J118" s="1014" t="s">
        <v>904</v>
      </c>
      <c r="K118" s="1014" t="s">
        <v>905</v>
      </c>
      <c r="L118" s="1014" t="s">
        <v>906</v>
      </c>
      <c r="M118" s="1014" t="s">
        <v>907</v>
      </c>
      <c r="N118" s="1014" t="s">
        <v>908</v>
      </c>
      <c r="O118" s="1014" t="s">
        <v>903</v>
      </c>
      <c r="V118" s="1427" t="s">
        <v>611</v>
      </c>
      <c r="W118" s="1427"/>
      <c r="X118" s="1171"/>
      <c r="Y118" s="1171"/>
      <c r="Z118" s="1171"/>
      <c r="AA118" s="1171"/>
      <c r="AB118" s="1171"/>
      <c r="AC118" s="1171"/>
    </row>
    <row r="119" spans="1:29">
      <c r="A119" s="1014" t="s">
        <v>909</v>
      </c>
      <c r="J119" s="1014">
        <v>89.65</v>
      </c>
      <c r="K119" s="1015">
        <f>K28/10</f>
        <v>253.54121250000003</v>
      </c>
      <c r="L119" s="1063">
        <f>J119*K119</f>
        <v>22729.969700625003</v>
      </c>
      <c r="M119" s="1063">
        <f>BS!R20+BS!R28+BS!R32</f>
        <v>9759.509</v>
      </c>
      <c r="N119" s="1015">
        <f>BS!R58</f>
        <v>468.88099999999997</v>
      </c>
      <c r="O119" s="1063">
        <f>L119+M119-N119</f>
        <v>32020.597700625003</v>
      </c>
      <c r="V119" s="1188" t="s">
        <v>612</v>
      </c>
      <c r="W119" s="1189" t="s">
        <v>848</v>
      </c>
      <c r="X119" s="1190" t="str">
        <f>P106</f>
        <v>FY13E</v>
      </c>
      <c r="Y119" s="1190" t="str">
        <f>Q106</f>
        <v>FY14F</v>
      </c>
      <c r="Z119" s="1190" t="str">
        <f>R106</f>
        <v>FY15F</v>
      </c>
      <c r="AA119" s="1190" t="str">
        <f>S106</f>
        <v>FY16F</v>
      </c>
      <c r="AB119" s="1190" t="str">
        <f>T106</f>
        <v>FY17F</v>
      </c>
      <c r="AC119" s="1190"/>
    </row>
    <row r="120" spans="1:29">
      <c r="O120" s="1088">
        <f>O119/P16</f>
        <v>3.3118502555129599</v>
      </c>
      <c r="V120" s="1174" t="s">
        <v>937</v>
      </c>
      <c r="W120" s="1175">
        <f t="shared" ref="W120:AB120" si="38">O7</f>
        <v>22949.852999999999</v>
      </c>
      <c r="X120" s="1175">
        <f t="shared" si="38"/>
        <v>24915.923999999999</v>
      </c>
      <c r="Y120" s="1175">
        <f t="shared" si="38"/>
        <v>26542.508999999998</v>
      </c>
      <c r="Z120" s="1175">
        <f t="shared" si="38"/>
        <v>29147.959516165181</v>
      </c>
      <c r="AA120" s="1175">
        <f t="shared" si="38"/>
        <v>31263.168505483023</v>
      </c>
      <c r="AB120" s="1175">
        <f t="shared" si="38"/>
        <v>32715.756246968449</v>
      </c>
      <c r="AC120" s="1175"/>
    </row>
    <row r="121" spans="1:29">
      <c r="V121" s="1174" t="s">
        <v>938</v>
      </c>
      <c r="W121" s="1182">
        <f t="shared" ref="W121:AB123" si="39">O20</f>
        <v>4108.1179999999986</v>
      </c>
      <c r="X121" s="1182">
        <f t="shared" si="39"/>
        <v>5502.1689999999971</v>
      </c>
      <c r="Y121" s="1182">
        <f t="shared" si="39"/>
        <v>5965.4979999999978</v>
      </c>
      <c r="Z121" s="1182">
        <f t="shared" si="39"/>
        <v>6845.7637506901165</v>
      </c>
      <c r="AA121" s="1182">
        <f t="shared" si="39"/>
        <v>7542.5141862334185</v>
      </c>
      <c r="AB121" s="1182">
        <f t="shared" si="39"/>
        <v>7756.9307345861926</v>
      </c>
      <c r="AC121" s="1175"/>
    </row>
    <row r="122" spans="1:29">
      <c r="V122" s="1174" t="s">
        <v>566</v>
      </c>
      <c r="W122" s="1183">
        <f t="shared" si="39"/>
        <v>9.3767130041322062</v>
      </c>
      <c r="X122" s="1183">
        <f t="shared" si="39"/>
        <v>12.558611902879393</v>
      </c>
      <c r="Y122" s="1183">
        <f t="shared" si="39"/>
        <v>13.616152864334634</v>
      </c>
      <c r="Z122" s="1183">
        <f t="shared" si="39"/>
        <v>15.625345227258054</v>
      </c>
      <c r="AA122" s="1183">
        <f t="shared" si="39"/>
        <v>17.215666846450507</v>
      </c>
      <c r="AB122" s="1183">
        <f t="shared" si="39"/>
        <v>17.705069156033776</v>
      </c>
      <c r="AC122" s="1176"/>
    </row>
    <row r="123" spans="1:29">
      <c r="N123" s="1014" t="s">
        <v>910</v>
      </c>
      <c r="O123" s="1015">
        <f>O119/(Assumptions!BI13/1000000)</f>
        <v>7586.0217248578538</v>
      </c>
      <c r="V123" s="1174" t="s">
        <v>858</v>
      </c>
      <c r="W123" s="1183">
        <f t="shared" si="39"/>
        <v>1.5</v>
      </c>
      <c r="X123" s="1183">
        <f t="shared" si="39"/>
        <v>3</v>
      </c>
      <c r="Y123" s="1183">
        <f t="shared" si="39"/>
        <v>3</v>
      </c>
      <c r="Z123" s="1183">
        <f t="shared" si="39"/>
        <v>4</v>
      </c>
      <c r="AA123" s="1183">
        <f t="shared" si="39"/>
        <v>5</v>
      </c>
      <c r="AB123" s="1183">
        <f t="shared" si="39"/>
        <v>6</v>
      </c>
      <c r="AC123" s="1176"/>
    </row>
    <row r="124" spans="1:29">
      <c r="V124" s="1174" t="s">
        <v>939</v>
      </c>
      <c r="W124" s="1184">
        <f t="shared" ref="W124:AB124" si="40">$V$115/W122</f>
        <v>7.7521835176107423</v>
      </c>
      <c r="X124" s="1184">
        <f t="shared" si="40"/>
        <v>5.7880600628588494</v>
      </c>
      <c r="Y124" s="1184">
        <f t="shared" si="40"/>
        <v>5.3385123334212849</v>
      </c>
      <c r="Z124" s="1184">
        <f t="shared" si="40"/>
        <v>4.6520572149147768</v>
      </c>
      <c r="AA124" s="1184">
        <f t="shared" si="40"/>
        <v>4.222316837816078</v>
      </c>
      <c r="AB124" s="1184">
        <f t="shared" si="40"/>
        <v>4.1056038448303775</v>
      </c>
      <c r="AC124" s="1176"/>
    </row>
    <row r="125" spans="1:29">
      <c r="V125" s="1174" t="s">
        <v>940</v>
      </c>
      <c r="W125" s="1184">
        <f t="shared" ref="W125:AB125" si="41">$V$115/(O38/$V$116)</f>
        <v>0.96708977158409837</v>
      </c>
      <c r="X125" s="1184">
        <f t="shared" si="41"/>
        <v>0.66407430660821021</v>
      </c>
      <c r="Y125" s="1184">
        <f t="shared" si="41"/>
        <v>0.51769621580604297</v>
      </c>
      <c r="Z125" s="1184">
        <f t="shared" si="41"/>
        <v>0.4749866563005149</v>
      </c>
      <c r="AA125" s="1184">
        <f t="shared" si="41"/>
        <v>0.43722901182459312</v>
      </c>
      <c r="AB125" s="1184">
        <f t="shared" si="41"/>
        <v>0.40618782373255474</v>
      </c>
      <c r="AC125" s="1176"/>
    </row>
    <row r="126" spans="1:29">
      <c r="V126" s="1174" t="s">
        <v>888</v>
      </c>
      <c r="W126" s="1185">
        <f t="shared" ref="W126:AB126" si="42">W121/AVERAGE(N38:O38)</f>
        <v>0.13011096249179405</v>
      </c>
      <c r="X126" s="1185">
        <f t="shared" si="42"/>
        <v>0.13604509378033144</v>
      </c>
      <c r="Y126" s="1185">
        <f t="shared" si="42"/>
        <v>0.10898540925944035</v>
      </c>
      <c r="Z126" s="1185">
        <f t="shared" si="42"/>
        <v>0.10649541701809158</v>
      </c>
      <c r="AA126" s="1185">
        <f t="shared" si="42"/>
        <v>0.10783807552721517</v>
      </c>
      <c r="AB126" s="1185">
        <f t="shared" si="42"/>
        <v>0.10257621253731447</v>
      </c>
      <c r="AC126" s="1177"/>
    </row>
    <row r="127" spans="1:29">
      <c r="V127" s="1191" t="s">
        <v>889</v>
      </c>
      <c r="W127" s="1192">
        <f t="shared" ref="W127:AB127" si="43">W121/AVERAGE(N74:O74)</f>
        <v>8.1844452411940799E-2</v>
      </c>
      <c r="X127" s="1192">
        <f t="shared" si="43"/>
        <v>9.6350171648897656E-2</v>
      </c>
      <c r="Y127" s="1192">
        <f t="shared" si="43"/>
        <v>8.7209280737140918E-2</v>
      </c>
      <c r="Z127" s="1192">
        <f t="shared" si="43"/>
        <v>8.9970151281008784E-2</v>
      </c>
      <c r="AA127" s="1192">
        <f t="shared" si="43"/>
        <v>9.2545937369536951E-2</v>
      </c>
      <c r="AB127" s="1192">
        <f t="shared" si="43"/>
        <v>8.9549269853755983E-2</v>
      </c>
      <c r="AC127" s="1193"/>
    </row>
    <row r="128" spans="1:29">
      <c r="V128" s="1186" t="s">
        <v>957</v>
      </c>
    </row>
    <row r="131" spans="20:28">
      <c r="T131" s="1014" t="s">
        <v>946</v>
      </c>
    </row>
    <row r="132" spans="20:28">
      <c r="V132" s="654" t="s">
        <v>948</v>
      </c>
      <c r="W132" s="1171"/>
      <c r="X132" s="1171"/>
      <c r="Y132" s="1171"/>
      <c r="Z132" s="1171"/>
      <c r="AA132" s="1171"/>
      <c r="AB132" s="1171"/>
    </row>
    <row r="133" spans="20:28">
      <c r="V133" s="660" t="s">
        <v>612</v>
      </c>
      <c r="W133" s="1189" t="s">
        <v>848</v>
      </c>
      <c r="X133" s="1189" t="s">
        <v>849</v>
      </c>
      <c r="Y133" s="1189" t="s">
        <v>580</v>
      </c>
      <c r="Z133" s="1189" t="s">
        <v>585</v>
      </c>
      <c r="AA133" s="1189" t="s">
        <v>894</v>
      </c>
      <c r="AB133" s="1189" t="s">
        <v>895</v>
      </c>
    </row>
    <row r="134" spans="20:28">
      <c r="V134" s="1079" t="s">
        <v>896</v>
      </c>
      <c r="W134" s="1216">
        <v>0.327093816243616</v>
      </c>
      <c r="X134" s="1216">
        <v>0.38912715678394139</v>
      </c>
      <c r="Y134" s="1216">
        <v>0.36573085703906549</v>
      </c>
      <c r="Z134" s="1216">
        <v>0.36677783323435487</v>
      </c>
      <c r="AA134" s="1216">
        <v>0.36019323693421573</v>
      </c>
      <c r="AB134" s="1216">
        <v>0.35259029515747681</v>
      </c>
    </row>
    <row r="135" spans="20:28">
      <c r="V135" s="1079" t="s">
        <v>897</v>
      </c>
      <c r="W135" s="1216">
        <v>0.21944144914566555</v>
      </c>
      <c r="X135" s="1216">
        <v>0.30324145224757093</v>
      </c>
      <c r="Y135" s="1216">
        <v>0.28388342744359035</v>
      </c>
      <c r="Z135" s="1216">
        <v>0.28791160893472223</v>
      </c>
      <c r="AA135" s="1216">
        <v>0.28244983821812675</v>
      </c>
      <c r="AB135" s="1216">
        <v>0.27687519698675239</v>
      </c>
    </row>
    <row r="136" spans="20:28">
      <c r="V136" s="1079" t="s">
        <v>898</v>
      </c>
      <c r="W136" s="1216">
        <v>0.313266233121406</v>
      </c>
      <c r="X136" s="1216">
        <v>0.40589718299454403</v>
      </c>
      <c r="Y136" s="1216">
        <v>0.37877408278871011</v>
      </c>
      <c r="Z136" s="1216">
        <v>0.37912682639699152</v>
      </c>
      <c r="AA136" s="1216">
        <v>0.37068678310457359</v>
      </c>
      <c r="AB136" s="1216">
        <v>0.36102503639067529</v>
      </c>
    </row>
    <row r="137" spans="20:28">
      <c r="V137" s="1079" t="s">
        <v>899</v>
      </c>
      <c r="W137" s="1216">
        <v>0.17900410952523307</v>
      </c>
      <c r="X137" s="1216">
        <v>0.2381444276429783</v>
      </c>
      <c r="Y137" s="1216">
        <v>0.21913545487064018</v>
      </c>
      <c r="Z137" s="1216">
        <v>0.22715198424076327</v>
      </c>
      <c r="AA137" s="1216">
        <v>0.22738370192384461</v>
      </c>
      <c r="AB137" s="1216">
        <v>0.22072721818033336</v>
      </c>
    </row>
    <row r="138" spans="20:28">
      <c r="V138" s="1079" t="s">
        <v>900</v>
      </c>
      <c r="W138" s="1216">
        <v>0.45279201632003091</v>
      </c>
      <c r="X138" s="1216">
        <v>0.4800713156683899</v>
      </c>
      <c r="Y138" s="1216">
        <v>0.48654594416734337</v>
      </c>
      <c r="Z138" s="1216">
        <v>0.49628157419222263</v>
      </c>
      <c r="AA138" s="1216">
        <v>0.48913922324246528</v>
      </c>
      <c r="AB138" s="1216">
        <v>0.47450139327220714</v>
      </c>
    </row>
    <row r="139" spans="20:28">
      <c r="V139" s="1079" t="s">
        <v>888</v>
      </c>
      <c r="W139" s="1216">
        <v>0.13011096249179405</v>
      </c>
      <c r="X139" s="1216">
        <v>0.16834401552955441</v>
      </c>
      <c r="Y139" s="1216">
        <v>0.14318947254345421</v>
      </c>
      <c r="Z139" s="1216">
        <v>0.14367036341135417</v>
      </c>
      <c r="AA139" s="1216">
        <v>0.13599739964632485</v>
      </c>
      <c r="AB139" s="1216">
        <v>0.12527624186579192</v>
      </c>
    </row>
    <row r="140" spans="20:28">
      <c r="V140" s="1079" t="s">
        <v>889</v>
      </c>
      <c r="W140" s="1216">
        <v>8.1844454042496323E-2</v>
      </c>
      <c r="X140" s="1216">
        <v>0.11624798845924307</v>
      </c>
      <c r="Y140" s="1216">
        <v>0.10860129137600208</v>
      </c>
      <c r="Z140" s="1216">
        <v>0.11614377233258301</v>
      </c>
      <c r="AA140" s="1216">
        <v>0.11516756833130926</v>
      </c>
      <c r="AB140" s="1216">
        <v>0.10912654680217437</v>
      </c>
    </row>
    <row r="141" spans="20:28">
      <c r="V141" s="1079" t="s">
        <v>901</v>
      </c>
      <c r="W141" s="1035">
        <v>0.20633202545277601</v>
      </c>
      <c r="X141" s="1035">
        <v>0.12076976833034604</v>
      </c>
      <c r="Y141" s="1035">
        <v>7.0070091401798609E-2</v>
      </c>
      <c r="Z141" s="1035">
        <v>3.0824640680538036E-2</v>
      </c>
      <c r="AA141" s="1035">
        <v>9.0129550095875977E-3</v>
      </c>
      <c r="AB141" s="1035">
        <v>0</v>
      </c>
    </row>
    <row r="142" spans="20:28">
      <c r="V142" s="1086" t="s">
        <v>902</v>
      </c>
      <c r="W142" s="1035">
        <v>3.4254876752470689</v>
      </c>
      <c r="X142" s="1035">
        <v>8.2697444836135485</v>
      </c>
      <c r="Y142" s="1035">
        <v>9.9409167832412368</v>
      </c>
      <c r="Z142" s="1035">
        <v>14.646263326615927</v>
      </c>
      <c r="AA142" s="1035">
        <v>20.521051736465651</v>
      </c>
      <c r="AB142" s="1035">
        <v>24.543112500727315</v>
      </c>
    </row>
    <row r="143" spans="20:28">
      <c r="V143" s="1207" t="s">
        <v>956</v>
      </c>
      <c r="W143" s="1217"/>
      <c r="X143" s="1217"/>
      <c r="Y143" s="1217"/>
      <c r="Z143" s="1217"/>
      <c r="AA143" s="1217"/>
      <c r="AB143" s="1217"/>
    </row>
  </sheetData>
  <mergeCells count="4">
    <mergeCell ref="AF21:AH21"/>
    <mergeCell ref="V5:W5"/>
    <mergeCell ref="V15:X15"/>
    <mergeCell ref="V118:W118"/>
  </mergeCells>
  <phoneticPr fontId="8" type="noConversion"/>
  <pageMargins left="0.75" right="0.75" top="1" bottom="1" header="0.5" footer="0.5"/>
  <pageSetup orientation="portrait" r:id="rId1"/>
  <headerFooter alignWithMargins="0"/>
  <ignoredErrors>
    <ignoredError sqref="F19 B17:B19 C17:E19 K73 B10:F10 H10:L10 M10 N10 O10:Q10 R10:T10" formula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AJ103"/>
  <sheetViews>
    <sheetView workbookViewId="0">
      <pane xSplit="1" ySplit="4" topLeftCell="B24" activePane="bottomRight" state="frozen"/>
      <selection activeCell="L51" sqref="L51"/>
      <selection pane="topRight" activeCell="L51" sqref="L51"/>
      <selection pane="bottomLeft" activeCell="L51" sqref="L51"/>
      <selection pane="bottomRight"/>
    </sheetView>
  </sheetViews>
  <sheetFormatPr defaultColWidth="8" defaultRowHeight="12.75"/>
  <cols>
    <col min="1" max="1" width="43.140625" style="1" bestFit="1" customWidth="1"/>
    <col min="2" max="2" width="9" style="1" bestFit="1" customWidth="1"/>
    <col min="3" max="3" width="9.7109375" style="1" bestFit="1" customWidth="1"/>
    <col min="4" max="5" width="9" style="1" bestFit="1" customWidth="1"/>
    <col min="6" max="6" width="9.5703125" style="10" bestFit="1" customWidth="1"/>
    <col min="7" max="7" width="9" style="10" bestFit="1" customWidth="1"/>
    <col min="8" max="8" width="10" style="10" bestFit="1" customWidth="1"/>
    <col min="9" max="9" width="10" style="36" bestFit="1" customWidth="1"/>
    <col min="10" max="11" width="10" style="92" bestFit="1" customWidth="1"/>
    <col min="12" max="12" width="11" style="10" bestFit="1" customWidth="1"/>
    <col min="13" max="17" width="10" style="10" bestFit="1" customWidth="1"/>
    <col min="18" max="18" width="11" style="10" bestFit="1" customWidth="1"/>
    <col min="19" max="19" width="14.140625" style="10" bestFit="1" customWidth="1"/>
    <col min="20" max="28" width="11" style="1" bestFit="1" customWidth="1"/>
    <col min="29" max="30" width="11.5703125" style="1" bestFit="1" customWidth="1"/>
    <col min="31" max="31" width="8.140625" style="1" bestFit="1" customWidth="1"/>
    <col min="32" max="32" width="9" style="1" bestFit="1" customWidth="1"/>
    <col min="33" max="34" width="9.5703125" style="1" bestFit="1" customWidth="1"/>
    <col min="35" max="16384" width="8" style="1"/>
  </cols>
  <sheetData>
    <row r="1" spans="1:36">
      <c r="A1" s="3">
        <f>DCF!E30</f>
        <v>140.12265388031514</v>
      </c>
      <c r="B1" s="73"/>
      <c r="H1" s="225" t="s">
        <v>228</v>
      </c>
      <c r="I1" s="226">
        <f>+I17/(I7/10)</f>
        <v>37.684378627768439</v>
      </c>
      <c r="J1" s="92">
        <f>+J17/(J7/10)</f>
        <v>50.533168974861944</v>
      </c>
      <c r="K1" s="92">
        <f>+K17/(K7/10)</f>
        <v>104.49488784052816</v>
      </c>
      <c r="L1" s="10" t="s">
        <v>219</v>
      </c>
      <c r="N1" s="45">
        <f>(N20+N28+N32)/N17</f>
        <v>0.87044508383987562</v>
      </c>
      <c r="O1" s="45">
        <f>(O17/O39)-1</f>
        <v>-0.43090910991625542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10"/>
      <c r="AG1" s="10"/>
      <c r="AH1" s="10"/>
      <c r="AI1" s="10"/>
      <c r="AJ1" s="10"/>
    </row>
    <row r="2" spans="1:36" s="32" customFormat="1">
      <c r="A2" s="33"/>
      <c r="B2" s="227"/>
      <c r="C2" s="228" t="s">
        <v>231</v>
      </c>
      <c r="D2" s="92">
        <f>+(BS!D20+BS!D21+BS!D28+BS!D29+BS!D32)/(BS!D20+BS!D21+BS!D28+BS!D29+BS!D32+D17)</f>
        <v>0.59467729538141167</v>
      </c>
      <c r="E2" s="92">
        <f>+(BS!E20+BS!E21+BS!E28+BS!E29+BS!E32)/(BS!E20+BS!E21+BS!E28+BS!E29+BS!E32+E17)</f>
        <v>0.5540574666519068</v>
      </c>
      <c r="F2" s="92" t="e">
        <f>+(BS!F20+BS!F21+BS!F28+BS!F29+BS!F32)/(BS!F20+BS!F21+BS!F28+BS!F29+BS!F32+F17)</f>
        <v>#REF!</v>
      </c>
      <c r="G2" s="92">
        <f>+(BS!G20+BS!G21+BS!G28+BS!G29+BS!G32)/(BS!G20+BS!G21+BS!G28+BS!G29+BS!G32+G17)</f>
        <v>0.5562699089573141</v>
      </c>
      <c r="H2" s="92" t="e">
        <f>+(BS!H20+BS!H21+BS!H28+BS!H29+BS!H32)/(BS!H20+BS!H21+BS!H28+BS!H29+BS!H32+H17)</f>
        <v>#REF!</v>
      </c>
      <c r="I2" s="92">
        <f>+(BS!I20+BS!I21+BS!I28+BS!I29+BS!I32)/(BS!I20+BS!I21+BS!I28+BS!I29+BS!I32+I17)</f>
        <v>0.42462623801740151</v>
      </c>
      <c r="J2" s="92">
        <f>+(BS!J20+BS!J21+BS!J28+BS!J29+BS!J32)/(BS!J20+BS!J21+BS!J28+BS!J29+BS!J32+J17)</f>
        <v>0.41431240273894177</v>
      </c>
      <c r="K2" s="92">
        <f>+(BS!K20+BS!K21+BS!K28+BS!K29+BS!K32)/(BS!K20+BS!K21+BS!K28+BS!K29+BS!K32+K17)</f>
        <v>0.37561180046511711</v>
      </c>
      <c r="L2" s="45">
        <f>+(BS!L20+BS!L21+BS!L28+BS!L29+BS!L32)/(BS!L20+BS!L21+BS!L28+BS!L29+BS!L32+L17)</f>
        <v>0.57031366031406217</v>
      </c>
      <c r="M2" s="45">
        <f>+(BS!M20+BS!M21+BS!M28+BS!M29+BS!M32)/(BS!M20+BS!M21+BS!M28+BS!M29+BS!M32+M17)</f>
        <v>0.63770853613925516</v>
      </c>
      <c r="N2" s="45">
        <f>+(BS!N20+BS!N21+BS!N28+BS!N29+BS!N32)/(BS!N20+BS!N21+BS!N28+BS!N29+BS!N32+N17)</f>
        <v>0.4653678909689884</v>
      </c>
      <c r="O2" s="45">
        <f>+(BS!O20+BS!O21+BS!O28+BS!O29+BS!O32)/(BS!O20+BS!O21+BS!O28+BS!O29+BS!O32+O17)</f>
        <v>0.38281006120907823</v>
      </c>
      <c r="P2" s="45">
        <f>+(BS!P20+BS!P21+BS!P28+BS!P29+BS!P32)/(BS!P20+BS!P21+BS!P28+BS!P29+BS!P32+P17)</f>
        <v>0.34011023028118159</v>
      </c>
      <c r="Q2" s="45">
        <f>+(BS!Q20+BS!Q21+BS!Q28+BS!Q29+BS!Q32)/(BS!Q20+BS!Q21+BS!Q28+BS!Q29+BS!Q32+Q17)</f>
        <v>0.2911854718066737</v>
      </c>
      <c r="R2" s="45">
        <f>+(BS!R20+BS!R21+BS!R28+BS!R29+BS!R32)/(BS!R20+BS!R21+BS!R28+BS!R29+BS!R32+R17)</f>
        <v>0.16909448139154157</v>
      </c>
      <c r="S2" s="45">
        <f>+(BS!S20+BS!S21+BS!S28+BS!S29+BS!S32)/(BS!S20+BS!S21+BS!S28+BS!S29+BS!S32+S17)</f>
        <v>7.0640427357862301E-2</v>
      </c>
      <c r="T2" s="20">
        <f>+(BS!T20+BS!T21+BS!T28+BS!T29+BS!T32)/(BS!T20+BS!T21+BS!T28+BS!T29+BS!T32+T17)</f>
        <v>6.2305978772384731E-2</v>
      </c>
      <c r="U2" s="20">
        <f>+(BS!U20+BS!U21+BS!U28+BS!U29+BS!U32)/(BS!U20+BS!U21+BS!U28+BS!U29+BS!U32+U17)</f>
        <v>4.7964723895124989E-2</v>
      </c>
      <c r="V2" s="20">
        <f>+(BS!V20+BS!V21+BS!V28+BS!V29+BS!V32)/(BS!V20+BS!V21+BS!V28+BS!V29+BS!V32+V17)</f>
        <v>3.685308406194681E-2</v>
      </c>
      <c r="W2" s="20">
        <f>+(BS!W20+BS!W21+BS!W28+BS!W29+BS!W32)/(BS!W20+BS!W21+BS!W28+BS!W29+BS!W32+W17)</f>
        <v>3.4510152393390434E-2</v>
      </c>
      <c r="X2" s="20"/>
      <c r="Y2" s="20">
        <f>+(BS!Y20+BS!Y21+BS!Y28+BS!Y29+BS!Y32)/(BS!Y20+BS!Y21+BS!Y28+BS!Y29+BS!Y32+Y17)</f>
        <v>3.0859837943613997E-2</v>
      </c>
      <c r="Z2" s="20">
        <f>+(BS!Z20+BS!Z21+BS!Z28+BS!Z29+BS!Z32)/(BS!Z20+BS!Z21+BS!Z28+BS!Z29+BS!Z32+Z17)</f>
        <v>2.9240906334770719E-2</v>
      </c>
      <c r="AA2" s="20">
        <f>+(BS!AA20+BS!AA21+BS!AA28+BS!AA29+BS!AA32)/(BS!AA20+BS!AA21+BS!AA28+BS!AA29+BS!AA32+AA17)</f>
        <v>2.7728347249717587E-2</v>
      </c>
      <c r="AB2" s="20">
        <f>+(BS!AB20+BS!AB21+BS!AB28+BS!AB29+BS!AB32)/(BS!AB20+BS!AB21+BS!AB28+BS!AB29+BS!AB32+AB17)</f>
        <v>2.6305363679943104E-2</v>
      </c>
      <c r="AC2" s="20">
        <f>+(BS!AC20+BS!AC21+BS!AC28+BS!AC29+BS!AC32)/(BS!AC20+BS!AC21+BS!AC28+BS!AC29+BS!AC32+AC17)</f>
        <v>2.4956059184302114E-2</v>
      </c>
      <c r="AD2" s="20">
        <f>+(BS!AD20+BS!AD21+BS!AD28+BS!AD29+BS!AD32)/(BS!AD20+BS!AD21+BS!AD28+BS!AD29+BS!AD32+AD17)</f>
        <v>2.339451694949116E-2</v>
      </c>
      <c r="AE2" s="20"/>
      <c r="AF2" s="45"/>
      <c r="AG2" s="45"/>
      <c r="AH2" s="45"/>
      <c r="AI2" s="45"/>
      <c r="AJ2" s="45"/>
    </row>
    <row r="3" spans="1:36">
      <c r="A3" s="2" t="s">
        <v>220</v>
      </c>
      <c r="F3" s="36" t="e">
        <f>+F39-F60</f>
        <v>#REF!</v>
      </c>
      <c r="G3" s="36">
        <f>+G39-G60</f>
        <v>0</v>
      </c>
      <c r="H3" s="24" t="e">
        <f>+H39-H60</f>
        <v>#REF!</v>
      </c>
      <c r="I3" s="36">
        <f>+I39-I60</f>
        <v>0</v>
      </c>
      <c r="J3" s="92">
        <f>+ROUND(J39-J60,3)</f>
        <v>0</v>
      </c>
      <c r="K3" s="92">
        <f>+ROUND(K39-K60,3)</f>
        <v>12929.299000000001</v>
      </c>
      <c r="L3" s="31">
        <f>+L39-L60</f>
        <v>2239.9001832467548</v>
      </c>
      <c r="M3" s="31">
        <f>+M39-M60</f>
        <v>2419.5622600000024</v>
      </c>
      <c r="N3" s="31">
        <f t="shared" ref="N3:S3" si="0">N61</f>
        <v>1.1493999918457121E-3</v>
      </c>
      <c r="O3" s="31">
        <f t="shared" si="0"/>
        <v>-590.04202959999384</v>
      </c>
      <c r="P3" s="31">
        <f t="shared" si="0"/>
        <v>0</v>
      </c>
      <c r="Q3" s="31">
        <f t="shared" si="0"/>
        <v>9.9999999656574801E-4</v>
      </c>
      <c r="R3" s="31">
        <f t="shared" si="0"/>
        <v>0</v>
      </c>
      <c r="S3" s="31">
        <f t="shared" si="0"/>
        <v>0</v>
      </c>
      <c r="T3" s="229">
        <f>T61</f>
        <v>0</v>
      </c>
      <c r="U3" s="229">
        <f t="shared" ref="U3:AD3" si="1">U61</f>
        <v>0</v>
      </c>
      <c r="V3" s="229">
        <f t="shared" si="1"/>
        <v>0</v>
      </c>
      <c r="W3" s="229">
        <f t="shared" si="1"/>
        <v>0</v>
      </c>
      <c r="X3" s="229">
        <f t="shared" si="1"/>
        <v>0</v>
      </c>
      <c r="Y3" s="229">
        <f t="shared" si="1"/>
        <v>0</v>
      </c>
      <c r="Z3" s="229">
        <f t="shared" si="1"/>
        <v>0</v>
      </c>
      <c r="AA3" s="229">
        <f t="shared" si="1"/>
        <v>0</v>
      </c>
      <c r="AB3" s="229">
        <f t="shared" si="1"/>
        <v>0</v>
      </c>
      <c r="AC3" s="229">
        <f t="shared" si="1"/>
        <v>0</v>
      </c>
      <c r="AD3" s="229">
        <f t="shared" si="1"/>
        <v>0</v>
      </c>
      <c r="AE3" s="229"/>
      <c r="AF3" s="10"/>
      <c r="AG3" s="10"/>
      <c r="AH3" s="10"/>
      <c r="AI3" s="10"/>
      <c r="AJ3" s="10"/>
    </row>
    <row r="4" spans="1:36" s="2" customFormat="1">
      <c r="A4" s="231" t="str">
        <f>Assumptions!A1</f>
        <v>DG Khan Cement</v>
      </c>
      <c r="B4" s="81" t="s">
        <v>146</v>
      </c>
      <c r="C4" s="81" t="s">
        <v>147</v>
      </c>
      <c r="D4" s="81" t="s">
        <v>148</v>
      </c>
      <c r="E4" s="81" t="s">
        <v>149</v>
      </c>
      <c r="F4" s="82" t="s">
        <v>150</v>
      </c>
      <c r="G4" s="82" t="s">
        <v>151</v>
      </c>
      <c r="H4" s="82" t="s">
        <v>152</v>
      </c>
      <c r="I4" s="232" t="s">
        <v>191</v>
      </c>
      <c r="J4" s="233" t="s">
        <v>154</v>
      </c>
      <c r="K4" s="233" t="s">
        <v>155</v>
      </c>
      <c r="L4" s="82" t="s">
        <v>156</v>
      </c>
      <c r="M4" s="82" t="s">
        <v>157</v>
      </c>
      <c r="N4" s="82" t="s">
        <v>158</v>
      </c>
      <c r="O4" s="82" t="s">
        <v>159</v>
      </c>
      <c r="P4" s="85" t="s">
        <v>538</v>
      </c>
      <c r="Q4" s="85" t="s">
        <v>539</v>
      </c>
      <c r="R4" s="85" t="s">
        <v>543</v>
      </c>
      <c r="S4" s="85" t="s">
        <v>560</v>
      </c>
      <c r="T4" s="234" t="s">
        <v>587</v>
      </c>
      <c r="U4" s="234" t="str">
        <f>IS!BV4</f>
        <v>FY16</v>
      </c>
      <c r="V4" s="234" t="str">
        <f>IS!BW4</f>
        <v>FY17</v>
      </c>
      <c r="W4" s="234" t="str">
        <f>IS!BX4</f>
        <v>FY18</v>
      </c>
      <c r="X4" s="234" t="str">
        <f>IS!BY4</f>
        <v>FY19</v>
      </c>
      <c r="Y4" s="234" t="str">
        <f>IS!BZ4</f>
        <v>FY20</v>
      </c>
      <c r="Z4" s="234" t="str">
        <f>IS!CA4</f>
        <v>FY21</v>
      </c>
      <c r="AA4" s="234" t="str">
        <f>IS!CB4</f>
        <v>FY22</v>
      </c>
      <c r="AB4" s="234" t="str">
        <f>IS!CC4</f>
        <v>FY23</v>
      </c>
      <c r="AC4" s="234" t="str">
        <f>IS!CD4</f>
        <v>FY24</v>
      </c>
      <c r="AD4" s="234" t="str">
        <f>IS!CE4</f>
        <v>FY25</v>
      </c>
      <c r="AE4" s="234"/>
      <c r="AF4" s="141"/>
      <c r="AG4" s="141"/>
      <c r="AH4" s="141"/>
      <c r="AI4" s="141"/>
      <c r="AJ4" s="141"/>
    </row>
    <row r="5" spans="1:36">
      <c r="A5" s="1" t="s">
        <v>221</v>
      </c>
      <c r="B5" s="6"/>
      <c r="C5" s="235"/>
      <c r="D5" s="6"/>
      <c r="E5" s="6"/>
      <c r="F5" s="9"/>
      <c r="G5" s="9"/>
      <c r="H5" s="110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10"/>
      <c r="AG5" s="10"/>
      <c r="AH5" s="10"/>
      <c r="AI5" s="10"/>
      <c r="AJ5" s="10"/>
    </row>
    <row r="6" spans="1:36">
      <c r="A6" s="2" t="s">
        <v>222</v>
      </c>
      <c r="B6" s="6"/>
      <c r="C6" s="235"/>
      <c r="D6" s="6"/>
      <c r="E6" s="6"/>
      <c r="F6" s="9"/>
      <c r="G6" s="9"/>
      <c r="H6" s="236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10"/>
      <c r="AG6" s="10"/>
      <c r="AH6" s="10"/>
      <c r="AI6" s="10"/>
      <c r="AJ6" s="10"/>
    </row>
    <row r="7" spans="1:36">
      <c r="A7" s="1" t="s">
        <v>223</v>
      </c>
      <c r="B7" s="91">
        <v>1323.914</v>
      </c>
      <c r="C7" s="91">
        <v>1323.914</v>
      </c>
      <c r="D7" s="91">
        <v>1323.914</v>
      </c>
      <c r="E7" s="91">
        <v>1523.914</v>
      </c>
      <c r="F7" s="110">
        <v>1523.914</v>
      </c>
      <c r="G7" s="110">
        <v>1523.914</v>
      </c>
      <c r="H7" s="110">
        <v>1676.306</v>
      </c>
      <c r="I7" s="230">
        <f>+H7</f>
        <v>1676.306</v>
      </c>
      <c r="J7" s="110">
        <f>+I7+IS!R73</f>
        <v>1843.9370000000001</v>
      </c>
      <c r="K7" s="110">
        <f>J7</f>
        <v>1843.9370000000001</v>
      </c>
      <c r="L7" s="110">
        <f>+K7+460.983+IS!AG73</f>
        <v>2535.4121250000003</v>
      </c>
      <c r="M7" s="110">
        <f>+L7+IS!AL73</f>
        <v>2535.4121250000003</v>
      </c>
      <c r="N7" s="110">
        <f>(M7+IS!AQ73+IS!AQ74)</f>
        <v>3042.4941250000002</v>
      </c>
      <c r="O7" s="110">
        <f>(N7+IS!AU73+IS!AU74)</f>
        <v>3650.993125</v>
      </c>
      <c r="P7" s="110">
        <v>4381.1909999999998</v>
      </c>
      <c r="Q7" s="110">
        <f>(P7+IS!$BE$73+IS!$BE$74)</f>
        <v>4381.1909999999998</v>
      </c>
      <c r="R7" s="110">
        <f>(Q7+IS!$BE$73+IS!$BE$74)</f>
        <v>4381.1909999999998</v>
      </c>
      <c r="S7" s="241">
        <f>(R7+IS!$BE$73+IS!$BE$74)</f>
        <v>4381.1909999999998</v>
      </c>
      <c r="T7" s="237">
        <f>(S7+IS!BU73+IS!BU74)</f>
        <v>4381.1909999999998</v>
      </c>
      <c r="U7" s="237">
        <f>(T7+IS!BV73+IS!BV74)</f>
        <v>4381.1909999999998</v>
      </c>
      <c r="V7" s="237">
        <f>(U7+IS!BW73+IS!BW74)</f>
        <v>4381.1909999999998</v>
      </c>
      <c r="W7" s="237">
        <f>(V7+IS!BX73+IS!BX74)</f>
        <v>4381.1909999999998</v>
      </c>
      <c r="X7" s="237">
        <f>(W7+IS!BY73+IS!BY74)</f>
        <v>4381.1909999999998</v>
      </c>
      <c r="Y7" s="237">
        <f>(X7+IS!BZ73+IS!BZ74)</f>
        <v>4381.1909999999998</v>
      </c>
      <c r="Z7" s="237">
        <f>(Y7+IS!CA73+IS!CA74)</f>
        <v>4381.1909999999998</v>
      </c>
      <c r="AA7" s="237">
        <f>(Z7+IS!CB73+IS!CB74)</f>
        <v>4381.1909999999998</v>
      </c>
      <c r="AB7" s="237">
        <f>(AA7+IS!CC73+IS!CC74)</f>
        <v>4381.1909999999998</v>
      </c>
      <c r="AC7" s="237">
        <f>(AB7+IS!CD73+IS!CD74)</f>
        <v>4381.1909999999998</v>
      </c>
      <c r="AD7" s="237">
        <f>(AC7+IS!CE73+IS!CE74)</f>
        <v>4381.1909999999998</v>
      </c>
      <c r="AE7" s="237"/>
      <c r="AF7" s="31"/>
      <c r="AG7" s="31"/>
      <c r="AH7" s="31"/>
      <c r="AI7" s="10"/>
      <c r="AJ7" s="10"/>
    </row>
    <row r="8" spans="1:36">
      <c r="A8" s="1" t="s">
        <v>224</v>
      </c>
      <c r="B8" s="91"/>
      <c r="C8" s="91"/>
      <c r="D8" s="91"/>
      <c r="E8" s="91"/>
      <c r="F8" s="110"/>
      <c r="G8" s="110"/>
      <c r="H8" s="110"/>
      <c r="I8" s="230"/>
      <c r="J8" s="110">
        <f t="shared" ref="J8:O8" si="2">+I8</f>
        <v>0</v>
      </c>
      <c r="K8" s="110">
        <f t="shared" si="2"/>
        <v>0</v>
      </c>
      <c r="L8" s="110">
        <f>+K8</f>
        <v>0</v>
      </c>
      <c r="M8" s="110">
        <f t="shared" si="2"/>
        <v>0</v>
      </c>
      <c r="N8" s="238">
        <f>+M8</f>
        <v>0</v>
      </c>
      <c r="O8" s="238">
        <f t="shared" si="2"/>
        <v>0</v>
      </c>
      <c r="P8" s="238">
        <f t="shared" ref="P8:AD8" si="3">+O8</f>
        <v>0</v>
      </c>
      <c r="Q8" s="238">
        <f t="shared" si="3"/>
        <v>0</v>
      </c>
      <c r="R8" s="1314">
        <f t="shared" si="3"/>
        <v>0</v>
      </c>
      <c r="S8" s="238">
        <f t="shared" si="3"/>
        <v>0</v>
      </c>
      <c r="T8" s="239">
        <f t="shared" si="3"/>
        <v>0</v>
      </c>
      <c r="U8" s="239">
        <f t="shared" si="3"/>
        <v>0</v>
      </c>
      <c r="V8" s="239">
        <f t="shared" si="3"/>
        <v>0</v>
      </c>
      <c r="W8" s="239">
        <f t="shared" si="3"/>
        <v>0</v>
      </c>
      <c r="X8" s="239">
        <f t="shared" si="3"/>
        <v>0</v>
      </c>
      <c r="Y8" s="239">
        <f t="shared" si="3"/>
        <v>0</v>
      </c>
      <c r="Z8" s="239">
        <f t="shared" si="3"/>
        <v>0</v>
      </c>
      <c r="AA8" s="239">
        <f t="shared" si="3"/>
        <v>0</v>
      </c>
      <c r="AB8" s="239">
        <f t="shared" si="3"/>
        <v>0</v>
      </c>
      <c r="AC8" s="239">
        <f t="shared" si="3"/>
        <v>0</v>
      </c>
      <c r="AD8" s="239">
        <f t="shared" si="3"/>
        <v>0</v>
      </c>
      <c r="AE8" s="239"/>
      <c r="AF8" s="31"/>
      <c r="AG8" s="31"/>
      <c r="AH8" s="31"/>
      <c r="AI8" s="10"/>
      <c r="AJ8" s="10"/>
    </row>
    <row r="9" spans="1:36">
      <c r="A9" s="1" t="s">
        <v>333</v>
      </c>
      <c r="B9" s="91"/>
      <c r="C9" s="91"/>
      <c r="D9" s="91"/>
      <c r="E9" s="91"/>
      <c r="F9" s="110"/>
      <c r="G9" s="110"/>
      <c r="H9" s="154">
        <v>185.87899999999999</v>
      </c>
      <c r="K9" s="110">
        <v>8.3510000000000009</v>
      </c>
      <c r="L9" s="110"/>
      <c r="M9" s="110"/>
      <c r="N9" s="238"/>
      <c r="O9" s="238"/>
      <c r="P9" s="238"/>
      <c r="Q9" s="238"/>
      <c r="R9" s="1314"/>
      <c r="S9" s="238"/>
      <c r="T9" s="239"/>
      <c r="U9" s="239"/>
      <c r="V9" s="239"/>
      <c r="W9" s="239"/>
      <c r="X9" s="239"/>
      <c r="Y9" s="239"/>
      <c r="Z9" s="239"/>
      <c r="AA9" s="239"/>
      <c r="AB9" s="239"/>
      <c r="AC9" s="239"/>
      <c r="AD9" s="239"/>
      <c r="AE9" s="239"/>
      <c r="AF9" s="31"/>
      <c r="AG9" s="31"/>
      <c r="AH9" s="31"/>
      <c r="AI9" s="10"/>
      <c r="AJ9" s="10"/>
    </row>
    <row r="10" spans="1:36">
      <c r="A10" s="1" t="s">
        <v>225</v>
      </c>
      <c r="B10" s="91">
        <v>2532.0419999999999</v>
      </c>
      <c r="C10" s="91">
        <v>2532.0419999999999</v>
      </c>
      <c r="D10" s="91">
        <v>2532.0419999999999</v>
      </c>
      <c r="E10" s="91">
        <v>2824.569</v>
      </c>
      <c r="F10" s="110">
        <f>E10+IS!G71</f>
        <v>2824.569</v>
      </c>
      <c r="G10" s="110">
        <v>1966.0409999999999</v>
      </c>
      <c r="H10" s="110">
        <f>+H11+H12+H13+H14+H15</f>
        <v>3051.6800000000003</v>
      </c>
      <c r="I10" s="110">
        <f>+I11+I12+I13+I14+I15+167.631</f>
        <v>4389.0880000000006</v>
      </c>
      <c r="J10" s="110">
        <f>+J11+J12+J13+J14+J15</f>
        <v>7196.5680000000011</v>
      </c>
      <c r="K10" s="110">
        <f>J10+IS!AB71+IS!AB75+7501.742+321.234-22.99</f>
        <v>15085.354000000001</v>
      </c>
      <c r="L10" s="110">
        <f>+L11+L12+L13+L14+L15</f>
        <v>6761.7210000000005</v>
      </c>
      <c r="M10" s="110">
        <f>+M11+M12+M13+M14+M15</f>
        <v>8136.7210000000005</v>
      </c>
      <c r="N10" s="110">
        <f>+N11+N12+N13+N14+N15</f>
        <v>17401.22</v>
      </c>
      <c r="O10" s="110">
        <f>+O11+O12+O13+O14+O15</f>
        <v>22160.476999999999</v>
      </c>
      <c r="P10" s="110">
        <f>P11+P12+P13+P14+P15</f>
        <v>24957.380999999998</v>
      </c>
      <c r="Q10" s="110">
        <f>Q11+Q12+Q13+Q14+Q15</f>
        <v>23562.611999999997</v>
      </c>
      <c r="R10" s="1313">
        <f t="shared" ref="R10:AD10" si="4">+R11+R12+R13+R14+R15</f>
        <v>33785.203999999998</v>
      </c>
      <c r="S10" s="241">
        <f>+S11+S12+S13+S14+S15</f>
        <v>42705.394</v>
      </c>
      <c r="T10" s="237">
        <f t="shared" si="4"/>
        <v>42705.394</v>
      </c>
      <c r="U10" s="237">
        <f t="shared" si="4"/>
        <v>42705.394</v>
      </c>
      <c r="V10" s="237">
        <f t="shared" si="4"/>
        <v>42705.394</v>
      </c>
      <c r="W10" s="237">
        <f t="shared" si="4"/>
        <v>42705.394</v>
      </c>
      <c r="X10" s="237">
        <f t="shared" si="4"/>
        <v>42705.394</v>
      </c>
      <c r="Y10" s="237">
        <f t="shared" si="4"/>
        <v>42705.394</v>
      </c>
      <c r="Z10" s="237">
        <f t="shared" si="4"/>
        <v>42705.394</v>
      </c>
      <c r="AA10" s="237">
        <f t="shared" si="4"/>
        <v>42705.394</v>
      </c>
      <c r="AB10" s="237">
        <f t="shared" si="4"/>
        <v>42705.394</v>
      </c>
      <c r="AC10" s="237">
        <f t="shared" si="4"/>
        <v>42705.394</v>
      </c>
      <c r="AD10" s="237">
        <f t="shared" si="4"/>
        <v>42705.394</v>
      </c>
      <c r="AE10" s="237"/>
      <c r="AF10" s="31"/>
      <c r="AG10" s="31"/>
      <c r="AH10" s="31"/>
      <c r="AI10" s="10"/>
      <c r="AJ10" s="10"/>
    </row>
    <row r="11" spans="1:36">
      <c r="A11" s="240" t="s">
        <v>342</v>
      </c>
      <c r="B11" s="91"/>
      <c r="C11" s="91"/>
      <c r="D11" s="91"/>
      <c r="E11" s="91"/>
      <c r="F11" s="110"/>
      <c r="G11" s="110"/>
      <c r="H11" s="241">
        <v>1561.35</v>
      </c>
      <c r="I11" s="230">
        <f>+H11</f>
        <v>1561.35</v>
      </c>
      <c r="J11" s="110">
        <f>+I11</f>
        <v>1561.35</v>
      </c>
      <c r="K11" s="110">
        <f>+J11</f>
        <v>1561.35</v>
      </c>
      <c r="L11" s="110">
        <f>+K11+1150.034</f>
        <v>2711.384</v>
      </c>
      <c r="M11" s="110">
        <f>+L11</f>
        <v>2711.384</v>
      </c>
      <c r="N11" s="238">
        <f>+M11+(N7/10-M7/10)*10</f>
        <v>3218.4659999999999</v>
      </c>
      <c r="O11" s="238">
        <f>+N11+(O7/10-N7/10)*10</f>
        <v>3826.9649999999997</v>
      </c>
      <c r="P11" s="238">
        <v>4557.1629999999996</v>
      </c>
      <c r="Q11" s="238">
        <f>+P11</f>
        <v>4557.1629999999996</v>
      </c>
      <c r="R11" s="1314">
        <f>+Q11</f>
        <v>4557.1629999999996</v>
      </c>
      <c r="S11" s="238">
        <f t="shared" ref="S11:AD11" si="5">+R11</f>
        <v>4557.1629999999996</v>
      </c>
      <c r="T11" s="239">
        <f t="shared" si="5"/>
        <v>4557.1629999999996</v>
      </c>
      <c r="U11" s="239">
        <f t="shared" si="5"/>
        <v>4557.1629999999996</v>
      </c>
      <c r="V11" s="239">
        <f t="shared" si="5"/>
        <v>4557.1629999999996</v>
      </c>
      <c r="W11" s="239">
        <f t="shared" si="5"/>
        <v>4557.1629999999996</v>
      </c>
      <c r="X11" s="239">
        <f t="shared" si="5"/>
        <v>4557.1629999999996</v>
      </c>
      <c r="Y11" s="239">
        <f t="shared" si="5"/>
        <v>4557.1629999999996</v>
      </c>
      <c r="Z11" s="239">
        <f t="shared" si="5"/>
        <v>4557.1629999999996</v>
      </c>
      <c r="AA11" s="239">
        <f t="shared" si="5"/>
        <v>4557.1629999999996</v>
      </c>
      <c r="AB11" s="239">
        <f t="shared" si="5"/>
        <v>4557.1629999999996</v>
      </c>
      <c r="AC11" s="239">
        <f t="shared" si="5"/>
        <v>4557.1629999999996</v>
      </c>
      <c r="AD11" s="239">
        <f t="shared" si="5"/>
        <v>4557.1629999999996</v>
      </c>
      <c r="AE11" s="239"/>
      <c r="AF11" s="31"/>
      <c r="AG11" s="31"/>
      <c r="AH11" s="31"/>
      <c r="AI11" s="10"/>
      <c r="AJ11" s="10"/>
    </row>
    <row r="12" spans="1:36">
      <c r="A12" s="240" t="s">
        <v>338</v>
      </c>
      <c r="B12" s="91"/>
      <c r="C12" s="91"/>
      <c r="D12" s="91"/>
      <c r="E12" s="91"/>
      <c r="F12" s="110"/>
      <c r="G12" s="110"/>
      <c r="H12" s="241">
        <v>931.50300000000004</v>
      </c>
      <c r="I12" s="230">
        <f>+H12+790.977</f>
        <v>1722.48</v>
      </c>
      <c r="J12" s="110">
        <f>+I12+2398.2-529.645</f>
        <v>3591.0350000000003</v>
      </c>
      <c r="K12" s="110">
        <f>+ROUND(Investments!N92+Investments!N98,3)</f>
        <v>0</v>
      </c>
      <c r="L12" s="110">
        <f>+ROUND(Investments!N78+Investments!N84,3)</f>
        <v>0</v>
      </c>
      <c r="M12" s="110">
        <f>+ROUND(Investments!N33+Investments!N39,3)</f>
        <v>0</v>
      </c>
      <c r="N12" s="110">
        <v>8757.4169999999995</v>
      </c>
      <c r="O12" s="110">
        <v>12908.174999999999</v>
      </c>
      <c r="P12" s="110">
        <v>14974.880999999999</v>
      </c>
      <c r="Q12" s="110">
        <v>13580.111999999999</v>
      </c>
      <c r="R12" s="1313">
        <v>23802.704000000002</v>
      </c>
      <c r="S12" s="110">
        <v>32722.894</v>
      </c>
      <c r="T12" s="237">
        <f t="shared" ref="T12:AD12" si="6">+S12</f>
        <v>32722.894</v>
      </c>
      <c r="U12" s="237">
        <f t="shared" si="6"/>
        <v>32722.894</v>
      </c>
      <c r="V12" s="237">
        <f t="shared" si="6"/>
        <v>32722.894</v>
      </c>
      <c r="W12" s="237">
        <f t="shared" si="6"/>
        <v>32722.894</v>
      </c>
      <c r="X12" s="237">
        <f t="shared" si="6"/>
        <v>32722.894</v>
      </c>
      <c r="Y12" s="237">
        <f t="shared" si="6"/>
        <v>32722.894</v>
      </c>
      <c r="Z12" s="237">
        <f t="shared" si="6"/>
        <v>32722.894</v>
      </c>
      <c r="AA12" s="237">
        <f t="shared" si="6"/>
        <v>32722.894</v>
      </c>
      <c r="AB12" s="237">
        <f t="shared" si="6"/>
        <v>32722.894</v>
      </c>
      <c r="AC12" s="237">
        <f t="shared" si="6"/>
        <v>32722.894</v>
      </c>
      <c r="AD12" s="237">
        <f t="shared" si="6"/>
        <v>32722.894</v>
      </c>
      <c r="AE12" s="237"/>
      <c r="AF12" s="31"/>
      <c r="AG12" s="31"/>
      <c r="AH12" s="31"/>
      <c r="AI12" s="10"/>
      <c r="AJ12" s="10"/>
    </row>
    <row r="13" spans="1:36">
      <c r="A13" s="240" t="s">
        <v>339</v>
      </c>
      <c r="B13" s="91"/>
      <c r="C13" s="91"/>
      <c r="D13" s="91"/>
      <c r="E13" s="91"/>
      <c r="F13" s="110"/>
      <c r="G13" s="110"/>
      <c r="H13" s="241">
        <v>0</v>
      </c>
      <c r="I13" s="230">
        <v>0</v>
      </c>
      <c r="J13" s="110">
        <v>-298.24400000000003</v>
      </c>
      <c r="K13" s="110">
        <f>+J13-22.99+321.234</f>
        <v>0</v>
      </c>
      <c r="L13" s="110">
        <v>0</v>
      </c>
      <c r="M13" s="110">
        <v>0</v>
      </c>
      <c r="N13" s="238">
        <v>0</v>
      </c>
      <c r="O13" s="238">
        <v>0</v>
      </c>
      <c r="P13" s="238">
        <v>0</v>
      </c>
      <c r="Q13" s="238">
        <v>0</v>
      </c>
      <c r="R13" s="1314">
        <v>0</v>
      </c>
      <c r="S13" s="238">
        <v>0</v>
      </c>
      <c r="T13" s="239">
        <v>0</v>
      </c>
      <c r="U13" s="239">
        <v>0</v>
      </c>
      <c r="V13" s="239">
        <v>0</v>
      </c>
      <c r="W13" s="239">
        <v>0</v>
      </c>
      <c r="X13" s="239">
        <v>0</v>
      </c>
      <c r="Y13" s="239">
        <v>0</v>
      </c>
      <c r="Z13" s="239">
        <v>0</v>
      </c>
      <c r="AA13" s="239">
        <v>0</v>
      </c>
      <c r="AB13" s="239">
        <v>0</v>
      </c>
      <c r="AC13" s="239">
        <v>0</v>
      </c>
      <c r="AD13" s="239">
        <v>0</v>
      </c>
      <c r="AE13" s="239"/>
      <c r="AF13" s="31"/>
      <c r="AG13" s="31"/>
      <c r="AH13" s="31"/>
      <c r="AI13" s="10"/>
      <c r="AJ13" s="10"/>
    </row>
    <row r="14" spans="1:36">
      <c r="A14" s="240" t="s">
        <v>340</v>
      </c>
      <c r="B14" s="91"/>
      <c r="C14" s="91"/>
      <c r="D14" s="91"/>
      <c r="E14" s="91"/>
      <c r="F14" s="110"/>
      <c r="G14" s="110"/>
      <c r="H14" s="241">
        <v>18</v>
      </c>
      <c r="I14" s="230">
        <f>+H14+IS!R75</f>
        <v>106.8</v>
      </c>
      <c r="J14" s="110">
        <f>+I14+IS!W75</f>
        <v>195.6</v>
      </c>
      <c r="K14" s="110">
        <f>+J14+IS!AB75</f>
        <v>284.39999999999998</v>
      </c>
      <c r="L14" s="110">
        <f>+K14+IS!AG75</f>
        <v>353.51</v>
      </c>
      <c r="M14" s="110">
        <f>+L14</f>
        <v>353.51</v>
      </c>
      <c r="N14" s="110">
        <f>+L14</f>
        <v>353.51</v>
      </c>
      <c r="O14" s="110">
        <f>+M14</f>
        <v>353.51</v>
      </c>
      <c r="P14" s="110">
        <f>O14</f>
        <v>353.51</v>
      </c>
      <c r="Q14" s="110">
        <f t="shared" ref="Q14:AD14" si="7">P14</f>
        <v>353.51</v>
      </c>
      <c r="R14" s="1313">
        <f t="shared" si="7"/>
        <v>353.51</v>
      </c>
      <c r="S14" s="1313">
        <f t="shared" si="7"/>
        <v>353.51</v>
      </c>
      <c r="T14" s="237">
        <f t="shared" si="7"/>
        <v>353.51</v>
      </c>
      <c r="U14" s="237">
        <f t="shared" si="7"/>
        <v>353.51</v>
      </c>
      <c r="V14" s="237">
        <f t="shared" si="7"/>
        <v>353.51</v>
      </c>
      <c r="W14" s="237">
        <f t="shared" si="7"/>
        <v>353.51</v>
      </c>
      <c r="X14" s="237">
        <f t="shared" si="7"/>
        <v>353.51</v>
      </c>
      <c r="Y14" s="237">
        <f t="shared" si="7"/>
        <v>353.51</v>
      </c>
      <c r="Z14" s="237">
        <f t="shared" si="7"/>
        <v>353.51</v>
      </c>
      <c r="AA14" s="237">
        <f t="shared" si="7"/>
        <v>353.51</v>
      </c>
      <c r="AB14" s="237">
        <f t="shared" si="7"/>
        <v>353.51</v>
      </c>
      <c r="AC14" s="237">
        <f t="shared" si="7"/>
        <v>353.51</v>
      </c>
      <c r="AD14" s="237">
        <f t="shared" si="7"/>
        <v>353.51</v>
      </c>
      <c r="AE14" s="237"/>
      <c r="AF14" s="31"/>
      <c r="AG14" s="31"/>
      <c r="AH14" s="31"/>
      <c r="AI14" s="10"/>
      <c r="AJ14" s="10"/>
    </row>
    <row r="15" spans="1:36">
      <c r="A15" s="240" t="s">
        <v>341</v>
      </c>
      <c r="B15" s="91"/>
      <c r="C15" s="91"/>
      <c r="D15" s="91"/>
      <c r="E15" s="91"/>
      <c r="F15" s="110"/>
      <c r="G15" s="110"/>
      <c r="H15" s="241">
        <v>540.827</v>
      </c>
      <c r="I15" s="230">
        <f>+H15+IS!R71</f>
        <v>830.827</v>
      </c>
      <c r="J15" s="110">
        <f>+I15+IS!W71</f>
        <v>2146.8270000000002</v>
      </c>
      <c r="K15" s="110">
        <f>+J15+IS!AB71</f>
        <v>2146.8270000000002</v>
      </c>
      <c r="L15" s="110">
        <f>+K15+IS!AG71</f>
        <v>3696.8270000000002</v>
      </c>
      <c r="M15" s="110">
        <f>+L15+IS!AL71</f>
        <v>5071.8270000000002</v>
      </c>
      <c r="N15" s="110">
        <f>+M15+IS!AQ71</f>
        <v>5071.8270000000002</v>
      </c>
      <c r="O15" s="110">
        <f>+N15+IS!AU71</f>
        <v>5071.8270000000002</v>
      </c>
      <c r="P15" s="110">
        <f>+O15+IS!AZ71</f>
        <v>5071.8270000000002</v>
      </c>
      <c r="Q15" s="110">
        <f>+P15+IS!BE71</f>
        <v>5071.8270000000002</v>
      </c>
      <c r="R15" s="1313">
        <f>+Q15+IS!BJ71</f>
        <v>5071.8270000000002</v>
      </c>
      <c r="S15" s="110">
        <f>+R15+IS!BP71</f>
        <v>5071.8270000000002</v>
      </c>
      <c r="T15" s="237">
        <f>+S15+IS!BU71</f>
        <v>5071.8270000000002</v>
      </c>
      <c r="U15" s="237">
        <f>+T15+IS!BV71</f>
        <v>5071.8270000000002</v>
      </c>
      <c r="V15" s="237">
        <f>+U15+IS!BW71</f>
        <v>5071.8270000000002</v>
      </c>
      <c r="W15" s="237">
        <f>+V15+IS!BX71</f>
        <v>5071.8270000000002</v>
      </c>
      <c r="X15" s="237">
        <f>+W15+IS!BY71</f>
        <v>5071.8270000000002</v>
      </c>
      <c r="Y15" s="237">
        <f>+X15+IS!BZ71</f>
        <v>5071.8270000000002</v>
      </c>
      <c r="Z15" s="237">
        <f>+Y15+IS!CA71</f>
        <v>5071.8270000000002</v>
      </c>
      <c r="AA15" s="237">
        <f>+Z15+IS!CB71</f>
        <v>5071.8270000000002</v>
      </c>
      <c r="AB15" s="237">
        <f>+AA15+IS!CC71</f>
        <v>5071.8270000000002</v>
      </c>
      <c r="AC15" s="237">
        <f>+AB15+IS!CD71</f>
        <v>5071.8270000000002</v>
      </c>
      <c r="AD15" s="237">
        <f>+AC15+IS!CE71</f>
        <v>5071.8270000000002</v>
      </c>
      <c r="AE15" s="237"/>
      <c r="AF15" s="31"/>
      <c r="AG15" s="31"/>
      <c r="AH15" s="31"/>
      <c r="AI15" s="10"/>
      <c r="AJ15" s="10"/>
    </row>
    <row r="16" spans="1:36">
      <c r="A16" s="1" t="s">
        <v>226</v>
      </c>
      <c r="B16" s="91">
        <v>0.45100000000000001</v>
      </c>
      <c r="C16" s="91">
        <v>-57.832999999999998</v>
      </c>
      <c r="D16" s="91">
        <v>-638.202</v>
      </c>
      <c r="E16" s="91">
        <v>-739.01700000000005</v>
      </c>
      <c r="F16" s="110" t="e">
        <f>IS!G76</f>
        <v>#REF!</v>
      </c>
      <c r="G16" s="110">
        <f>IS!H76</f>
        <v>2.7079999999994016</v>
      </c>
      <c r="H16" s="110" t="e">
        <f>IS!M76</f>
        <v>#REF!</v>
      </c>
      <c r="I16" s="230">
        <v>251.661</v>
      </c>
      <c r="J16" s="110">
        <f>IS!W76</f>
        <v>277.49300000000068</v>
      </c>
      <c r="K16" s="110">
        <f>IS!AB76</f>
        <v>2330.5570000000012</v>
      </c>
      <c r="L16" s="110">
        <f>IS!AG76</f>
        <v>1757.6948750000015</v>
      </c>
      <c r="M16" s="110">
        <f>IS!AL76</f>
        <v>-50.846864999999184</v>
      </c>
      <c r="N16" s="238">
        <f>IS!AQ76-0.012</f>
        <v>474.72672560000007</v>
      </c>
      <c r="O16" s="238">
        <f>IS!AU76</f>
        <v>1297.791904600002</v>
      </c>
      <c r="P16" s="238">
        <f>IS!AZ76</f>
        <v>878.71100000000115</v>
      </c>
      <c r="Q16" s="238">
        <f>IS!BE76</f>
        <v>4986.8289999999997</v>
      </c>
      <c r="R16" s="1331">
        <f>IS!BJ76</f>
        <v>9790.4029999999966</v>
      </c>
      <c r="S16" s="1332">
        <f>IS!BP76</f>
        <v>14429.949999999995</v>
      </c>
      <c r="T16" s="239">
        <f>IS!BU76</f>
        <v>19961.356150690113</v>
      </c>
      <c r="U16" s="239">
        <f>IS!BV76</f>
        <v>25751.39353692353</v>
      </c>
      <c r="V16" s="239">
        <f>IS!BW76</f>
        <v>31317.728271509721</v>
      </c>
      <c r="W16" s="239">
        <f>IS!BX76</f>
        <v>36844.355373783335</v>
      </c>
      <c r="X16" s="239">
        <f>IS!BY76</f>
        <v>41913.862099493017</v>
      </c>
      <c r="Y16" s="239">
        <f>IS!BZ76</f>
        <v>47127.146500518371</v>
      </c>
      <c r="Z16" s="239">
        <f>IS!CA76</f>
        <v>52509.414099818023</v>
      </c>
      <c r="AA16" s="239">
        <f>IS!CB76</f>
        <v>58105.94349736852</v>
      </c>
      <c r="AB16" s="239">
        <f>IS!CC76</f>
        <v>63958.597438872435</v>
      </c>
      <c r="AC16" s="239">
        <f>IS!CD76</f>
        <v>70124.702280768397</v>
      </c>
      <c r="AD16" s="239">
        <f>IS!CE76</f>
        <v>78148.591066127381</v>
      </c>
      <c r="AE16" s="239"/>
      <c r="AF16" s="31"/>
      <c r="AG16" s="31"/>
      <c r="AH16" s="31"/>
      <c r="AI16" s="10"/>
      <c r="AJ16" s="10"/>
    </row>
    <row r="17" spans="1:36">
      <c r="A17" s="1" t="s">
        <v>227</v>
      </c>
      <c r="B17" s="91">
        <f>B10+B7+B16</f>
        <v>3856.4070000000002</v>
      </c>
      <c r="C17" s="91">
        <f>C10+C7+C16</f>
        <v>3798.123</v>
      </c>
      <c r="D17" s="91">
        <f>D10+D7+D16</f>
        <v>3217.7539999999999</v>
      </c>
      <c r="E17" s="91">
        <f>E10+E7+E16</f>
        <v>3609.4660000000003</v>
      </c>
      <c r="F17" s="242" t="e">
        <f>F10+F7+F16</f>
        <v>#REF!</v>
      </c>
      <c r="G17" s="242">
        <f t="shared" ref="G17:Q17" si="8">G10+G7+G16+G8+G9</f>
        <v>3492.6629999999996</v>
      </c>
      <c r="H17" s="243" t="e">
        <f t="shared" si="8"/>
        <v>#REF!</v>
      </c>
      <c r="I17" s="242">
        <f>I10+I7+I16+I8+I9</f>
        <v>6317.0550000000003</v>
      </c>
      <c r="J17" s="242">
        <f t="shared" si="8"/>
        <v>9317.9980000000014</v>
      </c>
      <c r="K17" s="242">
        <f t="shared" si="8"/>
        <v>19268.199000000001</v>
      </c>
      <c r="L17" s="242">
        <f t="shared" si="8"/>
        <v>11054.828000000001</v>
      </c>
      <c r="M17" s="242">
        <f t="shared" si="8"/>
        <v>10621.286260000001</v>
      </c>
      <c r="N17" s="244">
        <f t="shared" si="8"/>
        <v>20918.440850600004</v>
      </c>
      <c r="O17" s="244">
        <f>O10+O7+O16+O8+O9</f>
        <v>27109.262029600002</v>
      </c>
      <c r="P17" s="244">
        <f>P10+P7+P16+P8+P9</f>
        <v>30217.282999999996</v>
      </c>
      <c r="Q17" s="244">
        <f t="shared" si="8"/>
        <v>32930.631999999998</v>
      </c>
      <c r="R17" s="1330">
        <f>R10+R7+R16+R8+R9</f>
        <v>47956.797999999995</v>
      </c>
      <c r="S17" s="244">
        <f>S10+S7+S16+S8+S9</f>
        <v>61516.534999999996</v>
      </c>
      <c r="T17" s="245">
        <f t="shared" ref="T17:AD17" si="9">T10+T7+T16+T8+T9</f>
        <v>67047.941150690109</v>
      </c>
      <c r="U17" s="245">
        <f t="shared" si="9"/>
        <v>72837.978536923532</v>
      </c>
      <c r="V17" s="245">
        <f t="shared" si="9"/>
        <v>78404.313271509716</v>
      </c>
      <c r="W17" s="245">
        <f t="shared" si="9"/>
        <v>83930.940373783335</v>
      </c>
      <c r="X17" s="245">
        <f t="shared" si="9"/>
        <v>89000.447099493016</v>
      </c>
      <c r="Y17" s="245">
        <f t="shared" si="9"/>
        <v>94213.731500518363</v>
      </c>
      <c r="Z17" s="245">
        <f t="shared" si="9"/>
        <v>99595.999099818029</v>
      </c>
      <c r="AA17" s="245">
        <f t="shared" si="9"/>
        <v>105192.52849736852</v>
      </c>
      <c r="AB17" s="245">
        <f t="shared" si="9"/>
        <v>111045.18243887243</v>
      </c>
      <c r="AC17" s="245">
        <f t="shared" si="9"/>
        <v>117211.28728076839</v>
      </c>
      <c r="AD17" s="245">
        <f t="shared" si="9"/>
        <v>125235.17606612737</v>
      </c>
      <c r="AE17" s="245"/>
      <c r="AF17" s="31"/>
      <c r="AG17" s="31"/>
      <c r="AH17" s="31"/>
      <c r="AI17" s="10"/>
      <c r="AJ17" s="10"/>
    </row>
    <row r="18" spans="1:36">
      <c r="A18" s="1" t="s">
        <v>528</v>
      </c>
      <c r="B18" s="91"/>
      <c r="C18" s="91"/>
      <c r="D18" s="91"/>
      <c r="E18" s="91"/>
      <c r="K18" s="246">
        <f>K17/IS!$BA$44</f>
        <v>43.979353107556122</v>
      </c>
      <c r="L18" s="246">
        <f>L17/IS!$BA$44</f>
        <v>25.232466415532581</v>
      </c>
      <c r="M18" s="246">
        <f>M17/IS!$BA$44</f>
        <v>24.24291439407358</v>
      </c>
      <c r="N18" s="246">
        <f>N17/IS!$BA$44</f>
        <v>47.746003486265849</v>
      </c>
      <c r="O18" s="246">
        <f>O17/IS!$BA$44</f>
        <v>61.876452868534415</v>
      </c>
      <c r="P18" s="246">
        <f>P17/IS!$BA$44</f>
        <v>68.970460550462064</v>
      </c>
      <c r="Q18" s="246">
        <f>Q17/IS!$BA$44</f>
        <v>75.163635832440121</v>
      </c>
      <c r="R18" s="444">
        <f>R17/IS!$BA$44</f>
        <v>109.46061711059455</v>
      </c>
      <c r="S18" s="246">
        <f>S17/IS!$BA$44</f>
        <v>140.41049787363804</v>
      </c>
      <c r="T18" s="246">
        <f>T17/IS!$BA$44</f>
        <v>153.03584310089607</v>
      </c>
      <c r="U18" s="246">
        <f>U17/IS!$BA$44</f>
        <v>166.25150994734659</v>
      </c>
      <c r="V18" s="246">
        <f>V17/IS!$BA$44</f>
        <v>178.95657910338036</v>
      </c>
      <c r="W18" s="246">
        <f>W17/IS!$BA$44</f>
        <v>191.57101622979167</v>
      </c>
      <c r="X18" s="246">
        <f>X17/IS!$BA$44</f>
        <v>203.14208347749431</v>
      </c>
      <c r="Y18" s="246">
        <f>Y17/IS!$BA$44</f>
        <v>215.04132094762878</v>
      </c>
      <c r="Z18" s="246">
        <f>Z17/IS!$BA$44</f>
        <v>227.32625983937257</v>
      </c>
      <c r="AA18" s="246">
        <f>AA17/IS!$BA$44</f>
        <v>240.10024782609054</v>
      </c>
      <c r="AB18" s="246">
        <f>AB17/IS!$BA$44</f>
        <v>253.45883594892084</v>
      </c>
      <c r="AC18" s="246">
        <f>AC17/IS!$BA$44</f>
        <v>267.5328706908266</v>
      </c>
      <c r="AD18" s="246">
        <f>AD17/IS!$BA$44</f>
        <v>285.84726728736695</v>
      </c>
      <c r="AE18" s="247"/>
      <c r="AF18" s="31"/>
      <c r="AG18" s="31"/>
      <c r="AH18" s="31"/>
      <c r="AI18" s="10"/>
      <c r="AJ18" s="10"/>
    </row>
    <row r="19" spans="1:36">
      <c r="A19" s="2" t="s">
        <v>230</v>
      </c>
      <c r="B19" s="91"/>
      <c r="C19" s="91"/>
      <c r="D19" s="91"/>
      <c r="E19" s="91"/>
      <c r="H19" s="31"/>
      <c r="L19" s="31"/>
      <c r="M19" s="31"/>
      <c r="N19" s="79">
        <f t="shared" ref="N19:Q19" si="10">(N20+N28+N32)/N17</f>
        <v>0.87044508383987562</v>
      </c>
      <c r="O19" s="79">
        <f t="shared" si="10"/>
        <v>0.62024676221878317</v>
      </c>
      <c r="P19" s="79">
        <f t="shared" si="10"/>
        <v>0.51540461132789483</v>
      </c>
      <c r="Q19" s="79">
        <f t="shared" si="10"/>
        <v>0.41080629731005469</v>
      </c>
      <c r="R19" s="444">
        <f>(R20+R28+R32)/R17</f>
        <v>0.20350626828755333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31"/>
      <c r="AG19" s="31"/>
      <c r="AH19" s="31"/>
      <c r="AI19" s="10"/>
      <c r="AJ19" s="10"/>
    </row>
    <row r="20" spans="1:36">
      <c r="A20" s="1" t="s">
        <v>232</v>
      </c>
      <c r="B20" s="91">
        <v>3128.364</v>
      </c>
      <c r="C20" s="91">
        <v>2889.6709999999998</v>
      </c>
      <c r="D20" s="91">
        <v>2465.1210000000001</v>
      </c>
      <c r="E20" s="91">
        <v>1802.0170000000001</v>
      </c>
      <c r="F20" s="242">
        <v>3627.25</v>
      </c>
      <c r="G20" s="242">
        <v>3522.9749999999999</v>
      </c>
      <c r="H20" s="242">
        <v>2828.5059999999999</v>
      </c>
      <c r="I20" s="248">
        <v>2730.5729999999999</v>
      </c>
      <c r="J20" s="248">
        <v>4899.2240000000002</v>
      </c>
      <c r="K20" s="248">
        <v>7372.4679999999998</v>
      </c>
      <c r="L20" s="242">
        <v>8686.4470000000001</v>
      </c>
      <c r="M20" s="242">
        <v>8411.0509999999995</v>
      </c>
      <c r="N20" s="244">
        <v>4375.8370000000004</v>
      </c>
      <c r="O20" s="244">
        <v>5089.5069999999996</v>
      </c>
      <c r="P20" s="244">
        <v>4880.5789999999997</v>
      </c>
      <c r="Q20" s="244">
        <v>4629.0829999999996</v>
      </c>
      <c r="R20" s="1315">
        <v>2899.1869999999999</v>
      </c>
      <c r="S20" s="244">
        <v>1321.009</v>
      </c>
      <c r="T20" s="245">
        <f>Sheet1!I226</f>
        <v>669.66814916396106</v>
      </c>
      <c r="U20" s="245">
        <f>Sheet1!J226</f>
        <v>0</v>
      </c>
      <c r="V20" s="245">
        <f>Sheet1!K226</f>
        <v>0</v>
      </c>
      <c r="W20" s="245">
        <f>Sheet1!L224</f>
        <v>0</v>
      </c>
      <c r="X20" s="245"/>
      <c r="Y20" s="245"/>
      <c r="Z20" s="245"/>
      <c r="AA20" s="245"/>
      <c r="AB20" s="245"/>
      <c r="AC20" s="245"/>
      <c r="AD20" s="245"/>
      <c r="AE20" s="245"/>
      <c r="AF20" s="10"/>
      <c r="AG20" s="10"/>
      <c r="AH20" s="10"/>
      <c r="AI20" s="10"/>
      <c r="AJ20" s="10"/>
    </row>
    <row r="21" spans="1:36">
      <c r="A21" s="1" t="s">
        <v>233</v>
      </c>
      <c r="B21" s="91">
        <v>106.636</v>
      </c>
      <c r="C21" s="91">
        <v>118.96599999999999</v>
      </c>
      <c r="D21" s="91">
        <v>73.875</v>
      </c>
      <c r="E21" s="91">
        <v>10.311999999999999</v>
      </c>
      <c r="F21" s="242">
        <v>6.1909999999999998</v>
      </c>
      <c r="G21" s="242">
        <v>75.355000000000004</v>
      </c>
      <c r="H21" s="242" t="e">
        <f>+#REF!</f>
        <v>#REF!</v>
      </c>
      <c r="I21" s="242">
        <v>83.486999999999995</v>
      </c>
      <c r="J21" s="242">
        <v>131.98500000000001</v>
      </c>
      <c r="K21" s="242">
        <v>28.885999999999996</v>
      </c>
      <c r="L21" s="242">
        <v>1.1411799999999996</v>
      </c>
      <c r="M21" s="242">
        <v>0</v>
      </c>
      <c r="N21" s="244"/>
      <c r="O21" s="244"/>
      <c r="P21" s="244"/>
      <c r="Q21" s="244"/>
      <c r="R21" s="1315"/>
      <c r="S21" s="244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245"/>
      <c r="AF21" s="10"/>
      <c r="AG21" s="10"/>
      <c r="AH21" s="10"/>
      <c r="AI21" s="10"/>
      <c r="AJ21" s="10"/>
    </row>
    <row r="22" spans="1:36">
      <c r="A22" s="1" t="s">
        <v>234</v>
      </c>
      <c r="B22" s="91">
        <v>22.257999999999999</v>
      </c>
      <c r="C22" s="91">
        <v>16.361999999999998</v>
      </c>
      <c r="D22" s="91">
        <v>19.225999999999999</v>
      </c>
      <c r="E22" s="91">
        <v>23.021999999999998</v>
      </c>
      <c r="F22" s="242">
        <v>28.14</v>
      </c>
      <c r="G22" s="242">
        <v>28.667000000000002</v>
      </c>
      <c r="H22" s="242">
        <v>33.825000000000003</v>
      </c>
      <c r="I22" s="242">
        <f>138+38.15</f>
        <v>176.15</v>
      </c>
      <c r="J22" s="242">
        <f>537+45.765</f>
        <v>582.76499999999999</v>
      </c>
      <c r="K22" s="242">
        <f>1559+26.572</f>
        <v>1585.5719999999999</v>
      </c>
      <c r="L22" s="242">
        <f>1624+39.862</f>
        <v>1663.8620000000001</v>
      </c>
      <c r="M22" s="242">
        <f>1319+54.018</f>
        <v>1373.018</v>
      </c>
      <c r="N22" s="242">
        <f>1441.576+78.622</f>
        <v>1520.1980000000001</v>
      </c>
      <c r="O22" s="242">
        <f>1465.96+104.029</f>
        <v>1569.989</v>
      </c>
      <c r="P22" s="242">
        <f>1707.886+139.213</f>
        <v>1847.0989999999999</v>
      </c>
      <c r="Q22" s="242">
        <f>1666.069+185.116</f>
        <v>1851.1849999999999</v>
      </c>
      <c r="R22" s="1316">
        <f>153.02+3144.738</f>
        <v>3297.7579999999998</v>
      </c>
      <c r="S22" s="1319">
        <f>200.187+4234.805</f>
        <v>4434.9920000000002</v>
      </c>
      <c r="T22" s="815">
        <f t="shared" ref="T22:AD22" si="11">S22</f>
        <v>4434.9920000000002</v>
      </c>
      <c r="U22" s="815">
        <f t="shared" si="11"/>
        <v>4434.9920000000002</v>
      </c>
      <c r="V22" s="815">
        <f t="shared" si="11"/>
        <v>4434.9920000000002</v>
      </c>
      <c r="W22" s="815">
        <f t="shared" si="11"/>
        <v>4434.9920000000002</v>
      </c>
      <c r="X22" s="815">
        <f t="shared" si="11"/>
        <v>4434.9920000000002</v>
      </c>
      <c r="Y22" s="815">
        <f t="shared" si="11"/>
        <v>4434.9920000000002</v>
      </c>
      <c r="Z22" s="815">
        <f t="shared" si="11"/>
        <v>4434.9920000000002</v>
      </c>
      <c r="AA22" s="815">
        <f t="shared" si="11"/>
        <v>4434.9920000000002</v>
      </c>
      <c r="AB22" s="815">
        <f t="shared" si="11"/>
        <v>4434.9920000000002</v>
      </c>
      <c r="AC22" s="815">
        <f t="shared" si="11"/>
        <v>4434.9920000000002</v>
      </c>
      <c r="AD22" s="815">
        <f t="shared" si="11"/>
        <v>4434.9920000000002</v>
      </c>
      <c r="AE22" s="249"/>
      <c r="AF22" s="10"/>
      <c r="AG22" s="10"/>
      <c r="AH22" s="10"/>
      <c r="AI22" s="10"/>
      <c r="AJ22" s="10"/>
    </row>
    <row r="23" spans="1:36">
      <c r="A23" s="1" t="s">
        <v>235</v>
      </c>
      <c r="B23" s="91">
        <v>31.558</v>
      </c>
      <c r="C23" s="91">
        <v>24.132999999999999</v>
      </c>
      <c r="D23" s="91">
        <v>23.651</v>
      </c>
      <c r="E23" s="91">
        <v>22.742000000000001</v>
      </c>
      <c r="F23" s="242">
        <v>20.167999999999999</v>
      </c>
      <c r="G23" s="242">
        <v>163.00700000000001</v>
      </c>
      <c r="H23" s="242">
        <v>18.222999999999999</v>
      </c>
      <c r="I23" s="248">
        <v>30.364999999999998</v>
      </c>
      <c r="J23" s="242">
        <v>28.673999999999999</v>
      </c>
      <c r="K23" s="242">
        <v>33.814</v>
      </c>
      <c r="L23" s="242">
        <v>79.466999999999999</v>
      </c>
      <c r="M23" s="242">
        <v>73.89</v>
      </c>
      <c r="N23" s="242">
        <v>73.765000000000001</v>
      </c>
      <c r="O23" s="242">
        <v>81.138000000000005</v>
      </c>
      <c r="P23" s="242">
        <v>70.893000000000001</v>
      </c>
      <c r="Q23" s="242">
        <v>68.355000000000004</v>
      </c>
      <c r="R23" s="243">
        <v>65.382999999999996</v>
      </c>
      <c r="S23" s="242">
        <v>68.97</v>
      </c>
      <c r="T23" s="249">
        <f>S23</f>
        <v>68.97</v>
      </c>
      <c r="U23" s="249">
        <f t="shared" ref="U23:AD23" si="12">+T23</f>
        <v>68.97</v>
      </c>
      <c r="V23" s="249">
        <f t="shared" si="12"/>
        <v>68.97</v>
      </c>
      <c r="W23" s="249">
        <f t="shared" si="12"/>
        <v>68.97</v>
      </c>
      <c r="X23" s="249">
        <f t="shared" si="12"/>
        <v>68.97</v>
      </c>
      <c r="Y23" s="249">
        <f t="shared" si="12"/>
        <v>68.97</v>
      </c>
      <c r="Z23" s="249">
        <f t="shared" si="12"/>
        <v>68.97</v>
      </c>
      <c r="AA23" s="249">
        <f t="shared" si="12"/>
        <v>68.97</v>
      </c>
      <c r="AB23" s="249">
        <f t="shared" si="12"/>
        <v>68.97</v>
      </c>
      <c r="AC23" s="249">
        <f t="shared" si="12"/>
        <v>68.97</v>
      </c>
      <c r="AD23" s="249">
        <f t="shared" si="12"/>
        <v>68.97</v>
      </c>
      <c r="AE23" s="249"/>
      <c r="AF23" s="10"/>
      <c r="AG23" s="10"/>
      <c r="AH23" s="10"/>
      <c r="AI23" s="10"/>
      <c r="AJ23" s="10"/>
    </row>
    <row r="24" spans="1:36">
      <c r="A24" s="1" t="s">
        <v>25</v>
      </c>
      <c r="B24" s="91">
        <f t="shared" ref="B24:J24" si="13">SUM(B20:B23)</f>
        <v>3288.8159999999998</v>
      </c>
      <c r="C24" s="91">
        <f t="shared" si="13"/>
        <v>3049.1319999999996</v>
      </c>
      <c r="D24" s="91">
        <f t="shared" si="13"/>
        <v>2581.873</v>
      </c>
      <c r="E24" s="91">
        <f t="shared" si="13"/>
        <v>1858.0929999999998</v>
      </c>
      <c r="F24" s="242">
        <f t="shared" si="13"/>
        <v>3681.7489999999998</v>
      </c>
      <c r="G24" s="242">
        <f t="shared" si="13"/>
        <v>3790.0039999999999</v>
      </c>
      <c r="H24" s="242" t="e">
        <f t="shared" si="13"/>
        <v>#REF!</v>
      </c>
      <c r="I24" s="248">
        <f t="shared" si="13"/>
        <v>3020.5749999999998</v>
      </c>
      <c r="J24" s="242">
        <f t="shared" si="13"/>
        <v>5642.6480000000001</v>
      </c>
      <c r="K24" s="242">
        <f t="shared" ref="K24:S24" si="14">SUM(K20:K23)</f>
        <v>9020.74</v>
      </c>
      <c r="L24" s="242">
        <f t="shared" si="14"/>
        <v>10430.91718</v>
      </c>
      <c r="M24" s="242">
        <f t="shared" si="14"/>
        <v>9857.9589999999989</v>
      </c>
      <c r="N24" s="244">
        <f t="shared" si="14"/>
        <v>5969.8000000000011</v>
      </c>
      <c r="O24" s="244">
        <f t="shared" si="14"/>
        <v>6740.6339999999991</v>
      </c>
      <c r="P24" s="244">
        <f t="shared" si="14"/>
        <v>6798.5709999999999</v>
      </c>
      <c r="Q24" s="244">
        <f t="shared" si="14"/>
        <v>6548.6229999999996</v>
      </c>
      <c r="R24" s="1330">
        <f t="shared" si="14"/>
        <v>6262.3279999999995</v>
      </c>
      <c r="S24" s="1327">
        <f t="shared" si="14"/>
        <v>5824.9710000000005</v>
      </c>
      <c r="T24" s="245">
        <f t="shared" ref="T24:AD24" si="15">SUM(T20:T23)</f>
        <v>5173.6301491639615</v>
      </c>
      <c r="U24" s="245">
        <f t="shared" si="15"/>
        <v>4503.9620000000004</v>
      </c>
      <c r="V24" s="245">
        <f t="shared" si="15"/>
        <v>4503.9620000000004</v>
      </c>
      <c r="W24" s="245">
        <f t="shared" si="15"/>
        <v>4503.9620000000004</v>
      </c>
      <c r="X24" s="245">
        <f t="shared" si="15"/>
        <v>4503.9620000000004</v>
      </c>
      <c r="Y24" s="245">
        <f t="shared" si="15"/>
        <v>4503.9620000000004</v>
      </c>
      <c r="Z24" s="245">
        <f t="shared" si="15"/>
        <v>4503.9620000000004</v>
      </c>
      <c r="AA24" s="245">
        <f t="shared" si="15"/>
        <v>4503.9620000000004</v>
      </c>
      <c r="AB24" s="245">
        <f t="shared" si="15"/>
        <v>4503.9620000000004</v>
      </c>
      <c r="AC24" s="245">
        <f t="shared" si="15"/>
        <v>4503.9620000000004</v>
      </c>
      <c r="AD24" s="245">
        <f t="shared" si="15"/>
        <v>4503.9620000000004</v>
      </c>
      <c r="AE24" s="245"/>
      <c r="AF24" s="10"/>
      <c r="AG24" s="10"/>
      <c r="AH24" s="10"/>
      <c r="AI24" s="10"/>
      <c r="AJ24" s="10"/>
    </row>
    <row r="25" spans="1:36">
      <c r="B25" s="91"/>
      <c r="C25" s="91"/>
      <c r="D25" s="91"/>
      <c r="E25" s="91"/>
      <c r="F25" s="242"/>
      <c r="G25" s="242"/>
      <c r="H25" s="242"/>
      <c r="M25" s="45"/>
      <c r="R25" s="44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10"/>
      <c r="AG25" s="10"/>
      <c r="AH25" s="10"/>
      <c r="AI25" s="10"/>
      <c r="AJ25" s="10"/>
    </row>
    <row r="26" spans="1:36">
      <c r="B26" s="91"/>
      <c r="C26" s="91"/>
      <c r="D26" s="91"/>
      <c r="E26" s="91"/>
      <c r="F26" s="242"/>
      <c r="G26" s="242"/>
      <c r="H26" s="242"/>
      <c r="L26" s="31"/>
      <c r="R26" s="44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10"/>
      <c r="AG26" s="10"/>
      <c r="AH26" s="10"/>
      <c r="AI26" s="10"/>
      <c r="AJ26" s="10"/>
    </row>
    <row r="27" spans="1:36">
      <c r="A27" s="2" t="s">
        <v>236</v>
      </c>
      <c r="B27" s="91"/>
      <c r="C27" s="91"/>
      <c r="D27" s="91"/>
      <c r="E27" s="91"/>
      <c r="F27" s="242"/>
      <c r="G27" s="242"/>
      <c r="H27" s="242"/>
      <c r="R27" s="44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10"/>
      <c r="AG27" s="10"/>
      <c r="AH27" s="10"/>
      <c r="AI27" s="10"/>
      <c r="AJ27" s="10"/>
    </row>
    <row r="28" spans="1:36">
      <c r="A28" s="1" t="s">
        <v>237</v>
      </c>
      <c r="B28" s="91">
        <v>50.436</v>
      </c>
      <c r="C28" s="91">
        <v>730.05899999999997</v>
      </c>
      <c r="D28" s="91">
        <v>1531.25</v>
      </c>
      <c r="E28" s="91">
        <v>1839.8409999999999</v>
      </c>
      <c r="F28" s="242">
        <v>675.4</v>
      </c>
      <c r="G28" s="242">
        <v>589.64400000000001</v>
      </c>
      <c r="H28" s="242" t="e">
        <f>+ROUND(#REF!,3)</f>
        <v>#REF!</v>
      </c>
      <c r="I28" s="242">
        <v>487.25400000000002</v>
      </c>
      <c r="J28" s="242">
        <v>511.42899999999997</v>
      </c>
      <c r="K28" s="242">
        <v>1481.3030000000001</v>
      </c>
      <c r="L28" s="242">
        <v>2042.2810032467532</v>
      </c>
      <c r="M28" s="242">
        <v>2687.6080000000002</v>
      </c>
      <c r="N28" s="244">
        <v>4763.942</v>
      </c>
      <c r="O28" s="244">
        <v>2139.2829999999999</v>
      </c>
      <c r="P28" s="244">
        <v>2001.566</v>
      </c>
      <c r="Q28" s="244">
        <v>2165.5610000000001</v>
      </c>
      <c r="R28" s="1315">
        <v>1440.0319999999999</v>
      </c>
      <c r="S28" s="244">
        <v>803.17399999999998</v>
      </c>
      <c r="T28" s="245">
        <f>Sheet1!I225</f>
        <v>785.39661982954544</v>
      </c>
      <c r="U28" s="245">
        <f>Sheet1!J225</f>
        <v>669.66814916396106</v>
      </c>
      <c r="V28" s="245">
        <f>Sheet1!K225</f>
        <v>0</v>
      </c>
      <c r="W28" s="245">
        <f>Sheet1!L225</f>
        <v>0</v>
      </c>
      <c r="X28" s="245"/>
      <c r="Y28" s="245"/>
      <c r="Z28" s="245"/>
      <c r="AA28" s="245"/>
      <c r="AB28" s="245"/>
      <c r="AC28" s="245"/>
      <c r="AD28" s="245"/>
      <c r="AE28" s="245"/>
      <c r="AF28" s="10"/>
      <c r="AG28" s="10"/>
      <c r="AH28" s="10"/>
      <c r="AI28" s="10"/>
      <c r="AJ28" s="10"/>
    </row>
    <row r="29" spans="1:36">
      <c r="A29" s="1" t="s">
        <v>238</v>
      </c>
      <c r="B29" s="91">
        <v>47.005000000000003</v>
      </c>
      <c r="C29" s="91">
        <v>64.042000000000002</v>
      </c>
      <c r="D29" s="91">
        <v>45.091000000000001</v>
      </c>
      <c r="E29" s="91">
        <v>133.87899999999999</v>
      </c>
      <c r="F29" s="242">
        <v>6.694</v>
      </c>
      <c r="G29" s="242">
        <v>17.170000000000002</v>
      </c>
      <c r="H29" s="242" t="e">
        <f>+#REF!</f>
        <v>#REF!</v>
      </c>
      <c r="I29" s="242">
        <v>0</v>
      </c>
      <c r="J29" s="242">
        <v>88.245999999999995</v>
      </c>
      <c r="K29" s="242">
        <v>94.775000000000006</v>
      </c>
      <c r="L29" s="242">
        <v>0</v>
      </c>
      <c r="M29" s="242"/>
      <c r="N29" s="244"/>
      <c r="O29" s="244"/>
      <c r="P29" s="244"/>
      <c r="Q29" s="244"/>
      <c r="R29" s="1315"/>
      <c r="S29" s="244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45"/>
      <c r="AE29" s="245"/>
      <c r="AF29" s="10"/>
      <c r="AG29" s="10"/>
      <c r="AH29" s="10"/>
      <c r="AI29" s="10"/>
      <c r="AJ29" s="10"/>
    </row>
    <row r="30" spans="1:36">
      <c r="A30" s="1" t="s">
        <v>336</v>
      </c>
      <c r="B30" s="91"/>
      <c r="C30" s="91"/>
      <c r="D30" s="91"/>
      <c r="E30" s="91"/>
      <c r="F30" s="242"/>
      <c r="G30" s="242"/>
      <c r="H30" s="242"/>
      <c r="I30" s="248"/>
      <c r="J30" s="242">
        <v>0</v>
      </c>
      <c r="K30" s="242">
        <v>42.948</v>
      </c>
      <c r="L30" s="242">
        <v>0</v>
      </c>
      <c r="M30" s="242">
        <v>0</v>
      </c>
      <c r="N30" s="244">
        <v>0</v>
      </c>
      <c r="O30" s="244">
        <v>0</v>
      </c>
      <c r="P30" s="244">
        <v>0</v>
      </c>
      <c r="Q30" s="244">
        <v>0</v>
      </c>
      <c r="R30" s="1315">
        <v>0</v>
      </c>
      <c r="S30" s="244">
        <v>0</v>
      </c>
      <c r="T30" s="245">
        <v>0</v>
      </c>
      <c r="U30" s="245">
        <v>0</v>
      </c>
      <c r="V30" s="245">
        <v>0</v>
      </c>
      <c r="W30" s="245">
        <v>0</v>
      </c>
      <c r="X30" s="245">
        <v>0</v>
      </c>
      <c r="Y30" s="245">
        <v>0</v>
      </c>
      <c r="Z30" s="245">
        <v>0</v>
      </c>
      <c r="AA30" s="245">
        <v>0</v>
      </c>
      <c r="AB30" s="245">
        <v>0</v>
      </c>
      <c r="AC30" s="245">
        <v>0</v>
      </c>
      <c r="AD30" s="245">
        <v>0</v>
      </c>
      <c r="AE30" s="245"/>
      <c r="AF30" s="10"/>
      <c r="AG30" s="10"/>
      <c r="AH30" s="10"/>
      <c r="AI30" s="10"/>
      <c r="AJ30" s="10"/>
    </row>
    <row r="31" spans="1:36">
      <c r="A31" s="1" t="s">
        <v>239</v>
      </c>
      <c r="B31" s="91"/>
      <c r="C31" s="91"/>
      <c r="D31" s="91"/>
      <c r="E31" s="91"/>
      <c r="F31" s="242"/>
      <c r="G31" s="242">
        <v>22.928999999999998</v>
      </c>
      <c r="H31" s="242">
        <v>0</v>
      </c>
      <c r="I31" s="242">
        <f>+H31</f>
        <v>0</v>
      </c>
      <c r="J31" s="242">
        <f>+I31</f>
        <v>0</v>
      </c>
      <c r="K31" s="242">
        <f>+J31</f>
        <v>0</v>
      </c>
      <c r="L31" s="242"/>
      <c r="M31" s="242"/>
      <c r="N31" s="244"/>
      <c r="O31" s="244"/>
      <c r="P31" s="244"/>
      <c r="Q31" s="244"/>
      <c r="R31" s="1315"/>
      <c r="S31" s="244"/>
      <c r="T31" s="245"/>
      <c r="U31" s="245"/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10"/>
      <c r="AG31" s="10"/>
      <c r="AH31" s="10"/>
      <c r="AI31" s="10"/>
      <c r="AJ31" s="10"/>
    </row>
    <row r="32" spans="1:36">
      <c r="A32" s="1" t="s">
        <v>240</v>
      </c>
      <c r="B32" s="91">
        <v>260.25400000000002</v>
      </c>
      <c r="C32" s="91">
        <v>634.07299999999998</v>
      </c>
      <c r="D32" s="91">
        <v>605.65499999999997</v>
      </c>
      <c r="E32" s="91">
        <v>698.50099999999998</v>
      </c>
      <c r="F32" s="242">
        <v>561.17499999999995</v>
      </c>
      <c r="G32" s="242">
        <v>173.33600000000001</v>
      </c>
      <c r="H32" s="242" t="e">
        <f>+#REF!</f>
        <v>#REF!</v>
      </c>
      <c r="I32" s="242">
        <v>1360.6769999999999</v>
      </c>
      <c r="J32" s="242">
        <v>960.62</v>
      </c>
      <c r="K32" s="242">
        <v>2613.6950000000002</v>
      </c>
      <c r="L32" s="242">
        <v>3942.9720000000002</v>
      </c>
      <c r="M32" s="242">
        <v>7597.02</v>
      </c>
      <c r="N32" s="242">
        <v>9068.5750000000007</v>
      </c>
      <c r="O32" s="242">
        <v>9585.6419999999998</v>
      </c>
      <c r="P32" s="242">
        <v>8691.982</v>
      </c>
      <c r="Q32" s="242">
        <v>6733.4669999999996</v>
      </c>
      <c r="R32" s="243">
        <v>5420.29</v>
      </c>
      <c r="S32" s="242">
        <v>2551.6759999999999</v>
      </c>
      <c r="T32" s="249">
        <f>Sheet1!I228</f>
        <v>3000</v>
      </c>
      <c r="U32" s="249">
        <f>Sheet1!J228</f>
        <v>3000</v>
      </c>
      <c r="V32" s="249">
        <f>Sheet1!K228</f>
        <v>3000</v>
      </c>
      <c r="W32" s="249">
        <f>V32</f>
        <v>3000</v>
      </c>
      <c r="X32" s="249">
        <f t="shared" ref="X32:AD32" si="16">W32</f>
        <v>3000</v>
      </c>
      <c r="Y32" s="249">
        <f t="shared" si="16"/>
        <v>3000</v>
      </c>
      <c r="Z32" s="249">
        <f t="shared" si="16"/>
        <v>3000</v>
      </c>
      <c r="AA32" s="249">
        <f t="shared" si="16"/>
        <v>3000</v>
      </c>
      <c r="AB32" s="249">
        <f t="shared" si="16"/>
        <v>3000</v>
      </c>
      <c r="AC32" s="249">
        <f t="shared" si="16"/>
        <v>3000</v>
      </c>
      <c r="AD32" s="249">
        <f t="shared" si="16"/>
        <v>3000</v>
      </c>
      <c r="AE32" s="249"/>
      <c r="AF32" s="10"/>
      <c r="AG32" s="10"/>
      <c r="AH32" s="10"/>
      <c r="AI32" s="10"/>
      <c r="AJ32" s="10"/>
    </row>
    <row r="33" spans="1:36">
      <c r="A33" s="1" t="s">
        <v>241</v>
      </c>
      <c r="B33" s="91">
        <v>555.82000000000005</v>
      </c>
      <c r="C33" s="91">
        <v>738.14599999999996</v>
      </c>
      <c r="D33" s="91">
        <v>783.59400000000005</v>
      </c>
      <c r="E33" s="91">
        <v>545.91399999999999</v>
      </c>
      <c r="F33" s="242">
        <v>591.88</v>
      </c>
      <c r="G33" s="242">
        <v>553.15599999999995</v>
      </c>
      <c r="H33" s="242">
        <v>442.69200000000001</v>
      </c>
      <c r="I33" s="248">
        <v>493.96800000000002</v>
      </c>
      <c r="J33" s="242">
        <v>1154.4259999999999</v>
      </c>
      <c r="K33" s="242">
        <v>1747.626</v>
      </c>
      <c r="L33" s="242">
        <f>1027.274+342.612</f>
        <v>1369.886</v>
      </c>
      <c r="M33" s="242">
        <f>1370.336+364.664</f>
        <v>1735</v>
      </c>
      <c r="N33" s="242">
        <f>1435.42+531.772</f>
        <v>1967.192</v>
      </c>
      <c r="O33" s="242">
        <f>1679.749+346.425</f>
        <v>2026.174</v>
      </c>
      <c r="P33" s="242">
        <f>1674.226+284.511</f>
        <v>1958.7370000000001</v>
      </c>
      <c r="Q33" s="242">
        <v>2108.8939999999998</v>
      </c>
      <c r="R33" s="243">
        <v>2286.3510000000001</v>
      </c>
      <c r="S33" s="242">
        <v>2476.3040000000001</v>
      </c>
      <c r="T33" s="249">
        <f>+IS!BU12*BS!T93/365</f>
        <v>2795.009816618579</v>
      </c>
      <c r="U33" s="249">
        <f>+IS!BV12*BS!U93/365</f>
        <v>2997.8380758682347</v>
      </c>
      <c r="V33" s="249">
        <f>+IS!BW12*BS!V93/365</f>
        <v>3137.1273113531392</v>
      </c>
      <c r="W33" s="249">
        <f>+IS!BX12*BS!W93/365</f>
        <v>3274.4728973127872</v>
      </c>
      <c r="X33" s="249">
        <f>+IS!BY12*BS!X93/365</f>
        <v>3417.6565401485918</v>
      </c>
      <c r="Y33" s="249">
        <f>+IS!BZ12*BS!Y93/365</f>
        <v>3566.9284170572741</v>
      </c>
      <c r="Z33" s="249">
        <f>+IS!CA12*BS!Z93/365</f>
        <v>3722.5495116644929</v>
      </c>
      <c r="AA33" s="249">
        <f>+IS!CB12*BS!AA93/365</f>
        <v>3884.7920842447579</v>
      </c>
      <c r="AB33" s="249">
        <f>+IS!CC12*BS!AB93/365</f>
        <v>4053.9401625280179</v>
      </c>
      <c r="AC33" s="249">
        <f>+IS!CD12*BS!AC93/365</f>
        <v>4230.290053998061</v>
      </c>
      <c r="AD33" s="249">
        <f>+IS!CE12*BS!AD93/365</f>
        <v>4414.1508806277579</v>
      </c>
      <c r="AE33" s="249"/>
      <c r="AF33" s="10"/>
      <c r="AG33" s="10"/>
      <c r="AH33" s="10"/>
      <c r="AI33" s="10"/>
      <c r="AJ33" s="10"/>
    </row>
    <row r="34" spans="1:36">
      <c r="A34" s="1" t="s">
        <v>242</v>
      </c>
      <c r="B34" s="91">
        <v>43.598999999999997</v>
      </c>
      <c r="C34" s="91">
        <v>35.090000000000003</v>
      </c>
      <c r="D34" s="91">
        <v>35.090000000000003</v>
      </c>
      <c r="E34" s="91">
        <v>35.090000000000003</v>
      </c>
      <c r="F34" s="242">
        <v>35.090000000000003</v>
      </c>
      <c r="G34" s="242">
        <v>35.090000000000003</v>
      </c>
      <c r="H34" s="242">
        <v>35.090000000000003</v>
      </c>
      <c r="I34" s="248">
        <v>35.090000000000003</v>
      </c>
      <c r="J34" s="242">
        <v>35.090000000000003</v>
      </c>
      <c r="K34" s="242">
        <v>35.090000000000003</v>
      </c>
      <c r="L34" s="242">
        <f>+K34</f>
        <v>35.090000000000003</v>
      </c>
      <c r="M34" s="242">
        <f>+L34</f>
        <v>35.090000000000003</v>
      </c>
      <c r="N34" s="242">
        <f>+M34</f>
        <v>35.090000000000003</v>
      </c>
      <c r="O34" s="242">
        <f>+N34</f>
        <v>35.090000000000003</v>
      </c>
      <c r="P34" s="242">
        <f>O34</f>
        <v>35.090000000000003</v>
      </c>
      <c r="Q34" s="242">
        <f>+P34+162.931</f>
        <v>198.02100000000002</v>
      </c>
      <c r="R34" s="243">
        <f>35.09+125.83</f>
        <v>160.92000000000002</v>
      </c>
      <c r="S34" s="242">
        <f>35.09+59.417</f>
        <v>94.507000000000005</v>
      </c>
      <c r="T34" s="249">
        <f t="shared" ref="T34:AD34" si="17">+S34</f>
        <v>94.507000000000005</v>
      </c>
      <c r="U34" s="249">
        <f t="shared" si="17"/>
        <v>94.507000000000005</v>
      </c>
      <c r="V34" s="249">
        <f t="shared" si="17"/>
        <v>94.507000000000005</v>
      </c>
      <c r="W34" s="249">
        <f t="shared" si="17"/>
        <v>94.507000000000005</v>
      </c>
      <c r="X34" s="249">
        <f t="shared" si="17"/>
        <v>94.507000000000005</v>
      </c>
      <c r="Y34" s="249">
        <f t="shared" si="17"/>
        <v>94.507000000000005</v>
      </c>
      <c r="Z34" s="249">
        <f t="shared" si="17"/>
        <v>94.507000000000005</v>
      </c>
      <c r="AA34" s="249">
        <f t="shared" si="17"/>
        <v>94.507000000000005</v>
      </c>
      <c r="AB34" s="249">
        <f t="shared" si="17"/>
        <v>94.507000000000005</v>
      </c>
      <c r="AC34" s="249">
        <f t="shared" si="17"/>
        <v>94.507000000000005</v>
      </c>
      <c r="AD34" s="249">
        <f t="shared" si="17"/>
        <v>94.507000000000005</v>
      </c>
      <c r="AE34" s="249"/>
      <c r="AF34" s="10"/>
      <c r="AG34" s="10"/>
      <c r="AH34" s="10"/>
      <c r="AI34" s="10"/>
      <c r="AJ34" s="10"/>
    </row>
    <row r="35" spans="1:36">
      <c r="A35" s="1" t="s">
        <v>337</v>
      </c>
      <c r="B35" s="91"/>
      <c r="C35" s="91"/>
      <c r="D35" s="91"/>
      <c r="E35" s="91"/>
      <c r="F35" s="242"/>
      <c r="G35" s="242"/>
      <c r="H35" s="242"/>
      <c r="I35" s="248"/>
      <c r="J35" s="242">
        <v>306.048</v>
      </c>
      <c r="K35" s="242"/>
      <c r="L35" s="250"/>
      <c r="M35" s="250"/>
      <c r="N35" s="250"/>
      <c r="O35" s="250"/>
      <c r="P35" s="250"/>
      <c r="Q35" s="250"/>
      <c r="R35" s="1317"/>
      <c r="S35" s="250">
        <v>14.901999999999999</v>
      </c>
      <c r="T35" s="251"/>
      <c r="U35" s="251"/>
      <c r="V35" s="251"/>
      <c r="W35" s="251"/>
      <c r="X35" s="251"/>
      <c r="Y35" s="251"/>
      <c r="Z35" s="251"/>
      <c r="AA35" s="251"/>
      <c r="AB35" s="251"/>
      <c r="AC35" s="251"/>
      <c r="AD35" s="251"/>
      <c r="AE35" s="251"/>
      <c r="AF35" s="10"/>
      <c r="AG35" s="10"/>
      <c r="AH35" s="10"/>
      <c r="AI35" s="10"/>
      <c r="AJ35" s="10"/>
    </row>
    <row r="36" spans="1:36">
      <c r="A36" s="1" t="s">
        <v>243</v>
      </c>
      <c r="B36" s="91">
        <v>0.39200000000000002</v>
      </c>
      <c r="C36" s="91">
        <v>0.38600000000000001</v>
      </c>
      <c r="D36" s="91">
        <v>0</v>
      </c>
      <c r="E36" s="91">
        <v>0</v>
      </c>
      <c r="F36" s="242">
        <v>0</v>
      </c>
      <c r="G36" s="242">
        <v>0</v>
      </c>
      <c r="H36" s="242">
        <f>7.07+167.631</f>
        <v>174.70099999999999</v>
      </c>
      <c r="I36" s="242"/>
      <c r="J36" s="242">
        <v>0</v>
      </c>
      <c r="K36" s="242">
        <v>0</v>
      </c>
      <c r="L36" s="242">
        <v>0</v>
      </c>
      <c r="M36" s="242">
        <v>0</v>
      </c>
      <c r="N36" s="244">
        <v>0</v>
      </c>
      <c r="O36" s="244">
        <v>0</v>
      </c>
      <c r="P36" s="244">
        <v>0</v>
      </c>
      <c r="Q36" s="244">
        <v>0</v>
      </c>
      <c r="R36" s="1315">
        <v>0</v>
      </c>
      <c r="S36" s="244">
        <v>0</v>
      </c>
      <c r="T36" s="245">
        <v>0</v>
      </c>
      <c r="U36" s="245">
        <v>0</v>
      </c>
      <c r="V36" s="245">
        <v>0</v>
      </c>
      <c r="W36" s="245">
        <v>0</v>
      </c>
      <c r="X36" s="245">
        <v>0</v>
      </c>
      <c r="Y36" s="245">
        <v>0</v>
      </c>
      <c r="Z36" s="245">
        <v>0</v>
      </c>
      <c r="AA36" s="245">
        <v>0</v>
      </c>
      <c r="AB36" s="245">
        <v>0</v>
      </c>
      <c r="AC36" s="245">
        <v>0</v>
      </c>
      <c r="AD36" s="245">
        <v>0</v>
      </c>
      <c r="AE36" s="245"/>
      <c r="AF36" s="10"/>
      <c r="AG36" s="10"/>
      <c r="AH36" s="10"/>
      <c r="AI36" s="10"/>
      <c r="AJ36" s="10"/>
    </row>
    <row r="37" spans="1:36">
      <c r="A37" s="1" t="s">
        <v>244</v>
      </c>
      <c r="B37" s="91">
        <f t="shared" ref="B37:J37" si="18">SUM(B28:B36)</f>
        <v>957.5060000000002</v>
      </c>
      <c r="C37" s="91">
        <f t="shared" si="18"/>
        <v>2201.7959999999998</v>
      </c>
      <c r="D37" s="91">
        <f t="shared" si="18"/>
        <v>3000.6800000000003</v>
      </c>
      <c r="E37" s="91">
        <f t="shared" si="18"/>
        <v>3253.2249999999995</v>
      </c>
      <c r="F37" s="242">
        <f t="shared" si="18"/>
        <v>1870.2389999999998</v>
      </c>
      <c r="G37" s="242">
        <f t="shared" si="18"/>
        <v>1391.3249999999998</v>
      </c>
      <c r="H37" s="242" t="e">
        <f t="shared" si="18"/>
        <v>#REF!</v>
      </c>
      <c r="I37" s="248">
        <f>SUM(I28:I36)</f>
        <v>2376.989</v>
      </c>
      <c r="J37" s="242">
        <f t="shared" si="18"/>
        <v>3055.8590000000004</v>
      </c>
      <c r="K37" s="242">
        <f t="shared" ref="K37:R37" si="19">SUM(K28:K36)</f>
        <v>6015.4370000000008</v>
      </c>
      <c r="L37" s="242">
        <f t="shared" si="19"/>
        <v>7390.2290032467536</v>
      </c>
      <c r="M37" s="242">
        <f t="shared" si="19"/>
        <v>12054.718000000001</v>
      </c>
      <c r="N37" s="244">
        <f t="shared" si="19"/>
        <v>15834.798999999999</v>
      </c>
      <c r="O37" s="244">
        <f t="shared" si="19"/>
        <v>13786.188999999998</v>
      </c>
      <c r="P37" s="244">
        <f t="shared" si="19"/>
        <v>12687.375</v>
      </c>
      <c r="Q37" s="244">
        <f t="shared" si="19"/>
        <v>11205.943000000001</v>
      </c>
      <c r="R37" s="1330">
        <f t="shared" si="19"/>
        <v>9307.5930000000008</v>
      </c>
      <c r="S37" s="1327">
        <f>SUM(S28:S36)</f>
        <v>5940.5630000000001</v>
      </c>
      <c r="T37" s="245">
        <f t="shared" ref="T37:AD37" si="20">SUM(T28:T36)</f>
        <v>6674.9134364481242</v>
      </c>
      <c r="U37" s="245">
        <f t="shared" si="20"/>
        <v>6762.0132250321949</v>
      </c>
      <c r="V37" s="245">
        <f t="shared" si="20"/>
        <v>6231.6343113531384</v>
      </c>
      <c r="W37" s="245">
        <f t="shared" si="20"/>
        <v>6368.9798973127872</v>
      </c>
      <c r="X37" s="245">
        <f t="shared" si="20"/>
        <v>6512.163540148591</v>
      </c>
      <c r="Y37" s="245">
        <f t="shared" si="20"/>
        <v>6661.4354170572733</v>
      </c>
      <c r="Z37" s="245">
        <f t="shared" si="20"/>
        <v>6817.0565116644921</v>
      </c>
      <c r="AA37" s="245">
        <f t="shared" si="20"/>
        <v>6979.299084244758</v>
      </c>
      <c r="AB37" s="245">
        <f t="shared" si="20"/>
        <v>7148.4471625280175</v>
      </c>
      <c r="AC37" s="245">
        <f t="shared" si="20"/>
        <v>7324.7970539980606</v>
      </c>
      <c r="AD37" s="245">
        <f t="shared" si="20"/>
        <v>7508.6578806277575</v>
      </c>
      <c r="AE37" s="245"/>
      <c r="AF37" s="10"/>
      <c r="AG37" s="10"/>
      <c r="AH37" s="10"/>
      <c r="AI37" s="10"/>
      <c r="AJ37" s="10"/>
    </row>
    <row r="38" spans="1:36">
      <c r="A38" s="1" t="s">
        <v>245</v>
      </c>
      <c r="B38" s="91">
        <f t="shared" ref="B38:M38" si="21">B37+B24</f>
        <v>4246.3220000000001</v>
      </c>
      <c r="C38" s="91">
        <f t="shared" si="21"/>
        <v>5250.9279999999999</v>
      </c>
      <c r="D38" s="91">
        <f t="shared" si="21"/>
        <v>5582.5529999999999</v>
      </c>
      <c r="E38" s="91">
        <f t="shared" si="21"/>
        <v>5111.3179999999993</v>
      </c>
      <c r="F38" s="242">
        <f t="shared" si="21"/>
        <v>5551.9879999999994</v>
      </c>
      <c r="G38" s="242">
        <f t="shared" si="21"/>
        <v>5181.3289999999997</v>
      </c>
      <c r="H38" s="242" t="e">
        <f t="shared" si="21"/>
        <v>#REF!</v>
      </c>
      <c r="I38" s="248">
        <f>I37+I24</f>
        <v>5397.5640000000003</v>
      </c>
      <c r="J38" s="242">
        <f>J37+J24</f>
        <v>8698.5070000000014</v>
      </c>
      <c r="K38" s="242">
        <f>K37+K24</f>
        <v>15036.177</v>
      </c>
      <c r="L38" s="242">
        <f t="shared" si="21"/>
        <v>17821.146183246754</v>
      </c>
      <c r="M38" s="242">
        <f t="shared" si="21"/>
        <v>21912.677</v>
      </c>
      <c r="N38" s="244">
        <f t="shared" ref="N38:R38" si="22">N37+N24</f>
        <v>21804.599000000002</v>
      </c>
      <c r="O38" s="244">
        <f t="shared" si="22"/>
        <v>20526.822999999997</v>
      </c>
      <c r="P38" s="244">
        <f t="shared" si="22"/>
        <v>19485.946</v>
      </c>
      <c r="Q38" s="244">
        <f t="shared" si="22"/>
        <v>17754.565999999999</v>
      </c>
      <c r="R38" s="1315">
        <f t="shared" si="22"/>
        <v>15569.921</v>
      </c>
      <c r="S38" s="244">
        <f>S37+S24</f>
        <v>11765.534</v>
      </c>
      <c r="T38" s="245">
        <f t="shared" ref="T38:AD38" si="23">T37+T24</f>
        <v>11848.543585612086</v>
      </c>
      <c r="U38" s="245">
        <f t="shared" si="23"/>
        <v>11265.975225032194</v>
      </c>
      <c r="V38" s="245">
        <f t="shared" si="23"/>
        <v>10735.59631135314</v>
      </c>
      <c r="W38" s="245">
        <f t="shared" si="23"/>
        <v>10872.941897312787</v>
      </c>
      <c r="X38" s="245">
        <f t="shared" si="23"/>
        <v>11016.125540148591</v>
      </c>
      <c r="Y38" s="245">
        <f t="shared" si="23"/>
        <v>11165.397417057273</v>
      </c>
      <c r="Z38" s="245">
        <f t="shared" si="23"/>
        <v>11321.018511664493</v>
      </c>
      <c r="AA38" s="245">
        <f t="shared" si="23"/>
        <v>11483.261084244758</v>
      </c>
      <c r="AB38" s="245">
        <f t="shared" si="23"/>
        <v>11652.409162528018</v>
      </c>
      <c r="AC38" s="245">
        <f t="shared" si="23"/>
        <v>11828.759053998061</v>
      </c>
      <c r="AD38" s="245">
        <f t="shared" si="23"/>
        <v>12012.619880627757</v>
      </c>
      <c r="AE38" s="245"/>
      <c r="AF38" s="10"/>
      <c r="AG38" s="10"/>
      <c r="AH38" s="10"/>
      <c r="AI38" s="10"/>
      <c r="AJ38" s="10"/>
    </row>
    <row r="39" spans="1:36" s="2" customFormat="1">
      <c r="A39" s="2" t="s">
        <v>246</v>
      </c>
      <c r="B39" s="91">
        <f t="shared" ref="B39:G39" si="24">B38+B17</f>
        <v>8102.7290000000003</v>
      </c>
      <c r="C39" s="91">
        <f t="shared" si="24"/>
        <v>9049.0509999999995</v>
      </c>
      <c r="D39" s="91">
        <f t="shared" si="24"/>
        <v>8800.3070000000007</v>
      </c>
      <c r="E39" s="91">
        <f t="shared" si="24"/>
        <v>8720.7839999999997</v>
      </c>
      <c r="F39" s="242" t="e">
        <f t="shared" si="24"/>
        <v>#REF!</v>
      </c>
      <c r="G39" s="242">
        <f t="shared" si="24"/>
        <v>8673.9919999999984</v>
      </c>
      <c r="H39" s="242" t="e">
        <f t="shared" ref="H39:R39" si="25">H38+H17</f>
        <v>#REF!</v>
      </c>
      <c r="I39" s="242">
        <f>I38+I17</f>
        <v>11714.619000000001</v>
      </c>
      <c r="J39" s="242">
        <f t="shared" si="25"/>
        <v>18016.505000000005</v>
      </c>
      <c r="K39" s="242">
        <f t="shared" si="25"/>
        <v>34304.376000000004</v>
      </c>
      <c r="L39" s="243">
        <f>L38+L17-0.007</f>
        <v>28875.967183246754</v>
      </c>
      <c r="M39" s="242">
        <f t="shared" si="25"/>
        <v>32533.96326</v>
      </c>
      <c r="N39" s="244">
        <f t="shared" si="25"/>
        <v>42723.039850600006</v>
      </c>
      <c r="O39" s="244">
        <f t="shared" si="25"/>
        <v>47636.085029599999</v>
      </c>
      <c r="P39" s="244">
        <f>P38+P17</f>
        <v>49703.228999999992</v>
      </c>
      <c r="Q39" s="244">
        <f t="shared" si="25"/>
        <v>50685.197999999997</v>
      </c>
      <c r="R39" s="1315">
        <f t="shared" si="25"/>
        <v>63526.718999999997</v>
      </c>
      <c r="S39" s="244">
        <f>S38+S17</f>
        <v>73282.068999999989</v>
      </c>
      <c r="T39" s="245">
        <f t="shared" ref="T39:AD39" si="26">T38+T17</f>
        <v>78896.484736302198</v>
      </c>
      <c r="U39" s="245">
        <f t="shared" si="26"/>
        <v>84103.953761955723</v>
      </c>
      <c r="V39" s="245">
        <f t="shared" si="26"/>
        <v>89139.909582862863</v>
      </c>
      <c r="W39" s="245">
        <f t="shared" si="26"/>
        <v>94803.882271096125</v>
      </c>
      <c r="X39" s="245">
        <f t="shared" si="26"/>
        <v>100016.57263964161</v>
      </c>
      <c r="Y39" s="245">
        <f t="shared" si="26"/>
        <v>105379.12891757564</v>
      </c>
      <c r="Z39" s="245">
        <f t="shared" si="26"/>
        <v>110917.01761148253</v>
      </c>
      <c r="AA39" s="245">
        <f t="shared" si="26"/>
        <v>116675.78958161328</v>
      </c>
      <c r="AB39" s="245">
        <f t="shared" si="26"/>
        <v>122697.59160140045</v>
      </c>
      <c r="AC39" s="245">
        <f t="shared" si="26"/>
        <v>129040.04633476645</v>
      </c>
      <c r="AD39" s="245">
        <f t="shared" si="26"/>
        <v>137247.79594675513</v>
      </c>
      <c r="AE39" s="245"/>
      <c r="AF39" s="141"/>
      <c r="AG39" s="141"/>
      <c r="AH39" s="141"/>
      <c r="AI39" s="141"/>
      <c r="AJ39" s="141"/>
    </row>
    <row r="40" spans="1:36">
      <c r="B40" s="91"/>
      <c r="C40" s="91"/>
      <c r="D40" s="91"/>
      <c r="E40" s="91"/>
      <c r="F40" s="242"/>
      <c r="G40" s="242"/>
      <c r="H40" s="242"/>
      <c r="L40" s="31"/>
      <c r="R40" s="44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10"/>
      <c r="AG40" s="10"/>
      <c r="AH40" s="10"/>
      <c r="AI40" s="10"/>
      <c r="AJ40" s="10"/>
    </row>
    <row r="41" spans="1:36">
      <c r="A41" s="2" t="s">
        <v>247</v>
      </c>
      <c r="B41" s="91"/>
      <c r="C41" s="91"/>
      <c r="D41" s="91"/>
      <c r="E41" s="91"/>
      <c r="F41" s="242"/>
      <c r="G41" s="242"/>
      <c r="H41" s="242"/>
      <c r="R41" s="44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10"/>
      <c r="AG41" s="10"/>
      <c r="AH41" s="10"/>
      <c r="AI41" s="10"/>
      <c r="AJ41" s="10"/>
    </row>
    <row r="42" spans="1:36">
      <c r="A42" s="2" t="s">
        <v>248</v>
      </c>
      <c r="B42" s="91"/>
      <c r="C42" s="91"/>
      <c r="D42" s="91"/>
      <c r="E42" s="91"/>
      <c r="F42" s="242"/>
      <c r="G42" s="242"/>
      <c r="H42" s="242"/>
      <c r="Q42" s="229"/>
      <c r="R42" s="444"/>
      <c r="S42" s="31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10"/>
      <c r="AG42" s="10"/>
      <c r="AH42" s="10"/>
      <c r="AI42" s="10"/>
      <c r="AJ42" s="10"/>
    </row>
    <row r="43" spans="1:36">
      <c r="A43" s="1" t="s">
        <v>249</v>
      </c>
      <c r="B43" s="91">
        <v>804.04700000000003</v>
      </c>
      <c r="C43" s="91">
        <v>7055.8450000000003</v>
      </c>
      <c r="D43" s="91">
        <v>6879.0709999999999</v>
      </c>
      <c r="E43" s="91">
        <v>6437.9140000000025</v>
      </c>
      <c r="F43" s="242">
        <f>DEp!G20</f>
        <v>6806.0730000000021</v>
      </c>
      <c r="G43" s="242">
        <f>DEp!H20</f>
        <v>6326.9870000000028</v>
      </c>
      <c r="H43" s="242">
        <f>DEp!I20</f>
        <v>6147.4350000000013</v>
      </c>
      <c r="I43" s="242">
        <f>DEp!J20</f>
        <v>6128.0830000000005</v>
      </c>
      <c r="J43" s="242">
        <f>DEp!K20</f>
        <v>6637.237000000001</v>
      </c>
      <c r="K43" s="242">
        <f>DEp!L20</f>
        <v>7521.723</v>
      </c>
      <c r="L43" s="244">
        <f>DEp!M20</f>
        <v>22117.550999999999</v>
      </c>
      <c r="M43" s="244">
        <f>DEp!N20</f>
        <v>22977.894</v>
      </c>
      <c r="N43" s="244">
        <f>DEp!O20</f>
        <v>24345.793000000001</v>
      </c>
      <c r="O43" s="244">
        <v>25307.302</v>
      </c>
      <c r="P43" s="244">
        <f>DEp!Q20</f>
        <v>24611.564999999995</v>
      </c>
      <c r="Q43" s="244">
        <f>DEp!R20</f>
        <v>25192.214999999997</v>
      </c>
      <c r="R43" s="1315">
        <f>DEp!S20</f>
        <v>27324.793999999994</v>
      </c>
      <c r="S43" s="1321">
        <f>DEp!T20</f>
        <v>28951.965999999989</v>
      </c>
      <c r="T43" s="245">
        <f>DEp!U20</f>
        <v>28093.48639993808</v>
      </c>
      <c r="U43" s="245">
        <f>DEp!V20</f>
        <v>27217.832776613519</v>
      </c>
      <c r="V43" s="245">
        <f>DEp!W20</f>
        <v>26324.661560912951</v>
      </c>
      <c r="W43" s="245">
        <f>DEp!X20</f>
        <v>25413.622310567327</v>
      </c>
      <c r="X43" s="245">
        <f>DEp!Y20</f>
        <v>24484.357572653338</v>
      </c>
      <c r="Y43" s="245">
        <f>DEp!Z20</f>
        <v>23536.502743344106</v>
      </c>
      <c r="Z43" s="245">
        <f>DEp!AA20</f>
        <v>22569.685924854239</v>
      </c>
      <c r="AA43" s="245">
        <f>DEp!AB20</f>
        <v>21583.52777952297</v>
      </c>
      <c r="AB43" s="245">
        <f>DEp!AC20</f>
        <v>20577.641380978283</v>
      </c>
      <c r="AC43" s="245">
        <f>DEp!AD20</f>
        <v>19551.632062323493</v>
      </c>
      <c r="AD43" s="245">
        <f>DEp!AE20</f>
        <v>18505.097261286821</v>
      </c>
      <c r="AE43" s="245"/>
      <c r="AF43" s="10"/>
      <c r="AG43" s="10"/>
      <c r="AH43" s="10"/>
      <c r="AI43" s="10"/>
      <c r="AJ43" s="10"/>
    </row>
    <row r="44" spans="1:36">
      <c r="B44" s="91">
        <v>10.935</v>
      </c>
      <c r="C44" s="91">
        <v>274.358</v>
      </c>
      <c r="D44" s="1">
        <v>163.41399999999999</v>
      </c>
      <c r="E44" s="91">
        <v>320.09199999999998</v>
      </c>
      <c r="F44" s="242">
        <f>DEp!G76</f>
        <v>20.029000000000011</v>
      </c>
      <c r="G44" s="242">
        <f>DEp!H76</f>
        <v>114.74300000000001</v>
      </c>
      <c r="H44" s="242">
        <f>[38]DEp!I76</f>
        <v>258.64400000000006</v>
      </c>
      <c r="I44" s="242">
        <f>[38]DEp!J76</f>
        <v>166.58300000000006</v>
      </c>
      <c r="J44" s="242">
        <f>[38]DEp!K76</f>
        <v>317.262</v>
      </c>
      <c r="K44" s="242">
        <f>[38]DEp!L76</f>
        <v>295.05800000000005</v>
      </c>
      <c r="L44" s="244">
        <f>DEp!M76</f>
        <v>133.37600000000003</v>
      </c>
      <c r="M44" s="244">
        <f>DEp!N76</f>
        <v>5.1350000000000264</v>
      </c>
      <c r="N44" s="244">
        <v>0</v>
      </c>
      <c r="O44" s="244"/>
      <c r="P44" s="244"/>
      <c r="Q44" s="244"/>
      <c r="R44" s="1315"/>
      <c r="S44" s="244"/>
      <c r="T44" s="245"/>
      <c r="U44" s="245"/>
      <c r="V44" s="245"/>
      <c r="W44" s="245"/>
      <c r="X44" s="245"/>
      <c r="Y44" s="245"/>
      <c r="Z44" s="245"/>
      <c r="AA44" s="245"/>
      <c r="AB44" s="245"/>
      <c r="AC44" s="245"/>
      <c r="AD44" s="245"/>
      <c r="AE44" s="245"/>
      <c r="AF44" s="10"/>
      <c r="AG44" s="10"/>
      <c r="AH44" s="10"/>
      <c r="AI44" s="10"/>
      <c r="AJ44" s="10"/>
    </row>
    <row r="45" spans="1:36">
      <c r="A45" s="1" t="s">
        <v>250</v>
      </c>
      <c r="B45" s="91">
        <v>5626.63</v>
      </c>
      <c r="C45" s="91">
        <v>10.728999999999999</v>
      </c>
      <c r="D45" s="91">
        <v>2.093</v>
      </c>
      <c r="E45" s="91">
        <v>0</v>
      </c>
      <c r="F45" s="242">
        <v>20.727</v>
      </c>
      <c r="G45" s="242">
        <v>226.25700000000001</v>
      </c>
      <c r="H45" s="242">
        <v>3.8719999999999999</v>
      </c>
      <c r="I45" s="248">
        <f>DEp!J9</f>
        <v>1126.1079999999999</v>
      </c>
      <c r="J45" s="248">
        <f>DEp!K9</f>
        <v>3983.1750000000002</v>
      </c>
      <c r="K45" s="242">
        <f>DEp!L9</f>
        <v>11759.677</v>
      </c>
      <c r="L45" s="244">
        <f>DEp!M9</f>
        <v>1907.0630000000001</v>
      </c>
      <c r="M45" s="244">
        <f>DEp!N9</f>
        <v>2488.3069999999998</v>
      </c>
      <c r="N45" s="244">
        <f>DEp!O9</f>
        <v>1750.2080000000001</v>
      </c>
      <c r="O45" s="244">
        <v>465.65</v>
      </c>
      <c r="P45" s="244">
        <f>DEp!Q9</f>
        <v>1373.82</v>
      </c>
      <c r="Q45" s="244">
        <v>1993.5119999999999</v>
      </c>
      <c r="R45" s="1315">
        <f>1416.18+194.005</f>
        <v>1610.1849999999999</v>
      </c>
      <c r="S45" s="244">
        <f>634.318+246.341</f>
        <v>880.65899999999999</v>
      </c>
      <c r="T45" s="245">
        <f t="shared" ref="T45:AD45" si="27">S45</f>
        <v>880.65899999999999</v>
      </c>
      <c r="U45" s="245">
        <f t="shared" si="27"/>
        <v>880.65899999999999</v>
      </c>
      <c r="V45" s="245">
        <f t="shared" si="27"/>
        <v>880.65899999999999</v>
      </c>
      <c r="W45" s="245">
        <f t="shared" si="27"/>
        <v>880.65899999999999</v>
      </c>
      <c r="X45" s="245">
        <f t="shared" si="27"/>
        <v>880.65899999999999</v>
      </c>
      <c r="Y45" s="245">
        <f t="shared" si="27"/>
        <v>880.65899999999999</v>
      </c>
      <c r="Z45" s="245">
        <f t="shared" si="27"/>
        <v>880.65899999999999</v>
      </c>
      <c r="AA45" s="245">
        <f t="shared" si="27"/>
        <v>880.65899999999999</v>
      </c>
      <c r="AB45" s="245">
        <f t="shared" si="27"/>
        <v>880.65899999999999</v>
      </c>
      <c r="AC45" s="245">
        <f t="shared" si="27"/>
        <v>880.65899999999999</v>
      </c>
      <c r="AD45" s="245">
        <f t="shared" si="27"/>
        <v>880.65899999999999</v>
      </c>
      <c r="AE45" s="245"/>
      <c r="AF45" s="10"/>
      <c r="AG45" s="10"/>
      <c r="AH45" s="10"/>
      <c r="AI45" s="10"/>
      <c r="AJ45" s="10"/>
    </row>
    <row r="46" spans="1:36">
      <c r="A46" s="1" t="s">
        <v>251</v>
      </c>
      <c r="B46" s="91">
        <f>SUM(B43:B45)</f>
        <v>6441.6120000000001</v>
      </c>
      <c r="C46" s="91">
        <f>SUM(C43:C45)</f>
        <v>7340.9320000000007</v>
      </c>
      <c r="D46" s="91">
        <f>SUM(D43:D45)</f>
        <v>7044.5779999999995</v>
      </c>
      <c r="E46" s="91">
        <f>SUM(E43:E45)</f>
        <v>6758.0060000000021</v>
      </c>
      <c r="F46" s="242">
        <f t="shared" ref="F46:S46" si="28">F45+F44+F43</f>
        <v>6846.8290000000025</v>
      </c>
      <c r="G46" s="242">
        <f t="shared" si="28"/>
        <v>6667.9870000000028</v>
      </c>
      <c r="H46" s="242">
        <f t="shared" si="28"/>
        <v>6409.9510000000009</v>
      </c>
      <c r="I46" s="242">
        <f t="shared" si="28"/>
        <v>7420.7740000000003</v>
      </c>
      <c r="J46" s="242">
        <f t="shared" si="28"/>
        <v>10937.674000000001</v>
      </c>
      <c r="K46" s="242">
        <f t="shared" si="28"/>
        <v>19576.457999999999</v>
      </c>
      <c r="L46" s="242">
        <f t="shared" si="28"/>
        <v>24157.989999999998</v>
      </c>
      <c r="M46" s="242">
        <f t="shared" si="28"/>
        <v>25471.335999999999</v>
      </c>
      <c r="N46" s="244">
        <f t="shared" si="28"/>
        <v>26096.001</v>
      </c>
      <c r="O46" s="244">
        <f t="shared" si="28"/>
        <v>25772.952000000001</v>
      </c>
      <c r="P46" s="244">
        <f t="shared" si="28"/>
        <v>25985.384999999995</v>
      </c>
      <c r="Q46" s="244">
        <f t="shared" si="28"/>
        <v>27185.726999999995</v>
      </c>
      <c r="R46" s="1315">
        <f>R45+R44+R43</f>
        <v>28934.978999999996</v>
      </c>
      <c r="S46" s="244">
        <f t="shared" si="28"/>
        <v>29832.624999999989</v>
      </c>
      <c r="T46" s="245">
        <f t="shared" ref="T46:AD46" si="29">T45+T44+T43</f>
        <v>28974.145399938079</v>
      </c>
      <c r="U46" s="245">
        <f t="shared" si="29"/>
        <v>28098.491776613519</v>
      </c>
      <c r="V46" s="245">
        <f t="shared" si="29"/>
        <v>27205.320560912951</v>
      </c>
      <c r="W46" s="245">
        <f t="shared" si="29"/>
        <v>26294.281310567327</v>
      </c>
      <c r="X46" s="245">
        <f t="shared" si="29"/>
        <v>25365.016572653338</v>
      </c>
      <c r="Y46" s="245">
        <f t="shared" si="29"/>
        <v>24417.161743344106</v>
      </c>
      <c r="Z46" s="245">
        <f t="shared" si="29"/>
        <v>23450.344924854238</v>
      </c>
      <c r="AA46" s="245">
        <f t="shared" si="29"/>
        <v>22464.18677952297</v>
      </c>
      <c r="AB46" s="245">
        <f t="shared" si="29"/>
        <v>21458.300380978282</v>
      </c>
      <c r="AC46" s="245">
        <f t="shared" si="29"/>
        <v>20432.291062323493</v>
      </c>
      <c r="AD46" s="245">
        <f t="shared" si="29"/>
        <v>19385.756261286821</v>
      </c>
      <c r="AE46" s="245"/>
      <c r="AF46" s="10"/>
      <c r="AG46" s="10"/>
      <c r="AH46" s="10"/>
      <c r="AI46" s="10"/>
      <c r="AJ46" s="10"/>
    </row>
    <row r="47" spans="1:36">
      <c r="B47" s="91"/>
      <c r="C47" s="91"/>
      <c r="D47" s="91"/>
      <c r="E47" s="91"/>
      <c r="F47" s="242"/>
      <c r="G47" s="242"/>
      <c r="H47" s="242"/>
      <c r="N47" s="31"/>
      <c r="R47" s="44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10"/>
      <c r="AG47" s="10"/>
      <c r="AH47" s="10"/>
      <c r="AI47" s="10"/>
      <c r="AJ47" s="10"/>
    </row>
    <row r="48" spans="1:36">
      <c r="A48" s="1" t="s">
        <v>252</v>
      </c>
      <c r="B48" s="91">
        <v>642.61400000000003</v>
      </c>
      <c r="C48" s="91">
        <v>675.11400000000003</v>
      </c>
      <c r="D48" s="91">
        <v>635.60199999999998</v>
      </c>
      <c r="E48" s="91">
        <v>631.61</v>
      </c>
      <c r="F48" s="242">
        <v>609.822</v>
      </c>
      <c r="G48" s="242">
        <v>481.37</v>
      </c>
      <c r="H48" s="242">
        <v>1015.674</v>
      </c>
      <c r="I48" s="252">
        <v>1387.681</v>
      </c>
      <c r="J48" s="242">
        <v>2610.634</v>
      </c>
      <c r="K48" s="242">
        <f>+ROUND(Investments!L98,3)+96.677</f>
        <v>96.677000000000007</v>
      </c>
      <c r="L48" s="242">
        <f>+ROUND(Investments!L84,3)</f>
        <v>0</v>
      </c>
      <c r="M48" s="242">
        <f>+ROUND(Investments!L39,3)+0.01</f>
        <v>0.01</v>
      </c>
      <c r="N48" s="242">
        <v>3172.5079999999998</v>
      </c>
      <c r="O48" s="242">
        <v>4696.9219999999996</v>
      </c>
      <c r="P48" s="242">
        <v>5259.4160000000002</v>
      </c>
      <c r="Q48" s="242">
        <v>4864.9449999999997</v>
      </c>
      <c r="R48" s="243">
        <v>8650.86</v>
      </c>
      <c r="S48" s="242">
        <v>11258.37</v>
      </c>
      <c r="T48" s="249">
        <f t="shared" ref="T48:AD48" si="30">+S48</f>
        <v>11258.37</v>
      </c>
      <c r="U48" s="249">
        <f t="shared" si="30"/>
        <v>11258.37</v>
      </c>
      <c r="V48" s="249">
        <f t="shared" si="30"/>
        <v>11258.37</v>
      </c>
      <c r="W48" s="249">
        <f t="shared" si="30"/>
        <v>11258.37</v>
      </c>
      <c r="X48" s="249">
        <f t="shared" si="30"/>
        <v>11258.37</v>
      </c>
      <c r="Y48" s="249">
        <f t="shared" si="30"/>
        <v>11258.37</v>
      </c>
      <c r="Z48" s="249">
        <f t="shared" si="30"/>
        <v>11258.37</v>
      </c>
      <c r="AA48" s="249">
        <f t="shared" si="30"/>
        <v>11258.37</v>
      </c>
      <c r="AB48" s="249">
        <f t="shared" si="30"/>
        <v>11258.37</v>
      </c>
      <c r="AC48" s="249">
        <f t="shared" si="30"/>
        <v>11258.37</v>
      </c>
      <c r="AD48" s="249">
        <f t="shared" si="30"/>
        <v>11258.37</v>
      </c>
      <c r="AE48" s="249"/>
      <c r="AF48" s="10"/>
      <c r="AG48" s="10"/>
      <c r="AH48" s="10"/>
      <c r="AI48" s="10"/>
      <c r="AJ48" s="10"/>
    </row>
    <row r="49" spans="1:36">
      <c r="A49" s="1" t="s">
        <v>253</v>
      </c>
      <c r="B49" s="91">
        <v>7.2329999999999997</v>
      </c>
      <c r="C49" s="91">
        <v>4.5759999999999996</v>
      </c>
      <c r="D49" s="91">
        <v>2.9609999999999999</v>
      </c>
      <c r="E49" s="91">
        <v>2.0649999999999999</v>
      </c>
      <c r="F49" s="242">
        <v>2.4489999999999998</v>
      </c>
      <c r="G49" s="242">
        <v>1.881</v>
      </c>
      <c r="H49" s="242">
        <v>2.9049999999999998</v>
      </c>
      <c r="I49" s="252">
        <v>4.9569999999999999</v>
      </c>
      <c r="J49" s="242">
        <v>4.7789999999999999</v>
      </c>
      <c r="K49" s="242">
        <v>3.5150000000000001</v>
      </c>
      <c r="L49" s="242">
        <f>+K49</f>
        <v>3.5150000000000001</v>
      </c>
      <c r="M49" s="242"/>
      <c r="N49" s="242">
        <f>+M49</f>
        <v>0</v>
      </c>
      <c r="O49" s="242">
        <f>+N49</f>
        <v>0</v>
      </c>
      <c r="P49" s="242">
        <v>133.21899999999999</v>
      </c>
      <c r="Q49" s="242">
        <f>120.342+73.808</f>
        <v>194.15</v>
      </c>
      <c r="R49" s="243">
        <f>55.356+95.535</f>
        <v>150.89099999999999</v>
      </c>
      <c r="S49" s="242">
        <f>36.904+85.544</f>
        <v>122.44800000000001</v>
      </c>
      <c r="T49" s="249">
        <f t="shared" ref="T49:AD49" si="31">+S49</f>
        <v>122.44800000000001</v>
      </c>
      <c r="U49" s="249">
        <f t="shared" si="31"/>
        <v>122.44800000000001</v>
      </c>
      <c r="V49" s="249">
        <f t="shared" si="31"/>
        <v>122.44800000000001</v>
      </c>
      <c r="W49" s="249">
        <f t="shared" si="31"/>
        <v>122.44800000000001</v>
      </c>
      <c r="X49" s="249">
        <f t="shared" si="31"/>
        <v>122.44800000000001</v>
      </c>
      <c r="Y49" s="249">
        <f t="shared" si="31"/>
        <v>122.44800000000001</v>
      </c>
      <c r="Z49" s="249">
        <f t="shared" si="31"/>
        <v>122.44800000000001</v>
      </c>
      <c r="AA49" s="249">
        <f t="shared" si="31"/>
        <v>122.44800000000001</v>
      </c>
      <c r="AB49" s="249">
        <f t="shared" si="31"/>
        <v>122.44800000000001</v>
      </c>
      <c r="AC49" s="249">
        <f t="shared" si="31"/>
        <v>122.44800000000001</v>
      </c>
      <c r="AD49" s="249">
        <f t="shared" si="31"/>
        <v>122.44800000000001</v>
      </c>
      <c r="AE49" s="249"/>
      <c r="AF49" s="10"/>
      <c r="AG49" s="10"/>
      <c r="AH49" s="10"/>
      <c r="AI49" s="10"/>
      <c r="AJ49" s="10"/>
    </row>
    <row r="50" spans="1:36">
      <c r="A50" s="1" t="s">
        <v>254</v>
      </c>
      <c r="B50" s="91">
        <v>22.058</v>
      </c>
      <c r="C50" s="91">
        <v>19.204000000000001</v>
      </c>
      <c r="D50" s="91">
        <v>20.32</v>
      </c>
      <c r="E50" s="91">
        <v>3.972</v>
      </c>
      <c r="F50" s="242">
        <v>4.5019999999999998</v>
      </c>
      <c r="G50" s="242">
        <v>31.56</v>
      </c>
      <c r="H50" s="242">
        <f>31.058+149</f>
        <v>180.05799999999999</v>
      </c>
      <c r="I50" s="252">
        <v>20.064</v>
      </c>
      <c r="J50" s="242">
        <f>20.854+245.795</f>
        <v>266.649</v>
      </c>
      <c r="K50" s="242">
        <f>37.427+49.073+245.795</f>
        <v>332.29499999999996</v>
      </c>
      <c r="L50" s="242">
        <f>196.913-L49</f>
        <v>193.39800000000002</v>
      </c>
      <c r="M50" s="242">
        <v>523.04600000000005</v>
      </c>
      <c r="N50" s="244">
        <v>166.94</v>
      </c>
      <c r="O50" s="244">
        <v>158.67699999999999</v>
      </c>
      <c r="P50" s="244"/>
      <c r="Q50" s="244"/>
      <c r="R50" s="1315"/>
      <c r="S50" s="244"/>
      <c r="T50" s="245"/>
      <c r="U50" s="245"/>
      <c r="V50" s="245"/>
      <c r="W50" s="245"/>
      <c r="X50" s="245"/>
      <c r="Y50" s="245"/>
      <c r="Z50" s="245"/>
      <c r="AA50" s="245"/>
      <c r="AB50" s="245"/>
      <c r="AC50" s="245"/>
      <c r="AD50" s="245"/>
      <c r="AE50" s="245"/>
      <c r="AF50" s="10"/>
      <c r="AG50" s="10"/>
      <c r="AH50" s="10"/>
      <c r="AI50" s="10"/>
      <c r="AJ50" s="10"/>
    </row>
    <row r="51" spans="1:36">
      <c r="B51" s="91"/>
      <c r="C51" s="91"/>
      <c r="D51" s="91"/>
      <c r="E51" s="91"/>
      <c r="F51" s="242"/>
      <c r="G51" s="242"/>
      <c r="H51" s="242"/>
      <c r="R51" s="31">
        <f>R46+R48+R49</f>
        <v>37736.729999999996</v>
      </c>
      <c r="S51" s="371">
        <f>S46+S48+S49</f>
        <v>41213.442999999985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10"/>
      <c r="AG51" s="10"/>
      <c r="AH51" s="10"/>
      <c r="AI51" s="10"/>
      <c r="AJ51" s="10"/>
    </row>
    <row r="52" spans="1:36">
      <c r="A52" s="1" t="s">
        <v>255</v>
      </c>
      <c r="B52" s="91"/>
      <c r="C52" s="91"/>
      <c r="D52" s="91"/>
      <c r="E52" s="91"/>
      <c r="F52" s="242"/>
      <c r="G52" s="242"/>
      <c r="H52" s="242"/>
      <c r="R52" s="44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10"/>
      <c r="AG52" s="10"/>
      <c r="AH52" s="10"/>
      <c r="AI52" s="10"/>
      <c r="AJ52" s="10"/>
    </row>
    <row r="53" spans="1:36">
      <c r="A53" s="1" t="s">
        <v>256</v>
      </c>
      <c r="B53" s="91">
        <v>395.63799999999998</v>
      </c>
      <c r="C53" s="91">
        <v>390.63299999999998</v>
      </c>
      <c r="D53" s="91">
        <v>378.85199999999998</v>
      </c>
      <c r="E53" s="91">
        <v>513.55200000000002</v>
      </c>
      <c r="F53" s="242">
        <v>534.13199999999995</v>
      </c>
      <c r="G53" s="242">
        <v>537.48199999999997</v>
      </c>
      <c r="H53" s="242">
        <v>668.84500000000003</v>
      </c>
      <c r="I53" s="248">
        <v>938.84699999999998</v>
      </c>
      <c r="J53" s="242">
        <v>1035.0809999999999</v>
      </c>
      <c r="K53" s="242">
        <v>836.04899999999998</v>
      </c>
      <c r="L53" s="242">
        <v>1496.2909999999999</v>
      </c>
      <c r="M53" s="242">
        <v>2299.25</v>
      </c>
      <c r="N53" s="244">
        <v>2935.88</v>
      </c>
      <c r="O53" s="244">
        <v>3017.7420000000002</v>
      </c>
      <c r="P53" s="244">
        <v>3543.0340000000001</v>
      </c>
      <c r="Q53" s="244">
        <v>4137.2619999999997</v>
      </c>
      <c r="R53" s="1315">
        <v>3912.998</v>
      </c>
      <c r="S53" s="244">
        <v>3688.7950000000001</v>
      </c>
      <c r="T53" s="245">
        <f>BS!T67*IS!BU12</f>
        <v>4372.193927424777</v>
      </c>
      <c r="U53" s="245">
        <f>BS!U67*IS!BV12</f>
        <v>4689.4752758224531</v>
      </c>
      <c r="V53" s="245">
        <f>BS!V67*IS!BW12</f>
        <v>4907.3634370452673</v>
      </c>
      <c r="W53" s="245">
        <f>BS!W67*IS!BX12</f>
        <v>5122.211175082145</v>
      </c>
      <c r="X53" s="245">
        <f>BS!X67*IS!BY12</f>
        <v>5346.1913020895827</v>
      </c>
      <c r="Y53" s="245">
        <f>BS!Y67*IS!BZ12</f>
        <v>5579.6951666824498</v>
      </c>
      <c r="Z53" s="245">
        <f>BS!Z67*IS!CA12</f>
        <v>5823.1310218180279</v>
      </c>
      <c r="AA53" s="245">
        <f>BS!AA67*IS!CB12</f>
        <v>6076.9247603542999</v>
      </c>
      <c r="AB53" s="245">
        <f>BS!AB67*IS!CC12</f>
        <v>6341.5206828116843</v>
      </c>
      <c r="AC53" s="245">
        <f>BS!AC67*IS!CD12</f>
        <v>6617.3822987541107</v>
      </c>
      <c r="AD53" s="245">
        <f>BS!AD67*IS!CE12</f>
        <v>6904.9931632677062</v>
      </c>
      <c r="AE53" s="245"/>
      <c r="AF53" s="10"/>
      <c r="AG53" s="10"/>
      <c r="AH53" s="10"/>
      <c r="AI53" s="10"/>
      <c r="AJ53" s="10"/>
    </row>
    <row r="54" spans="1:36">
      <c r="A54" s="1" t="s">
        <v>257</v>
      </c>
      <c r="B54" s="91">
        <v>41.326999999999998</v>
      </c>
      <c r="C54" s="91">
        <v>148.93199999999999</v>
      </c>
      <c r="D54" s="91">
        <v>118.027</v>
      </c>
      <c r="E54" s="91">
        <v>66.715000000000003</v>
      </c>
      <c r="F54" s="242">
        <v>72.268000000000001</v>
      </c>
      <c r="G54" s="242">
        <v>146.06200000000001</v>
      </c>
      <c r="H54" s="242">
        <v>185.964</v>
      </c>
      <c r="I54" s="248">
        <v>298.53800000000001</v>
      </c>
      <c r="J54" s="242">
        <v>100.994</v>
      </c>
      <c r="K54" s="242">
        <v>226.286</v>
      </c>
      <c r="L54" s="242">
        <v>295.14</v>
      </c>
      <c r="M54" s="242">
        <v>445.85599999999999</v>
      </c>
      <c r="N54" s="242">
        <v>899.83600000000001</v>
      </c>
      <c r="O54" s="242">
        <v>1036.876</v>
      </c>
      <c r="P54" s="242">
        <v>862.14099999999996</v>
      </c>
      <c r="Q54" s="242">
        <v>954.64499999999998</v>
      </c>
      <c r="R54" s="243">
        <v>1661.721</v>
      </c>
      <c r="S54" s="242">
        <v>1348.742</v>
      </c>
      <c r="T54" s="249">
        <f>+IS!BU13*BS!T95/365</f>
        <v>1317.0868713625152</v>
      </c>
      <c r="U54" s="249">
        <f>+IS!BV13*BS!U95/365</f>
        <v>1401.7834638476704</v>
      </c>
      <c r="V54" s="249">
        <f>+IS!BW13*BS!V95/365</f>
        <v>1484.8792493265037</v>
      </c>
      <c r="W54" s="249">
        <f>+IS!BX13*BS!W95/365</f>
        <v>1574.8385709573329</v>
      </c>
      <c r="X54" s="249">
        <f>+IS!BY13*BS!X95/365</f>
        <v>1672.6531572791805</v>
      </c>
      <c r="Y54" s="249">
        <f>+IS!BZ13*BS!Y95/365</f>
        <v>1769.1617712797415</v>
      </c>
      <c r="Z54" s="249">
        <f>+IS!CA13*BS!Z95/365</f>
        <v>1867.4286696526203</v>
      </c>
      <c r="AA54" s="249">
        <f>+IS!CB13*BS!AA95/365</f>
        <v>1966.5227531176233</v>
      </c>
      <c r="AB54" s="249">
        <f>+IS!CC13*BS!AB95/365</f>
        <v>2065.4315811185752</v>
      </c>
      <c r="AC54" s="249">
        <f>+IS!CD13*BS!AC95/365</f>
        <v>2163.1297461977756</v>
      </c>
      <c r="AD54" s="249">
        <f>+IS!CE13*BS!AD95/365</f>
        <v>2100.6813420677204</v>
      </c>
      <c r="AE54" s="249"/>
      <c r="AF54" s="10"/>
      <c r="AG54" s="10"/>
      <c r="AH54" s="10"/>
      <c r="AI54" s="10"/>
      <c r="AJ54" s="10"/>
    </row>
    <row r="55" spans="1:36">
      <c r="A55" s="1" t="s">
        <v>258</v>
      </c>
      <c r="B55" s="91">
        <v>0</v>
      </c>
      <c r="C55" s="91">
        <v>45.253</v>
      </c>
      <c r="D55" s="91">
        <v>37.298000000000002</v>
      </c>
      <c r="E55" s="91">
        <v>50.731000000000002</v>
      </c>
      <c r="F55" s="242">
        <v>42.732999999999997</v>
      </c>
      <c r="G55" s="242">
        <v>28.402999999999999</v>
      </c>
      <c r="H55" s="242">
        <v>15.185</v>
      </c>
      <c r="I55" s="248">
        <v>52.622</v>
      </c>
      <c r="J55" s="242">
        <v>76.238</v>
      </c>
      <c r="K55" s="242">
        <v>74.165000000000006</v>
      </c>
      <c r="L55" s="242">
        <v>144.245</v>
      </c>
      <c r="M55" s="242">
        <v>366.173</v>
      </c>
      <c r="N55" s="242">
        <v>513.96600000000001</v>
      </c>
      <c r="O55" s="242">
        <v>303.94900000000001</v>
      </c>
      <c r="P55" s="242">
        <v>459.3</v>
      </c>
      <c r="Q55" s="242">
        <v>317.97000000000003</v>
      </c>
      <c r="R55" s="243">
        <v>273.53500000000003</v>
      </c>
      <c r="S55" s="242">
        <v>168.76900000000001</v>
      </c>
      <c r="T55" s="249">
        <f>+IS!BU12*BS!T94/365</f>
        <v>546.1850334200002</v>
      </c>
      <c r="U55" s="249">
        <f>+IS!BV12*BS!U94/365</f>
        <v>585.82058636085469</v>
      </c>
      <c r="V55" s="249">
        <f>+IS!BW12*BS!V94/365</f>
        <v>613.03970211709486</v>
      </c>
      <c r="W55" s="249">
        <f>+IS!BX12*BS!W94/365</f>
        <v>639.8790008599575</v>
      </c>
      <c r="X55" s="249">
        <f>+IS!BY12*BS!X94/365</f>
        <v>667.85913970687011</v>
      </c>
      <c r="Y55" s="249">
        <f>+IS!BZ12*BS!Y94/365</f>
        <v>697.0290068727287</v>
      </c>
      <c r="Z55" s="249">
        <f>+IS!CA12*BS!Z94/365</f>
        <v>727.43960230374284</v>
      </c>
      <c r="AA55" s="249">
        <f>+IS!CB12*BS!AA94/365</f>
        <v>759.14412956515537</v>
      </c>
      <c r="AB55" s="249">
        <f>+IS!CC12*BS!AB94/365</f>
        <v>792.19809175189278</v>
      </c>
      <c r="AC55" s="249">
        <f>+IS!CD12*BS!AC94/365</f>
        <v>826.65939159902814</v>
      </c>
      <c r="AD55" s="249">
        <f>+IS!CE12*BS!AD94/365</f>
        <v>862.58843597671853</v>
      </c>
      <c r="AE55" s="249"/>
      <c r="AF55" s="10"/>
      <c r="AG55" s="10"/>
      <c r="AH55" s="10"/>
      <c r="AI55" s="10"/>
      <c r="AJ55" s="10"/>
    </row>
    <row r="56" spans="1:36">
      <c r="A56" s="1" t="s">
        <v>259</v>
      </c>
      <c r="B56" s="91">
        <v>370.23200000000003</v>
      </c>
      <c r="C56" s="91">
        <v>262.94200000000001</v>
      </c>
      <c r="D56" s="91">
        <v>296.28800000000001</v>
      </c>
      <c r="E56" s="91">
        <v>398.08199999999999</v>
      </c>
      <c r="F56" s="242">
        <v>395.92599999999999</v>
      </c>
      <c r="G56" s="242">
        <v>571.71100000000001</v>
      </c>
      <c r="H56" s="242">
        <v>967.43799999999999</v>
      </c>
      <c r="I56" s="248">
        <v>1386.816</v>
      </c>
      <c r="J56" s="242">
        <v>2769.134</v>
      </c>
      <c r="K56" s="242">
        <f>+ROUND(Investments!L92,3)</f>
        <v>0</v>
      </c>
      <c r="L56" s="242">
        <f>+ROUND(Investments!L78,3)</f>
        <v>0</v>
      </c>
      <c r="M56" s="242">
        <f>+ROUND(Investments!L33,3)</f>
        <v>0</v>
      </c>
      <c r="N56" s="242">
        <v>7785.9679999999998</v>
      </c>
      <c r="O56" s="242">
        <v>10740.972</v>
      </c>
      <c r="P56" s="242">
        <v>12126.349</v>
      </c>
      <c r="Q56" s="242">
        <v>11126.050999999999</v>
      </c>
      <c r="R56" s="243">
        <v>17862.718000000001</v>
      </c>
      <c r="S56" s="242">
        <v>24405.152999999998</v>
      </c>
      <c r="T56" s="249">
        <f t="shared" ref="T56:AD56" si="32">+S56</f>
        <v>24405.152999999998</v>
      </c>
      <c r="U56" s="249">
        <f t="shared" si="32"/>
        <v>24405.152999999998</v>
      </c>
      <c r="V56" s="249">
        <f t="shared" si="32"/>
        <v>24405.152999999998</v>
      </c>
      <c r="W56" s="249">
        <f t="shared" si="32"/>
        <v>24405.152999999998</v>
      </c>
      <c r="X56" s="249">
        <f t="shared" si="32"/>
        <v>24405.152999999998</v>
      </c>
      <c r="Y56" s="249">
        <f t="shared" si="32"/>
        <v>24405.152999999998</v>
      </c>
      <c r="Z56" s="249">
        <f t="shared" si="32"/>
        <v>24405.152999999998</v>
      </c>
      <c r="AA56" s="249">
        <f t="shared" si="32"/>
        <v>24405.152999999998</v>
      </c>
      <c r="AB56" s="249">
        <f t="shared" si="32"/>
        <v>24405.152999999998</v>
      </c>
      <c r="AC56" s="249">
        <f t="shared" si="32"/>
        <v>24405.152999999998</v>
      </c>
      <c r="AD56" s="249">
        <f t="shared" si="32"/>
        <v>24405.152999999998</v>
      </c>
      <c r="AE56" s="249"/>
      <c r="AF56" s="10"/>
      <c r="AG56" s="10"/>
      <c r="AH56" s="10"/>
      <c r="AI56" s="10"/>
      <c r="AJ56" s="10"/>
    </row>
    <row r="57" spans="1:36">
      <c r="A57" s="1" t="s">
        <v>260</v>
      </c>
      <c r="B57" s="91">
        <v>139.00299999999999</v>
      </c>
      <c r="C57" s="91">
        <v>141.738</v>
      </c>
      <c r="D57" s="91">
        <v>169.27099999999999</v>
      </c>
      <c r="E57" s="91">
        <v>186.90799999999999</v>
      </c>
      <c r="F57" s="242">
        <v>157.215</v>
      </c>
      <c r="G57" s="242">
        <v>137.99700000000001</v>
      </c>
      <c r="H57" s="242">
        <v>149.08199999999999</v>
      </c>
      <c r="I57" s="248">
        <v>120.32899999999999</v>
      </c>
      <c r="J57" s="242">
        <v>121.486</v>
      </c>
      <c r="K57" s="242">
        <v>152.465</v>
      </c>
      <c r="L57" s="242">
        <v>229.315</v>
      </c>
      <c r="M57" s="242">
        <v>782.35799999999995</v>
      </c>
      <c r="N57" s="242">
        <v>908.1</v>
      </c>
      <c r="O57" s="242">
        <v>1087.1610000000001</v>
      </c>
      <c r="P57" s="242">
        <v>1136.5640000000001</v>
      </c>
      <c r="Q57" s="242">
        <v>1476.008</v>
      </c>
      <c r="R57" s="243">
        <f>611.777+996.522+1.837</f>
        <v>1610.136</v>
      </c>
      <c r="S57" s="242">
        <f>764.14+384.001</f>
        <v>1148.1410000000001</v>
      </c>
      <c r="T57" s="249">
        <f t="shared" ref="T57:AD57" si="33">S57</f>
        <v>1148.1410000000001</v>
      </c>
      <c r="U57" s="249">
        <f t="shared" si="33"/>
        <v>1148.1410000000001</v>
      </c>
      <c r="V57" s="249">
        <f t="shared" si="33"/>
        <v>1148.1410000000001</v>
      </c>
      <c r="W57" s="249">
        <f t="shared" si="33"/>
        <v>1148.1410000000001</v>
      </c>
      <c r="X57" s="249">
        <f t="shared" si="33"/>
        <v>1148.1410000000001</v>
      </c>
      <c r="Y57" s="249">
        <f t="shared" si="33"/>
        <v>1148.1410000000001</v>
      </c>
      <c r="Z57" s="249">
        <f t="shared" si="33"/>
        <v>1148.1410000000001</v>
      </c>
      <c r="AA57" s="249">
        <f t="shared" si="33"/>
        <v>1148.1410000000001</v>
      </c>
      <c r="AB57" s="249">
        <f t="shared" si="33"/>
        <v>1148.1410000000001</v>
      </c>
      <c r="AC57" s="249">
        <f t="shared" si="33"/>
        <v>1148.1410000000001</v>
      </c>
      <c r="AD57" s="249">
        <f t="shared" si="33"/>
        <v>1148.1410000000001</v>
      </c>
      <c r="AE57" s="249"/>
      <c r="AF57" s="10"/>
      <c r="AG57" s="10"/>
      <c r="AH57" s="10"/>
      <c r="AI57" s="10"/>
      <c r="AJ57" s="10"/>
    </row>
    <row r="58" spans="1:36">
      <c r="A58" s="1" t="s">
        <v>261</v>
      </c>
      <c r="B58" s="91">
        <v>43.012</v>
      </c>
      <c r="C58" s="91">
        <v>19.727</v>
      </c>
      <c r="D58" s="91">
        <v>97.11</v>
      </c>
      <c r="E58" s="91">
        <v>109.143</v>
      </c>
      <c r="F58" s="242">
        <v>52.451000000000001</v>
      </c>
      <c r="G58" s="242">
        <v>69.539000000000001</v>
      </c>
      <c r="H58" s="253" t="e">
        <f>CFS!H45</f>
        <v>#REF!</v>
      </c>
      <c r="I58" s="248">
        <v>83.991</v>
      </c>
      <c r="J58" s="242">
        <v>93.835999999999999</v>
      </c>
      <c r="K58" s="242">
        <v>77.167000000000002</v>
      </c>
      <c r="L58" s="242">
        <v>116.173</v>
      </c>
      <c r="M58" s="242">
        <v>226.37200000000001</v>
      </c>
      <c r="N58" s="254">
        <v>243.84200000000001</v>
      </c>
      <c r="O58" s="254">
        <v>230.792</v>
      </c>
      <c r="P58" s="254">
        <v>197.821</v>
      </c>
      <c r="Q58" s="254">
        <v>428.44099999999997</v>
      </c>
      <c r="R58" s="1315">
        <v>468.88099999999997</v>
      </c>
      <c r="S58" s="254">
        <v>1309.0260000000001</v>
      </c>
      <c r="T58" s="255">
        <f>CFS!T45</f>
        <v>6752.7615041568224</v>
      </c>
      <c r="U58" s="255">
        <f>CFS!U45</f>
        <v>12394.270659311225</v>
      </c>
      <c r="V58" s="255">
        <f>CFS!V45</f>
        <v>17995.19463346104</v>
      </c>
      <c r="W58" s="255">
        <f>CFS!W45</f>
        <v>24238.56021362936</v>
      </c>
      <c r="X58" s="255">
        <f>CFS!X45</f>
        <v>30030.740467912641</v>
      </c>
      <c r="Y58" s="255">
        <f>CFS!Y45</f>
        <v>35981.969229396622</v>
      </c>
      <c r="Z58" s="255">
        <f>CFS!Z45</f>
        <v>42114.561392853888</v>
      </c>
      <c r="AA58" s="255">
        <f>CFS!AA45</f>
        <v>48474.899159053224</v>
      </c>
      <c r="AB58" s="255">
        <f>CFS!AB45</f>
        <v>55106.028864740008</v>
      </c>
      <c r="AC58" s="255">
        <f>CFS!AC45</f>
        <v>62066.471835892044</v>
      </c>
      <c r="AD58" s="255">
        <f>CFS!AD45</f>
        <v>71059.664744156165</v>
      </c>
      <c r="AE58" s="255"/>
      <c r="AF58" s="10"/>
      <c r="AG58" s="10"/>
      <c r="AH58" s="10"/>
      <c r="AI58" s="10"/>
      <c r="AJ58" s="10"/>
    </row>
    <row r="59" spans="1:36">
      <c r="A59" s="1" t="s">
        <v>262</v>
      </c>
      <c r="B59" s="91">
        <f>SUM(B53:B58)</f>
        <v>989.21199999999999</v>
      </c>
      <c r="C59" s="91">
        <f>SUM(C53:C58)</f>
        <v>1009.225</v>
      </c>
      <c r="D59" s="91">
        <f>SUM(D53:D58)</f>
        <v>1096.8459999999998</v>
      </c>
      <c r="E59" s="91">
        <f>E58+E57+E56+E55+E54+E53</f>
        <v>1325.1310000000001</v>
      </c>
      <c r="F59" s="242">
        <f t="shared" ref="F59:S59" si="34">SUM(F53:F58)</f>
        <v>1254.7249999999999</v>
      </c>
      <c r="G59" s="242">
        <f t="shared" si="34"/>
        <v>1491.194</v>
      </c>
      <c r="H59" s="242" t="e">
        <f>SUM(H53:H58)</f>
        <v>#REF!</v>
      </c>
      <c r="I59" s="242">
        <f>SUM(I53:I58)</f>
        <v>2881.1430000000005</v>
      </c>
      <c r="J59" s="242">
        <f t="shared" si="34"/>
        <v>4196.7690000000002</v>
      </c>
      <c r="K59" s="242">
        <f t="shared" si="34"/>
        <v>1366.1319999999998</v>
      </c>
      <c r="L59" s="242">
        <f>SUM(L53:L58)</f>
        <v>2281.1639999999998</v>
      </c>
      <c r="M59" s="242">
        <f t="shared" si="34"/>
        <v>4120.009</v>
      </c>
      <c r="N59" s="244">
        <f t="shared" si="34"/>
        <v>13287.592000000002</v>
      </c>
      <c r="O59" s="244">
        <f t="shared" si="34"/>
        <v>16417.492000000002</v>
      </c>
      <c r="P59" s="244">
        <f t="shared" si="34"/>
        <v>18325.208999999999</v>
      </c>
      <c r="Q59" s="244">
        <f t="shared" si="34"/>
        <v>18440.377</v>
      </c>
      <c r="R59" s="1315">
        <f t="shared" si="34"/>
        <v>25789.989000000001</v>
      </c>
      <c r="S59" s="1325">
        <f t="shared" si="34"/>
        <v>32068.626</v>
      </c>
      <c r="T59" s="245">
        <f t="shared" ref="T59:AD59" si="35">SUM(T53:T58)</f>
        <v>38541.521336364116</v>
      </c>
      <c r="U59" s="245">
        <f t="shared" si="35"/>
        <v>44624.643985342205</v>
      </c>
      <c r="V59" s="245">
        <f t="shared" si="35"/>
        <v>50553.771021949899</v>
      </c>
      <c r="W59" s="245">
        <f t="shared" si="35"/>
        <v>57128.782960528799</v>
      </c>
      <c r="X59" s="245">
        <f t="shared" si="35"/>
        <v>63270.738066988277</v>
      </c>
      <c r="Y59" s="245">
        <f t="shared" si="35"/>
        <v>69581.149174231541</v>
      </c>
      <c r="Z59" s="245">
        <f t="shared" si="35"/>
        <v>76085.85468662827</v>
      </c>
      <c r="AA59" s="245">
        <f t="shared" si="35"/>
        <v>82830.784802090304</v>
      </c>
      <c r="AB59" s="245">
        <f t="shared" si="35"/>
        <v>89858.473220422165</v>
      </c>
      <c r="AC59" s="245">
        <f t="shared" si="35"/>
        <v>97226.93727244297</v>
      </c>
      <c r="AD59" s="245">
        <f t="shared" si="35"/>
        <v>106481.22168546831</v>
      </c>
      <c r="AE59" s="245"/>
      <c r="AF59" s="10"/>
      <c r="AG59" s="10"/>
      <c r="AH59" s="10"/>
      <c r="AI59" s="10"/>
      <c r="AJ59" s="10"/>
    </row>
    <row r="60" spans="1:36" s="2" customFormat="1">
      <c r="A60" s="2" t="s">
        <v>24</v>
      </c>
      <c r="B60" s="91">
        <f>B46+B48+B49+B50+B59</f>
        <v>8102.7290000000012</v>
      </c>
      <c r="C60" s="91">
        <f>C46+C48+C49+C50+C59</f>
        <v>9049.0509999999995</v>
      </c>
      <c r="D60" s="91">
        <f>D46+D48+D49+D50+D59</f>
        <v>8800.3069999999989</v>
      </c>
      <c r="E60" s="91">
        <f t="shared" ref="E60:S60" si="36">E59+E50+E49+E48+E46</f>
        <v>8720.7840000000033</v>
      </c>
      <c r="F60" s="242">
        <f t="shared" si="36"/>
        <v>8718.327000000003</v>
      </c>
      <c r="G60" s="242">
        <f t="shared" si="36"/>
        <v>8673.992000000002</v>
      </c>
      <c r="H60" s="242" t="e">
        <f>H59+H50+H49+H48+H46</f>
        <v>#REF!</v>
      </c>
      <c r="I60" s="248">
        <f>I59+I50+I49+I48+I46</f>
        <v>11714.619000000001</v>
      </c>
      <c r="J60" s="242">
        <f t="shared" si="36"/>
        <v>18016.505000000001</v>
      </c>
      <c r="K60" s="242">
        <f t="shared" si="36"/>
        <v>21375.076999999997</v>
      </c>
      <c r="L60" s="242">
        <f t="shared" si="36"/>
        <v>26636.066999999999</v>
      </c>
      <c r="M60" s="242">
        <f t="shared" si="36"/>
        <v>30114.400999999998</v>
      </c>
      <c r="N60" s="244">
        <f>N59+N50+N49+N48+N46</f>
        <v>42723.040999999997</v>
      </c>
      <c r="O60" s="244">
        <f t="shared" si="36"/>
        <v>47046.043000000005</v>
      </c>
      <c r="P60" s="244">
        <f t="shared" si="36"/>
        <v>49703.228999999992</v>
      </c>
      <c r="Q60" s="244">
        <f t="shared" si="36"/>
        <v>50685.198999999993</v>
      </c>
      <c r="R60" s="1330">
        <f t="shared" si="36"/>
        <v>63526.718999999997</v>
      </c>
      <c r="S60" s="1326">
        <f t="shared" si="36"/>
        <v>73282.068999999989</v>
      </c>
      <c r="T60" s="245">
        <f t="shared" ref="T60:AD60" si="37">T59+T50+T49+T48+T46</f>
        <v>78896.484736302198</v>
      </c>
      <c r="U60" s="245">
        <f t="shared" si="37"/>
        <v>84103.953761955723</v>
      </c>
      <c r="V60" s="245">
        <f t="shared" si="37"/>
        <v>89139.909582862849</v>
      </c>
      <c r="W60" s="245">
        <f t="shared" si="37"/>
        <v>94803.882271096125</v>
      </c>
      <c r="X60" s="245">
        <f t="shared" si="37"/>
        <v>100016.57263964161</v>
      </c>
      <c r="Y60" s="245">
        <f t="shared" si="37"/>
        <v>105379.12891757564</v>
      </c>
      <c r="Z60" s="245">
        <f t="shared" si="37"/>
        <v>110917.0176114825</v>
      </c>
      <c r="AA60" s="245">
        <f t="shared" si="37"/>
        <v>116675.78958161327</v>
      </c>
      <c r="AB60" s="245">
        <f t="shared" si="37"/>
        <v>122697.59160140045</v>
      </c>
      <c r="AC60" s="245">
        <f t="shared" si="37"/>
        <v>129040.04633476646</v>
      </c>
      <c r="AD60" s="245">
        <f t="shared" si="37"/>
        <v>137247.79594675513</v>
      </c>
      <c r="AE60" s="245"/>
      <c r="AF60" s="141"/>
      <c r="AG60" s="141"/>
      <c r="AH60" s="141"/>
      <c r="AI60" s="141"/>
      <c r="AJ60" s="141"/>
    </row>
    <row r="61" spans="1:36">
      <c r="A61" s="56" t="s">
        <v>263</v>
      </c>
      <c r="B61" s="212"/>
      <c r="C61" s="212">
        <f t="shared" ref="C61:S61" si="38">C60-C39</f>
        <v>0</v>
      </c>
      <c r="D61" s="212">
        <f t="shared" si="38"/>
        <v>0</v>
      </c>
      <c r="E61" s="212">
        <f t="shared" si="38"/>
        <v>0</v>
      </c>
      <c r="F61" s="213" t="e">
        <f t="shared" si="38"/>
        <v>#REF!</v>
      </c>
      <c r="G61" s="213">
        <f t="shared" si="38"/>
        <v>0</v>
      </c>
      <c r="H61" s="256" t="e">
        <f>H60-H39</f>
        <v>#REF!</v>
      </c>
      <c r="I61" s="212">
        <f>I60-I39</f>
        <v>0</v>
      </c>
      <c r="J61" s="213">
        <f>J60-J39</f>
        <v>0</v>
      </c>
      <c r="K61" s="213">
        <f>K60-K39</f>
        <v>-12929.299000000006</v>
      </c>
      <c r="L61" s="213">
        <f>L60-L39</f>
        <v>-2239.9001832467548</v>
      </c>
      <c r="M61" s="213">
        <f t="shared" si="38"/>
        <v>-2419.5622600000024</v>
      </c>
      <c r="N61" s="213">
        <f t="shared" si="38"/>
        <v>1.1493999918457121E-3</v>
      </c>
      <c r="O61" s="213">
        <f t="shared" si="38"/>
        <v>-590.04202959999384</v>
      </c>
      <c r="P61" s="213">
        <f t="shared" si="38"/>
        <v>0</v>
      </c>
      <c r="Q61" s="213">
        <f t="shared" si="38"/>
        <v>9.9999999656574801E-4</v>
      </c>
      <c r="R61" s="1318">
        <f>R60-R39</f>
        <v>0</v>
      </c>
      <c r="S61" s="1320">
        <f t="shared" si="38"/>
        <v>0</v>
      </c>
      <c r="T61" s="1379">
        <f t="shared" ref="T61:AD61" si="39">T60-T39</f>
        <v>0</v>
      </c>
      <c r="U61" s="257">
        <f t="shared" si="39"/>
        <v>0</v>
      </c>
      <c r="V61" s="257">
        <f t="shared" si="39"/>
        <v>0</v>
      </c>
      <c r="W61" s="257">
        <f t="shared" si="39"/>
        <v>0</v>
      </c>
      <c r="X61" s="257">
        <f t="shared" si="39"/>
        <v>0</v>
      </c>
      <c r="Y61" s="257">
        <f t="shared" si="39"/>
        <v>0</v>
      </c>
      <c r="Z61" s="257">
        <f t="shared" si="39"/>
        <v>0</v>
      </c>
      <c r="AA61" s="257">
        <f t="shared" si="39"/>
        <v>0</v>
      </c>
      <c r="AB61" s="257">
        <f t="shared" si="39"/>
        <v>0</v>
      </c>
      <c r="AC61" s="257">
        <f t="shared" si="39"/>
        <v>0</v>
      </c>
      <c r="AD61" s="257">
        <f t="shared" si="39"/>
        <v>0</v>
      </c>
      <c r="AE61" s="257"/>
      <c r="AF61" s="10"/>
      <c r="AG61" s="10"/>
      <c r="AH61" s="10"/>
      <c r="AI61" s="10"/>
      <c r="AJ61" s="10"/>
    </row>
    <row r="62" spans="1:36">
      <c r="A62" s="56" t="s">
        <v>528</v>
      </c>
      <c r="B62" s="212"/>
      <c r="C62" s="212"/>
      <c r="D62" s="212"/>
      <c r="E62" s="212"/>
      <c r="F62" s="213"/>
      <c r="G62" s="213"/>
      <c r="H62" s="213"/>
      <c r="O62" s="229">
        <f t="shared" ref="O62:V62" si="40">O17/365.099</f>
        <v>74.251811233665393</v>
      </c>
      <c r="P62" s="31">
        <f t="shared" si="40"/>
        <v>82.764628224125502</v>
      </c>
      <c r="Q62" s="31">
        <f t="shared" si="40"/>
        <v>90.196445347700205</v>
      </c>
      <c r="R62" s="31">
        <f t="shared" si="40"/>
        <v>131.35286045702671</v>
      </c>
      <c r="S62" s="31">
        <f t="shared" si="40"/>
        <v>168.49275128115934</v>
      </c>
      <c r="T62" s="229">
        <f t="shared" si="40"/>
        <v>183.64317938611202</v>
      </c>
      <c r="U62" s="229">
        <f t="shared" si="40"/>
        <v>199.50199408084802</v>
      </c>
      <c r="V62" s="229">
        <f t="shared" si="40"/>
        <v>214.74809098767653</v>
      </c>
      <c r="W62" s="229">
        <f t="shared" ref="W62:AD62" si="41">W17/365.099</f>
        <v>229.88542935966228</v>
      </c>
      <c r="X62" s="229">
        <f t="shared" si="41"/>
        <v>243.77072273408862</v>
      </c>
      <c r="Y62" s="229">
        <f t="shared" si="41"/>
        <v>258.04982073497428</v>
      </c>
      <c r="Z62" s="229">
        <f t="shared" si="41"/>
        <v>272.79176086436291</v>
      </c>
      <c r="AA62" s="229">
        <f t="shared" si="41"/>
        <v>288.12056044351948</v>
      </c>
      <c r="AB62" s="229">
        <f t="shared" si="41"/>
        <v>304.15088082649481</v>
      </c>
      <c r="AC62" s="229">
        <f t="shared" si="41"/>
        <v>321.03973793619917</v>
      </c>
      <c r="AD62" s="229">
        <f t="shared" si="41"/>
        <v>343.01703391717695</v>
      </c>
      <c r="AE62" s="229"/>
      <c r="AF62" s="10"/>
      <c r="AG62" s="10"/>
      <c r="AH62" s="10"/>
      <c r="AI62" s="10"/>
      <c r="AJ62" s="10"/>
    </row>
    <row r="63" spans="1:36">
      <c r="A63" s="1" t="s">
        <v>591</v>
      </c>
      <c r="N63" s="31">
        <f>N17</f>
        <v>20918.440850600004</v>
      </c>
      <c r="O63" s="31">
        <f t="shared" ref="O63:R63" si="42">O17</f>
        <v>27109.262029600002</v>
      </c>
      <c r="P63" s="31">
        <f t="shared" si="42"/>
        <v>30217.282999999996</v>
      </c>
      <c r="Q63" s="31">
        <f t="shared" si="42"/>
        <v>32930.631999999998</v>
      </c>
      <c r="R63" s="31">
        <f t="shared" si="42"/>
        <v>47956.797999999995</v>
      </c>
      <c r="S63" s="31"/>
      <c r="T63" s="229"/>
      <c r="U63" s="229"/>
      <c r="V63" s="229"/>
      <c r="W63" s="229"/>
      <c r="X63" s="229"/>
      <c r="Y63" s="229"/>
      <c r="Z63" s="229"/>
      <c r="AA63" s="229"/>
      <c r="AB63" s="229"/>
      <c r="AC63" s="229"/>
      <c r="AD63" s="229"/>
      <c r="AE63" s="229"/>
      <c r="AF63" s="10"/>
      <c r="AG63" s="10"/>
      <c r="AH63" s="10"/>
      <c r="AI63" s="10"/>
      <c r="AJ63" s="10"/>
    </row>
    <row r="64" spans="1:36">
      <c r="N64" s="31">
        <f>N20+N28+N32</f>
        <v>18208.353999999999</v>
      </c>
      <c r="O64" s="31">
        <f t="shared" ref="O64:R64" si="43">O20+O28+O32</f>
        <v>16814.432000000001</v>
      </c>
      <c r="P64" s="31">
        <f t="shared" si="43"/>
        <v>15574.127</v>
      </c>
      <c r="Q64" s="31">
        <f t="shared" si="43"/>
        <v>13528.111000000001</v>
      </c>
      <c r="R64" s="31">
        <f t="shared" si="43"/>
        <v>9759.509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10"/>
      <c r="AG64" s="10"/>
      <c r="AH64" s="10"/>
      <c r="AI64" s="10"/>
      <c r="AJ64" s="10"/>
    </row>
    <row r="65" spans="1:36">
      <c r="A65" s="2" t="s">
        <v>264</v>
      </c>
      <c r="B65" s="258"/>
      <c r="F65" s="259"/>
      <c r="G65" s="259"/>
      <c r="H65" s="259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10"/>
      <c r="AG65" s="10"/>
      <c r="AH65" s="10"/>
      <c r="AI65" s="10"/>
      <c r="AJ65" s="10"/>
    </row>
    <row r="66" spans="1:36">
      <c r="A66" s="1" t="s">
        <v>265</v>
      </c>
      <c r="B66" s="258"/>
      <c r="F66" s="259"/>
      <c r="G66" s="259"/>
      <c r="H66" s="259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10"/>
      <c r="AG66" s="10"/>
      <c r="AH66" s="10"/>
      <c r="AI66" s="10"/>
      <c r="AJ66" s="10"/>
    </row>
    <row r="67" spans="1:36">
      <c r="A67" s="1" t="s">
        <v>256</v>
      </c>
      <c r="B67" s="34">
        <f>B53/IS!C$12</f>
        <v>0.2935884250004081</v>
      </c>
      <c r="C67" s="34">
        <f>C53/IS!D$12</f>
        <v>0.3152851976177235</v>
      </c>
      <c r="D67" s="34">
        <f>D53/IS!E$12</f>
        <v>0.16764742585009212</v>
      </c>
      <c r="E67" s="34">
        <f>E53/IS!F$12</f>
        <v>0.1744986602170428</v>
      </c>
      <c r="F67" s="34">
        <f>F53/IS!G$12</f>
        <v>0.20931315227648215</v>
      </c>
      <c r="G67" s="34">
        <f>G53/IS!H$12</f>
        <v>0.19770150964411068</v>
      </c>
      <c r="H67" s="34">
        <f>H53/IS!M$12</f>
        <v>0.22354400358822804</v>
      </c>
      <c r="I67" s="36">
        <f>I53/IS!R$12</f>
        <v>0.24179912412729515</v>
      </c>
      <c r="J67" s="36">
        <f>J53/IS!W$12</f>
        <v>0.19605440604898891</v>
      </c>
      <c r="K67" s="32">
        <f>K53/IS!AB$12</f>
        <v>0.10508851239965483</v>
      </c>
      <c r="L67" s="45">
        <f>L53/IS!AG$12</f>
        <v>0.23308074848608756</v>
      </c>
      <c r="M67" s="45">
        <f>M53/IS!AL$12</f>
        <v>0.1847381278284197</v>
      </c>
      <c r="N67" s="45">
        <f>N53/IS!AQ$12</f>
        <v>0.16275891097829853</v>
      </c>
      <c r="O67" s="45">
        <f>O53/IS!AU$12</f>
        <v>0.17893110462472883</v>
      </c>
      <c r="P67" s="45">
        <f>P53/IS!AZ$12</f>
        <v>0.19071950463143042</v>
      </c>
      <c r="Q67" s="45">
        <f>Q53/IS!BE$12</f>
        <v>0.18027400872676613</v>
      </c>
      <c r="R67" s="260">
        <v>0.15</v>
      </c>
      <c r="S67" s="260">
        <f>R67</f>
        <v>0.15</v>
      </c>
      <c r="T67" s="261">
        <f t="shared" ref="T67:AD67" si="44">S67</f>
        <v>0.15</v>
      </c>
      <c r="U67" s="261">
        <f t="shared" si="44"/>
        <v>0.15</v>
      </c>
      <c r="V67" s="261">
        <f t="shared" si="44"/>
        <v>0.15</v>
      </c>
      <c r="W67" s="261">
        <f t="shared" si="44"/>
        <v>0.15</v>
      </c>
      <c r="X67" s="261">
        <f t="shared" si="44"/>
        <v>0.15</v>
      </c>
      <c r="Y67" s="261">
        <f t="shared" si="44"/>
        <v>0.15</v>
      </c>
      <c r="Z67" s="261">
        <f t="shared" si="44"/>
        <v>0.15</v>
      </c>
      <c r="AA67" s="261">
        <f t="shared" si="44"/>
        <v>0.15</v>
      </c>
      <c r="AB67" s="261">
        <f t="shared" si="44"/>
        <v>0.15</v>
      </c>
      <c r="AC67" s="261">
        <f t="shared" si="44"/>
        <v>0.15</v>
      </c>
      <c r="AD67" s="261">
        <f t="shared" si="44"/>
        <v>0.15</v>
      </c>
      <c r="AE67" s="261"/>
      <c r="AF67" s="10"/>
      <c r="AG67" s="10"/>
      <c r="AH67" s="10"/>
      <c r="AI67" s="10"/>
      <c r="AJ67" s="10"/>
    </row>
    <row r="68" spans="1:36">
      <c r="A68" s="1" t="s">
        <v>257</v>
      </c>
      <c r="B68" s="34">
        <f>B54/IS!C$12</f>
        <v>3.0667248444264369E-2</v>
      </c>
      <c r="C68" s="34">
        <f>C54/IS!D$12</f>
        <v>0.12020503913290172</v>
      </c>
      <c r="D68" s="34">
        <f>D54/IS!E$12</f>
        <v>5.2228634746045485E-2</v>
      </c>
      <c r="E68" s="34">
        <f>E54/IS!F$12</f>
        <v>2.2668937354698278E-2</v>
      </c>
      <c r="F68" s="34">
        <f>F54/IS!G$12</f>
        <v>2.8320046147238535E-2</v>
      </c>
      <c r="G68" s="34">
        <f>G54/IS!H$12</f>
        <v>5.3725851101317064E-2</v>
      </c>
      <c r="H68" s="34">
        <f>H54/IS!M$12</f>
        <v>6.2153618675898359E-2</v>
      </c>
      <c r="I68" s="36">
        <f>I54/IS!R$12</f>
        <v>7.6888169125229611E-2</v>
      </c>
      <c r="J68" s="36">
        <f>J54/IS!W$12</f>
        <v>1.9129245618953093E-2</v>
      </c>
      <c r="K68" s="32">
        <f>K54/IS!AB$12</f>
        <v>2.8443379654623468E-2</v>
      </c>
      <c r="L68" s="45">
        <f>L54/IS!AG$12</f>
        <v>4.5974648051872187E-2</v>
      </c>
      <c r="M68" s="45">
        <f>M54/IS!AL$12</f>
        <v>3.5823247894342887E-2</v>
      </c>
      <c r="N68" s="45">
        <f>N54/IS!AQ$12</f>
        <v>4.9884984202034223E-2</v>
      </c>
      <c r="O68" s="45">
        <f>O54/IS!AU$12</f>
        <v>6.1479532723099035E-2</v>
      </c>
      <c r="P68" s="314">
        <f>P54/IS!AZ$12</f>
        <v>4.6408559568563566E-2</v>
      </c>
      <c r="Q68" s="314">
        <f>Q54/IS!BE$12</f>
        <v>4.1596998464434612E-2</v>
      </c>
      <c r="R68" s="260">
        <v>0.05</v>
      </c>
      <c r="S68" s="260">
        <v>0.05</v>
      </c>
      <c r="T68" s="261">
        <v>0.05</v>
      </c>
      <c r="U68" s="261">
        <v>0.05</v>
      </c>
      <c r="V68" s="261">
        <v>0.05</v>
      </c>
      <c r="W68" s="261">
        <v>0.05</v>
      </c>
      <c r="X68" s="261">
        <v>0.05</v>
      </c>
      <c r="Y68" s="261">
        <v>0.05</v>
      </c>
      <c r="Z68" s="261">
        <v>0.05</v>
      </c>
      <c r="AA68" s="261">
        <v>0.05</v>
      </c>
      <c r="AB68" s="261">
        <v>0.05</v>
      </c>
      <c r="AC68" s="261">
        <v>0.05</v>
      </c>
      <c r="AD68" s="261">
        <v>0.05</v>
      </c>
      <c r="AE68" s="261"/>
      <c r="AF68" s="10"/>
      <c r="AG68" s="10"/>
      <c r="AH68" s="10"/>
      <c r="AI68" s="10"/>
      <c r="AJ68" s="10"/>
    </row>
    <row r="69" spans="1:36">
      <c r="A69" s="1" t="s">
        <v>258</v>
      </c>
      <c r="B69" s="34">
        <f>B55/IS!C$12</f>
        <v>0</v>
      </c>
      <c r="C69" s="34">
        <f>C55/IS!D$12</f>
        <v>3.6524310664472391E-2</v>
      </c>
      <c r="D69" s="34">
        <f>D55/IS!E$12</f>
        <v>1.6504898190736056E-2</v>
      </c>
      <c r="E69" s="34">
        <f>E55/IS!F$12</f>
        <v>1.7237770530483375E-2</v>
      </c>
      <c r="F69" s="34">
        <f>F55/IS!G$12</f>
        <v>1.6746008357916977E-2</v>
      </c>
      <c r="G69" s="34">
        <f>G55/IS!H$12</f>
        <v>1.0447449362809686E-2</v>
      </c>
      <c r="H69" s="34">
        <f>H55/IS!M$12</f>
        <v>5.0751903572385871E-3</v>
      </c>
      <c r="I69" s="36">
        <f>I55/IS!R$12</f>
        <v>1.3552744493859516E-2</v>
      </c>
      <c r="J69" s="36">
        <f>J55/IS!W$12</f>
        <v>1.4440218503057071E-2</v>
      </c>
      <c r="K69" s="32">
        <f>K55/IS!AB$12</f>
        <v>9.3222879545581672E-3</v>
      </c>
      <c r="L69" s="45">
        <f>L55/IS!AG$12</f>
        <v>2.2469380999668984E-2</v>
      </c>
      <c r="M69" s="45">
        <f>M55/IS!AL$12</f>
        <v>2.9420947909673121E-2</v>
      </c>
      <c r="N69" s="45">
        <f>N55/IS!AQ$12</f>
        <v>2.8493176301440173E-2</v>
      </c>
      <c r="O69" s="45">
        <f>O55/IS!AU$12</f>
        <v>1.8022060971276437E-2</v>
      </c>
      <c r="P69" s="45">
        <f>P55/IS!AZ$12</f>
        <v>2.4723857709865609E-2</v>
      </c>
      <c r="Q69" s="45">
        <f>Q55/IS!BE$12</f>
        <v>1.3854990705169224E-2</v>
      </c>
      <c r="R69" s="260">
        <v>0.04</v>
      </c>
      <c r="S69" s="260">
        <v>0.04</v>
      </c>
      <c r="T69" s="261">
        <v>0.04</v>
      </c>
      <c r="U69" s="261">
        <v>0.04</v>
      </c>
      <c r="V69" s="261">
        <v>0.04</v>
      </c>
      <c r="W69" s="261">
        <v>0.04</v>
      </c>
      <c r="X69" s="261">
        <v>0.04</v>
      </c>
      <c r="Y69" s="261">
        <v>0.04</v>
      </c>
      <c r="Z69" s="261">
        <v>0.04</v>
      </c>
      <c r="AA69" s="261">
        <v>0.04</v>
      </c>
      <c r="AB69" s="261">
        <v>0.04</v>
      </c>
      <c r="AC69" s="261">
        <v>0.04</v>
      </c>
      <c r="AD69" s="261">
        <v>0.04</v>
      </c>
      <c r="AE69" s="261"/>
      <c r="AF69" s="10"/>
      <c r="AG69" s="10"/>
      <c r="AH69" s="10"/>
      <c r="AI69" s="10"/>
      <c r="AJ69" s="10"/>
    </row>
    <row r="70" spans="1:36">
      <c r="A70" s="1" t="s">
        <v>259</v>
      </c>
      <c r="B70" s="34">
        <f>B56/IS!C$12</f>
        <v>0.27473556575645186</v>
      </c>
      <c r="C70" s="34">
        <f>C56/IS!D$12</f>
        <v>0.21222405795721166</v>
      </c>
      <c r="D70" s="34">
        <f>D56/IS!E$12</f>
        <v>0.13111167556267908</v>
      </c>
      <c r="E70" s="34">
        <f>E56/IS!F$12</f>
        <v>0.13526337285517498</v>
      </c>
      <c r="F70" s="34">
        <f>F56/IS!G$12</f>
        <v>0.15515363080328173</v>
      </c>
      <c r="G70" s="34">
        <f>G56/IS!H$12</f>
        <v>0.2102919312277326</v>
      </c>
      <c r="H70" s="34">
        <f>H56/IS!M$12</f>
        <v>0.32334092912915274</v>
      </c>
      <c r="I70" s="36">
        <f>I56/IS!R$12</f>
        <v>0.35717310075626696</v>
      </c>
      <c r="J70" s="36">
        <f>J56/IS!W$12</f>
        <v>0.52450090537847849</v>
      </c>
      <c r="K70" s="32">
        <f>K56/IS!AB$12</f>
        <v>0</v>
      </c>
      <c r="L70" s="45">
        <f>L56/IS!AG$12</f>
        <v>0</v>
      </c>
      <c r="M70" s="45">
        <f>M56/IS!AL$12</f>
        <v>0</v>
      </c>
      <c r="N70" s="45">
        <f>N56/IS!AQ$12</f>
        <v>0.43163742134960592</v>
      </c>
      <c r="O70" s="45">
        <f>O56/IS!AU$12</f>
        <v>0.63686490916164562</v>
      </c>
      <c r="P70" s="45">
        <f>P56/IS!AZ$12</f>
        <v>0.65275446813884419</v>
      </c>
      <c r="Q70" s="45">
        <f>Q56/IS!BE$12</f>
        <v>0.48479835578903274</v>
      </c>
      <c r="R70" s="260">
        <v>0.15</v>
      </c>
      <c r="S70" s="260">
        <v>0.15</v>
      </c>
      <c r="T70" s="261">
        <v>0.15</v>
      </c>
      <c r="U70" s="261">
        <v>0.15</v>
      </c>
      <c r="V70" s="261">
        <v>0.15</v>
      </c>
      <c r="W70" s="261">
        <v>0.15</v>
      </c>
      <c r="X70" s="261">
        <v>0.15</v>
      </c>
      <c r="Y70" s="261">
        <v>0.15</v>
      </c>
      <c r="Z70" s="261">
        <v>0.15</v>
      </c>
      <c r="AA70" s="261">
        <v>0.15</v>
      </c>
      <c r="AB70" s="261">
        <v>0.15</v>
      </c>
      <c r="AC70" s="261">
        <v>0.15</v>
      </c>
      <c r="AD70" s="261">
        <v>0.15</v>
      </c>
      <c r="AE70" s="261"/>
      <c r="AF70" s="10"/>
      <c r="AG70" s="10"/>
      <c r="AH70" s="10"/>
      <c r="AI70" s="10"/>
      <c r="AJ70" s="10"/>
    </row>
    <row r="71" spans="1:36">
      <c r="A71" s="1" t="s">
        <v>260</v>
      </c>
      <c r="B71" s="34">
        <f>B57/IS!C$12</f>
        <v>0.10314901966022406</v>
      </c>
      <c r="C71" s="34">
        <f>C57/IS!D$12</f>
        <v>0.11439866406560863</v>
      </c>
      <c r="D71" s="34">
        <f>D57/IS!E$12</f>
        <v>7.4904837300769009E-2</v>
      </c>
      <c r="E71" s="34">
        <f>E57/IS!F$12</f>
        <v>6.3509042090863305E-2</v>
      </c>
      <c r="F71" s="34">
        <f>F57/IS!G$12</f>
        <v>6.1608679568247442E-2</v>
      </c>
      <c r="G71" s="34">
        <f>G57/IS!H$12</f>
        <v>5.0759309570103453E-2</v>
      </c>
      <c r="H71" s="34">
        <f>H57/IS!M$12</f>
        <v>4.9826771737757194E-2</v>
      </c>
      <c r="I71" s="36">
        <f>I57/IS!R$12</f>
        <v>3.0990615943932608E-2</v>
      </c>
      <c r="J71" s="36">
        <f>J57/IS!W$12</f>
        <v>2.3010629673684928E-2</v>
      </c>
      <c r="K71" s="32">
        <f>K57/IS!AB$12</f>
        <v>1.916433132868214E-2</v>
      </c>
      <c r="L71" s="45">
        <f>L57/IS!AG$12</f>
        <v>3.5720933855170667E-2</v>
      </c>
      <c r="M71" s="45">
        <f>M57/IS!AL$12</f>
        <v>6.2860216249466902E-2</v>
      </c>
      <c r="N71" s="45">
        <f>N57/IS!AQ$12</f>
        <v>5.0343122695543717E-2</v>
      </c>
      <c r="O71" s="45">
        <f>O57/IS!AU$12</f>
        <v>6.4461083364623223E-2</v>
      </c>
      <c r="P71" s="45">
        <f>P57/IS!AZ$12</f>
        <v>6.118059354268604E-2</v>
      </c>
      <c r="Q71" s="45">
        <f>Q57/IS!BE$12</f>
        <v>6.4314486023069523E-2</v>
      </c>
      <c r="R71" s="260">
        <f t="shared" ref="R71:AD71" si="45">+Q71</f>
        <v>6.4314486023069523E-2</v>
      </c>
      <c r="S71" s="260">
        <f t="shared" si="45"/>
        <v>6.4314486023069523E-2</v>
      </c>
      <c r="T71" s="261">
        <f t="shared" si="45"/>
        <v>6.4314486023069523E-2</v>
      </c>
      <c r="U71" s="261">
        <f t="shared" si="45"/>
        <v>6.4314486023069523E-2</v>
      </c>
      <c r="V71" s="261">
        <f t="shared" si="45"/>
        <v>6.4314486023069523E-2</v>
      </c>
      <c r="W71" s="261">
        <f t="shared" si="45"/>
        <v>6.4314486023069523E-2</v>
      </c>
      <c r="X71" s="261">
        <f t="shared" si="45"/>
        <v>6.4314486023069523E-2</v>
      </c>
      <c r="Y71" s="261">
        <f t="shared" si="45"/>
        <v>6.4314486023069523E-2</v>
      </c>
      <c r="Z71" s="261">
        <f t="shared" si="45"/>
        <v>6.4314486023069523E-2</v>
      </c>
      <c r="AA71" s="261">
        <f t="shared" si="45"/>
        <v>6.4314486023069523E-2</v>
      </c>
      <c r="AB71" s="261">
        <f t="shared" si="45"/>
        <v>6.4314486023069523E-2</v>
      </c>
      <c r="AC71" s="261">
        <f t="shared" si="45"/>
        <v>6.4314486023069523E-2</v>
      </c>
      <c r="AD71" s="261">
        <f t="shared" si="45"/>
        <v>6.4314486023069523E-2</v>
      </c>
      <c r="AE71" s="261"/>
      <c r="AF71" s="10"/>
      <c r="AG71" s="10"/>
      <c r="AH71" s="10"/>
      <c r="AI71" s="10"/>
      <c r="AJ71" s="10"/>
    </row>
    <row r="72" spans="1:36">
      <c r="A72" s="1" t="s">
        <v>261</v>
      </c>
      <c r="B72" s="34">
        <f>B58/IS!C$12</f>
        <v>3.1917625041370024E-2</v>
      </c>
      <c r="C72" s="34">
        <f>C58/IS!D$12</f>
        <v>1.5921929517999842E-2</v>
      </c>
      <c r="D72" s="34">
        <f>D58/IS!E$12</f>
        <v>4.2972563228655114E-2</v>
      </c>
      <c r="E72" s="34">
        <f>E58/IS!F$12</f>
        <v>3.7085450493949401E-2</v>
      </c>
      <c r="F72" s="260">
        <f>F58/IS!G$12</f>
        <v>2.055425278780108E-2</v>
      </c>
      <c r="G72" s="260">
        <f>G58/IS!H$12</f>
        <v>2.5578466402859656E-2</v>
      </c>
      <c r="H72" s="260" t="e">
        <f>H58/IS!M$12</f>
        <v>#REF!</v>
      </c>
      <c r="I72" s="92">
        <f>I58/IS!R$12</f>
        <v>2.1631799680433179E-2</v>
      </c>
      <c r="J72" s="92">
        <f>J58/IS!W$12</f>
        <v>1.7773450817871184E-2</v>
      </c>
      <c r="K72" s="32">
        <f>K58/IS!AB$12</f>
        <v>9.6996291321969942E-3</v>
      </c>
      <c r="L72" s="45">
        <f>L58/IS!AG$12</f>
        <v>1.8096539906926029E-2</v>
      </c>
      <c r="M72" s="45">
        <f>M58/IS!AL$12</f>
        <v>1.8188339446678276E-2</v>
      </c>
      <c r="N72" s="45">
        <f>N58/IS!AQ$12</f>
        <v>1.3518079203090817E-2</v>
      </c>
      <c r="O72" s="45">
        <f>O58/IS!AU$12</f>
        <v>1.368435986195984E-2</v>
      </c>
      <c r="P72" s="45">
        <f>P58/IS!AZ$12</f>
        <v>1.0648591892060364E-2</v>
      </c>
      <c r="Q72" s="45">
        <f>Q58/IS!BE$12</f>
        <v>1.8668572735520354E-2</v>
      </c>
      <c r="R72" s="260">
        <f>R58/IS!BJ$12</f>
        <v>1.8818527460591067E-2</v>
      </c>
      <c r="S72" s="260">
        <f>S58/IS!BP$12</f>
        <v>4.9318095738424737E-2</v>
      </c>
      <c r="T72" s="261">
        <f>T58/IS!BU$12</f>
        <v>0.23167184311518632</v>
      </c>
      <c r="U72" s="261">
        <f>U58/IS!BV$12</f>
        <v>0.39644960033841364</v>
      </c>
      <c r="V72" s="261">
        <f>V58/IS!BW$12</f>
        <v>0.55004672664806686</v>
      </c>
      <c r="W72" s="261">
        <f>W58/IS!BX$12</f>
        <v>0.70980752408867576</v>
      </c>
      <c r="X72" s="261">
        <f>X58/IS!BY$12</f>
        <v>0.84258321778089917</v>
      </c>
      <c r="Y72" s="261">
        <f>Y58/IS!BZ$12</f>
        <v>0.96731008113810502</v>
      </c>
      <c r="Z72" s="261">
        <f>Z58/IS!CA$12</f>
        <v>1.0848432201265854</v>
      </c>
      <c r="AA72" s="261">
        <f>AA58/IS!CB$12</f>
        <v>1.1965319895509208</v>
      </c>
      <c r="AB72" s="261">
        <f>AB58/IS!CC$12</f>
        <v>1.303457757713421</v>
      </c>
      <c r="AC72" s="261">
        <f>AC58/IS!CD$12</f>
        <v>1.4068963156528895</v>
      </c>
      <c r="AD72" s="261">
        <f>AD58/IS!CE$12</f>
        <v>1.5436582570893094</v>
      </c>
      <c r="AE72" s="261"/>
      <c r="AF72" s="10"/>
      <c r="AG72" s="10"/>
      <c r="AH72" s="10"/>
      <c r="AI72" s="10"/>
      <c r="AJ72" s="10"/>
    </row>
    <row r="73" spans="1:36">
      <c r="N73" s="45"/>
      <c r="O73" s="45"/>
      <c r="P73" s="45"/>
      <c r="Q73" s="45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10"/>
      <c r="AG73" s="10"/>
      <c r="AH73" s="10"/>
      <c r="AI73" s="10"/>
      <c r="AJ73" s="10"/>
    </row>
    <row r="74" spans="1:36">
      <c r="A74" s="2" t="s">
        <v>266</v>
      </c>
      <c r="N74" s="45"/>
      <c r="O74" s="45"/>
      <c r="P74" s="45"/>
      <c r="Q74" s="45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10"/>
      <c r="AG74" s="10"/>
      <c r="AH74" s="10"/>
      <c r="AI74" s="10"/>
      <c r="AJ74" s="10"/>
    </row>
    <row r="75" spans="1:36">
      <c r="A75" s="1" t="s">
        <v>241</v>
      </c>
      <c r="B75" s="34">
        <f>B33/IS!C$12</f>
        <v>0.4124536024945199</v>
      </c>
      <c r="C75" s="34">
        <f>C33/IS!D$12</f>
        <v>0.59576765782904195</v>
      </c>
      <c r="D75" s="34">
        <f>D33/IS!E$12</f>
        <v>0.34675154680871978</v>
      </c>
      <c r="E75" s="34">
        <f>E33/IS!F$12</f>
        <v>0.18549487022487829</v>
      </c>
      <c r="F75" s="34">
        <f>F33/IS!G$12</f>
        <v>0.23194316867254586</v>
      </c>
      <c r="G75" s="34">
        <f>G33/IS!H$12</f>
        <v>0.20346686264600058</v>
      </c>
      <c r="H75" s="34">
        <f>H33/IS!M$12</f>
        <v>0.14795825944199306</v>
      </c>
      <c r="I75" s="36">
        <f>I33/IS!R$12</f>
        <v>0.12722097396797533</v>
      </c>
      <c r="J75" s="36">
        <f>J33/IS!W$12</f>
        <v>0.21865950950457991</v>
      </c>
      <c r="K75" s="32">
        <f>K33/IS!AB$12</f>
        <v>0.21967063721260258</v>
      </c>
      <c r="L75" s="45">
        <f>L33/IS!AG$12</f>
        <v>0.2133903460093074</v>
      </c>
      <c r="M75" s="45">
        <f>M33/IS!AL$12</f>
        <v>0.13940226238221515</v>
      </c>
      <c r="N75" s="45">
        <f>N33/IS!AQ$12</f>
        <v>0.10905691908566462</v>
      </c>
      <c r="O75" s="45">
        <f>O33/IS!AU$12</f>
        <v>0.1201380210706897</v>
      </c>
      <c r="P75" s="45">
        <f>P33/IS!AZ$12</f>
        <v>0.10543769840855441</v>
      </c>
      <c r="Q75" s="45">
        <f>Q33/IS!BE$12</f>
        <v>9.1891394685621727E-2</v>
      </c>
      <c r="R75" s="260">
        <f>R33/IS!AZ$12</f>
        <v>0.12307297365296962</v>
      </c>
      <c r="S75" s="260">
        <f>S33/IS!BE$12</f>
        <v>0.10790064755534601</v>
      </c>
      <c r="T75" s="261">
        <f>T33/IS!BJ$12</f>
        <v>0.11217765059078599</v>
      </c>
      <c r="U75" s="261">
        <f>U33/IS!BP$12</f>
        <v>0.11294478889950588</v>
      </c>
      <c r="V75" s="261">
        <f>V33/IS!BU$12</f>
        <v>0.10762768178037706</v>
      </c>
      <c r="W75" s="261">
        <f>W33/IS!BV$12</f>
        <v>0.1047389965204103</v>
      </c>
      <c r="X75" s="261">
        <f>X33/IS!BW$12</f>
        <v>0.10446515478196483</v>
      </c>
      <c r="Y75" s="261">
        <f>Y33/IS!BX$12</f>
        <v>0.10445474508379883</v>
      </c>
      <c r="Z75" s="261">
        <f>Z33/IS!BY$12</f>
        <v>0.10444490202425559</v>
      </c>
      <c r="AA75" s="261">
        <f>AA33/IS!BZ$12</f>
        <v>0.1044356000156159</v>
      </c>
      <c r="AB75" s="261">
        <f>AB33/IS!CA$12</f>
        <v>0.10442681473262674</v>
      </c>
      <c r="AC75" s="261">
        <f>AC33/IS!CB$12</f>
        <v>0.10441852303972143</v>
      </c>
      <c r="AD75" s="261">
        <f>AD33/IS!CC$12</f>
        <v>0.10441070292316601</v>
      </c>
      <c r="AE75" s="261"/>
      <c r="AF75" s="10"/>
      <c r="AG75" s="10"/>
      <c r="AH75" s="10"/>
      <c r="AI75" s="10"/>
      <c r="AJ75" s="10"/>
    </row>
    <row r="76" spans="1:36">
      <c r="A76" s="1" t="s">
        <v>240</v>
      </c>
      <c r="B76" s="34"/>
      <c r="C76" s="34"/>
      <c r="D76" s="34"/>
      <c r="E76" s="34" t="e">
        <f>E32/IS!V$12</f>
        <v>#DIV/0!</v>
      </c>
      <c r="F76" s="34">
        <f>F32/IS!W$12</f>
        <v>0.10629200160619444</v>
      </c>
      <c r="G76" s="34">
        <f>G32/IS!X$12</f>
        <v>9.4201941580840054E-2</v>
      </c>
      <c r="H76" s="34" t="e">
        <f>H32/IS!Y$12</f>
        <v>#REF!</v>
      </c>
      <c r="I76" s="36">
        <f>I32/IS!Z$12</f>
        <v>0.71840157040475505</v>
      </c>
      <c r="J76" s="36">
        <f>J32/IS!AA$12</f>
        <v>0.40445880656400335</v>
      </c>
      <c r="K76" s="32">
        <f>K32/IS!AB$12</f>
        <v>0.32853256138864573</v>
      </c>
      <c r="L76" s="45">
        <f>L32/IS!AG$12</f>
        <v>0.61420596997488175</v>
      </c>
      <c r="M76" s="45">
        <f>M32/IS!AL$12</f>
        <v>0.6103987177884358</v>
      </c>
      <c r="N76" s="45">
        <f>N32/IS!AQ$12</f>
        <v>0.50274241151716814</v>
      </c>
      <c r="O76" s="45">
        <f>O32/IS!AU$12</f>
        <v>0.56836187838363739</v>
      </c>
      <c r="P76" s="45">
        <f>P32/IS!AZ$12</f>
        <v>0.46788444629809078</v>
      </c>
      <c r="Q76" s="45">
        <f>Q32/IS!BE$12</f>
        <v>0.29339913419053271</v>
      </c>
      <c r="R76" s="260">
        <f t="shared" ref="R76:AD76" si="46">Q76*(1+R77)</f>
        <v>0.30220110821624868</v>
      </c>
      <c r="S76" s="260">
        <f t="shared" si="46"/>
        <v>0.31126714146273615</v>
      </c>
      <c r="T76" s="261">
        <f t="shared" si="46"/>
        <v>0.32060515570661824</v>
      </c>
      <c r="U76" s="261">
        <f t="shared" si="46"/>
        <v>0.33022331037781677</v>
      </c>
      <c r="V76" s="261">
        <f t="shared" si="46"/>
        <v>0.3401300096891513</v>
      </c>
      <c r="W76" s="261">
        <f t="shared" si="46"/>
        <v>0.35033390997982583</v>
      </c>
      <c r="X76" s="261">
        <f t="shared" si="46"/>
        <v>0.3608439272792206</v>
      </c>
      <c r="Y76" s="261">
        <f t="shared" si="46"/>
        <v>0.37166924509759725</v>
      </c>
      <c r="Z76" s="261">
        <f t="shared" si="46"/>
        <v>0.38281932245052519</v>
      </c>
      <c r="AA76" s="261">
        <f t="shared" si="46"/>
        <v>0.39430390212404098</v>
      </c>
      <c r="AB76" s="261">
        <f t="shared" si="46"/>
        <v>0.40613301918776223</v>
      </c>
      <c r="AC76" s="261">
        <f t="shared" si="46"/>
        <v>0.41831700976339509</v>
      </c>
      <c r="AD76" s="261">
        <f t="shared" si="46"/>
        <v>0.43086652005629694</v>
      </c>
      <c r="AE76" s="261"/>
      <c r="AF76" s="10"/>
      <c r="AG76" s="10"/>
      <c r="AH76" s="10"/>
      <c r="AI76" s="10"/>
      <c r="AJ76" s="10"/>
    </row>
    <row r="77" spans="1:36">
      <c r="P77" s="45">
        <v>0.03</v>
      </c>
      <c r="Q77" s="45">
        <v>0.03</v>
      </c>
      <c r="R77" s="45">
        <v>0.03</v>
      </c>
      <c r="S77" s="45">
        <v>0.03</v>
      </c>
      <c r="T77" s="20">
        <v>0.03</v>
      </c>
      <c r="U77" s="20">
        <v>0.03</v>
      </c>
      <c r="V77" s="20">
        <v>0.03</v>
      </c>
      <c r="W77" s="20">
        <v>0.03</v>
      </c>
      <c r="X77" s="20">
        <v>0.03</v>
      </c>
      <c r="Y77" s="20">
        <v>0.03</v>
      </c>
      <c r="Z77" s="20">
        <v>0.03</v>
      </c>
      <c r="AA77" s="20">
        <v>0.03</v>
      </c>
      <c r="AB77" s="20">
        <v>0.03</v>
      </c>
      <c r="AC77" s="20">
        <v>0.03</v>
      </c>
      <c r="AD77" s="20">
        <v>0.03</v>
      </c>
      <c r="AE77" s="20"/>
      <c r="AF77" s="10"/>
      <c r="AG77" s="10"/>
      <c r="AH77" s="10"/>
      <c r="AI77" s="10"/>
      <c r="AJ77" s="10"/>
    </row>
    <row r="78" spans="1:36">
      <c r="A78" s="2" t="s">
        <v>267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10"/>
      <c r="AG78" s="10"/>
      <c r="AH78" s="10"/>
      <c r="AI78" s="10"/>
      <c r="AJ78" s="10"/>
    </row>
    <row r="79" spans="1:36">
      <c r="A79" s="262" t="s">
        <v>268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10"/>
      <c r="AG79" s="10"/>
      <c r="AH79" s="10"/>
      <c r="AI79" s="10"/>
      <c r="AJ79" s="10"/>
    </row>
    <row r="80" spans="1:36">
      <c r="A80" s="1" t="s">
        <v>269</v>
      </c>
      <c r="E80" s="11"/>
      <c r="F80" s="26">
        <f t="shared" ref="F80:H84" si="47">-(F53-E53)</f>
        <v>-20.579999999999927</v>
      </c>
      <c r="G80" s="26">
        <f t="shared" si="47"/>
        <v>-3.3500000000000227</v>
      </c>
      <c r="H80" s="26">
        <f t="shared" si="47"/>
        <v>-131.36300000000006</v>
      </c>
      <c r="I80" s="23">
        <f t="shared" ref="I80:K82" si="48">-(I53-H53)</f>
        <v>-270.00199999999995</v>
      </c>
      <c r="J80" s="92">
        <f t="shared" si="48"/>
        <v>-96.233999999999924</v>
      </c>
      <c r="K80" s="92">
        <f>-(K53-J53)</f>
        <v>199.03199999999993</v>
      </c>
      <c r="L80" s="26">
        <v>-661.11599999999999</v>
      </c>
      <c r="M80" s="26">
        <v>-806.42399999999998</v>
      </c>
      <c r="N80" s="26">
        <v>-640.44399999999996</v>
      </c>
      <c r="O80" s="26">
        <f t="shared" ref="N80:AD84" si="49">-(O53-N53)</f>
        <v>-81.86200000000008</v>
      </c>
      <c r="P80" s="26">
        <f t="shared" si="49"/>
        <v>-525.29199999999992</v>
      </c>
      <c r="Q80" s="26">
        <f t="shared" si="49"/>
        <v>-594.22799999999961</v>
      </c>
      <c r="R80" s="26">
        <v>30.259</v>
      </c>
      <c r="S80" s="26">
        <f>-(S53-R53)</f>
        <v>224.20299999999997</v>
      </c>
      <c r="T80" s="15">
        <f t="shared" si="49"/>
        <v>-683.39892742477696</v>
      </c>
      <c r="U80" s="15">
        <f t="shared" si="49"/>
        <v>-317.28134839767608</v>
      </c>
      <c r="V80" s="15">
        <f t="shared" si="49"/>
        <v>-217.88816122281423</v>
      </c>
      <c r="W80" s="15">
        <f t="shared" si="49"/>
        <v>-214.84773803687767</v>
      </c>
      <c r="X80" s="15">
        <f t="shared" si="49"/>
        <v>-223.98012700743766</v>
      </c>
      <c r="Y80" s="15">
        <f t="shared" si="49"/>
        <v>-233.5038645928671</v>
      </c>
      <c r="Z80" s="15">
        <f t="shared" si="49"/>
        <v>-243.43585513557809</v>
      </c>
      <c r="AA80" s="15">
        <f t="shared" si="49"/>
        <v>-253.79373853627203</v>
      </c>
      <c r="AB80" s="15">
        <f t="shared" si="49"/>
        <v>-264.5959224573844</v>
      </c>
      <c r="AC80" s="15">
        <f t="shared" si="49"/>
        <v>-275.8616159424264</v>
      </c>
      <c r="AD80" s="15">
        <f t="shared" si="49"/>
        <v>-287.61086451359552</v>
      </c>
      <c r="AE80" s="15"/>
      <c r="AF80" s="10"/>
      <c r="AG80" s="10"/>
      <c r="AH80" s="10"/>
      <c r="AI80" s="10"/>
      <c r="AJ80" s="10"/>
    </row>
    <row r="81" spans="1:36">
      <c r="A81" s="1" t="s">
        <v>270</v>
      </c>
      <c r="C81" s="11"/>
      <c r="D81" s="11"/>
      <c r="E81" s="11"/>
      <c r="F81" s="26">
        <f t="shared" si="47"/>
        <v>-5.5529999999999973</v>
      </c>
      <c r="G81" s="26">
        <f t="shared" si="47"/>
        <v>-73.794000000000011</v>
      </c>
      <c r="H81" s="26">
        <f t="shared" si="47"/>
        <v>-39.901999999999987</v>
      </c>
      <c r="I81" s="23">
        <f t="shared" si="48"/>
        <v>-112.57400000000001</v>
      </c>
      <c r="J81" s="92">
        <f t="shared" si="48"/>
        <v>197.54400000000001</v>
      </c>
      <c r="K81" s="92">
        <f t="shared" si="48"/>
        <v>-125.292</v>
      </c>
      <c r="L81" s="26">
        <f>-(L54-K54)</f>
        <v>-68.853999999999985</v>
      </c>
      <c r="M81" s="26">
        <f>-(M54-L54)</f>
        <v>-150.71600000000001</v>
      </c>
      <c r="N81" s="26">
        <f t="shared" si="49"/>
        <v>-453.98</v>
      </c>
      <c r="O81" s="26">
        <f t="shared" si="49"/>
        <v>-137.03999999999996</v>
      </c>
      <c r="P81" s="26">
        <f t="shared" si="49"/>
        <v>174.73500000000001</v>
      </c>
      <c r="Q81" s="26">
        <f t="shared" si="49"/>
        <v>-92.504000000000019</v>
      </c>
      <c r="R81" s="26">
        <f t="shared" si="49"/>
        <v>-707.07600000000002</v>
      </c>
      <c r="S81" s="26">
        <f>-(S54-R54)</f>
        <v>312.97900000000004</v>
      </c>
      <c r="T81" s="15">
        <f t="shared" si="49"/>
        <v>31.655128637484722</v>
      </c>
      <c r="U81" s="15">
        <f t="shared" si="49"/>
        <v>-84.696592485155179</v>
      </c>
      <c r="V81" s="15">
        <f t="shared" si="49"/>
        <v>-83.09578547883325</v>
      </c>
      <c r="W81" s="15">
        <f t="shared" si="49"/>
        <v>-89.959321630829209</v>
      </c>
      <c r="X81" s="15">
        <f t="shared" si="49"/>
        <v>-97.814586321847628</v>
      </c>
      <c r="Y81" s="15">
        <f t="shared" si="49"/>
        <v>-96.50861400056101</v>
      </c>
      <c r="Z81" s="15">
        <f t="shared" si="49"/>
        <v>-98.266898372878813</v>
      </c>
      <c r="AA81" s="15">
        <f t="shared" si="49"/>
        <v>-99.094083465002996</v>
      </c>
      <c r="AB81" s="15">
        <f t="shared" si="49"/>
        <v>-98.908828000951871</v>
      </c>
      <c r="AC81" s="15">
        <f t="shared" si="49"/>
        <v>-97.698165079200407</v>
      </c>
      <c r="AD81" s="15">
        <f t="shared" si="49"/>
        <v>62.448404130055224</v>
      </c>
      <c r="AE81" s="15"/>
      <c r="AF81" s="10"/>
      <c r="AG81" s="10"/>
      <c r="AH81" s="10"/>
      <c r="AI81" s="10"/>
      <c r="AJ81" s="10"/>
    </row>
    <row r="82" spans="1:36">
      <c r="A82" s="1" t="s">
        <v>271</v>
      </c>
      <c r="C82" s="11"/>
      <c r="D82" s="11"/>
      <c r="E82" s="11"/>
      <c r="F82" s="26">
        <f t="shared" si="47"/>
        <v>7.9980000000000047</v>
      </c>
      <c r="G82" s="26">
        <f t="shared" si="47"/>
        <v>14.329999999999998</v>
      </c>
      <c r="H82" s="26">
        <f t="shared" si="47"/>
        <v>13.217999999999998</v>
      </c>
      <c r="I82" s="23">
        <f t="shared" si="48"/>
        <v>-37.436999999999998</v>
      </c>
      <c r="J82" s="92">
        <f t="shared" si="48"/>
        <v>-23.616</v>
      </c>
      <c r="K82" s="92">
        <f t="shared" si="48"/>
        <v>2.0729999999999933</v>
      </c>
      <c r="L82" s="26">
        <f>-(L55-K55)</f>
        <v>-70.08</v>
      </c>
      <c r="M82" s="26">
        <f>-(M55-L55)</f>
        <v>-221.928</v>
      </c>
      <c r="N82" s="26">
        <f t="shared" si="49"/>
        <v>-147.79300000000001</v>
      </c>
      <c r="O82" s="26">
        <f t="shared" si="49"/>
        <v>210.017</v>
      </c>
      <c r="P82" s="26">
        <f t="shared" si="49"/>
        <v>-155.351</v>
      </c>
      <c r="Q82" s="26">
        <v>158.01</v>
      </c>
      <c r="R82" s="26">
        <v>44.435000000000002</v>
      </c>
      <c r="S82" s="26">
        <f>-(S55-R55)</f>
        <v>104.76600000000002</v>
      </c>
      <c r="T82" s="15">
        <f t="shared" si="49"/>
        <v>-377.41603342000019</v>
      </c>
      <c r="U82" s="15">
        <f t="shared" si="49"/>
        <v>-39.635552940854495</v>
      </c>
      <c r="V82" s="15">
        <f t="shared" si="49"/>
        <v>-27.219115756240171</v>
      </c>
      <c r="W82" s="15">
        <f t="shared" si="49"/>
        <v>-26.839298742862638</v>
      </c>
      <c r="X82" s="15">
        <f t="shared" si="49"/>
        <v>-27.98013884691261</v>
      </c>
      <c r="Y82" s="15">
        <f t="shared" si="49"/>
        <v>-29.169867165858591</v>
      </c>
      <c r="Z82" s="15">
        <f t="shared" si="49"/>
        <v>-30.410595431014144</v>
      </c>
      <c r="AA82" s="15">
        <f t="shared" si="49"/>
        <v>-31.704527261412522</v>
      </c>
      <c r="AB82" s="15">
        <f t="shared" si="49"/>
        <v>-33.053962186737408</v>
      </c>
      <c r="AC82" s="15">
        <f t="shared" si="49"/>
        <v>-34.461299847135365</v>
      </c>
      <c r="AD82" s="15">
        <f t="shared" si="49"/>
        <v>-35.929044377690389</v>
      </c>
      <c r="AE82" s="15"/>
      <c r="AF82" s="10"/>
      <c r="AG82" s="10"/>
      <c r="AH82" s="10"/>
      <c r="AI82" s="10"/>
      <c r="AJ82" s="10"/>
    </row>
    <row r="83" spans="1:36">
      <c r="A83" s="1" t="s">
        <v>272</v>
      </c>
      <c r="C83" s="11"/>
      <c r="D83" s="11"/>
      <c r="E83" s="11"/>
      <c r="F83" s="26">
        <f t="shared" si="47"/>
        <v>2.1560000000000059</v>
      </c>
      <c r="G83" s="26">
        <f t="shared" si="47"/>
        <v>-175.78500000000003</v>
      </c>
      <c r="H83" s="26">
        <f t="shared" si="47"/>
        <v>-395.72699999999998</v>
      </c>
      <c r="I83" s="23"/>
      <c r="L83" s="26"/>
      <c r="M83" s="26"/>
      <c r="N83" s="26"/>
      <c r="O83" s="26"/>
      <c r="P83" s="26"/>
      <c r="Q83" s="26"/>
      <c r="R83" s="26"/>
      <c r="S83" s="26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0"/>
      <c r="AG83" s="10"/>
      <c r="AH83" s="10"/>
      <c r="AI83" s="10"/>
      <c r="AJ83" s="10"/>
    </row>
    <row r="84" spans="1:36">
      <c r="A84" s="1" t="s">
        <v>273</v>
      </c>
      <c r="C84" s="11"/>
      <c r="D84" s="11"/>
      <c r="E84" s="11"/>
      <c r="F84" s="26">
        <f t="shared" si="47"/>
        <v>29.692999999999984</v>
      </c>
      <c r="G84" s="26">
        <f t="shared" si="47"/>
        <v>19.217999999999989</v>
      </c>
      <c r="H84" s="26">
        <f t="shared" si="47"/>
        <v>-11.08499999999998</v>
      </c>
      <c r="I84" s="23">
        <v>18.382999999999999</v>
      </c>
      <c r="J84" s="92">
        <v>-5.2359999999999998</v>
      </c>
      <c r="K84" s="92">
        <v>-7.452</v>
      </c>
      <c r="L84" s="26">
        <v>-63.728000000000002</v>
      </c>
      <c r="M84" s="26">
        <v>-529.34100000000001</v>
      </c>
      <c r="N84" s="26">
        <v>-18.111999999999998</v>
      </c>
      <c r="O84" s="26">
        <f t="shared" si="49"/>
        <v>-179.06100000000004</v>
      </c>
      <c r="P84" s="26">
        <v>86.998999999999995</v>
      </c>
      <c r="Q84" s="26">
        <f>12.825</f>
        <v>12.824999999999999</v>
      </c>
      <c r="R84" s="26">
        <v>-3.778</v>
      </c>
      <c r="S84" s="26">
        <f>-(S57-R57)</f>
        <v>461.99499999999989</v>
      </c>
      <c r="T84" s="15">
        <f t="shared" si="49"/>
        <v>0</v>
      </c>
      <c r="U84" s="15">
        <f t="shared" si="49"/>
        <v>0</v>
      </c>
      <c r="V84" s="15">
        <f t="shared" si="49"/>
        <v>0</v>
      </c>
      <c r="W84" s="15">
        <f t="shared" si="49"/>
        <v>0</v>
      </c>
      <c r="X84" s="15">
        <f t="shared" si="49"/>
        <v>0</v>
      </c>
      <c r="Y84" s="15">
        <f t="shared" si="49"/>
        <v>0</v>
      </c>
      <c r="Z84" s="15">
        <f t="shared" si="49"/>
        <v>0</v>
      </c>
      <c r="AA84" s="15">
        <f t="shared" si="49"/>
        <v>0</v>
      </c>
      <c r="AB84" s="15">
        <f t="shared" si="49"/>
        <v>0</v>
      </c>
      <c r="AC84" s="15">
        <f t="shared" si="49"/>
        <v>0</v>
      </c>
      <c r="AD84" s="15">
        <f t="shared" si="49"/>
        <v>0</v>
      </c>
      <c r="AE84" s="15"/>
      <c r="AF84" s="10"/>
      <c r="AG84" s="10"/>
      <c r="AH84" s="10"/>
      <c r="AI84" s="10"/>
      <c r="AJ84" s="10"/>
    </row>
    <row r="85" spans="1:36">
      <c r="A85" s="1" t="s">
        <v>274</v>
      </c>
      <c r="C85" s="11"/>
      <c r="D85" s="11"/>
      <c r="E85" s="11"/>
      <c r="F85" s="26">
        <f t="shared" ref="F85:S85" si="50">SUM(F80:F84)</f>
        <v>13.71400000000007</v>
      </c>
      <c r="G85" s="26">
        <f t="shared" si="50"/>
        <v>-219.38100000000006</v>
      </c>
      <c r="H85" s="26">
        <f t="shared" si="50"/>
        <v>-564.85899999999992</v>
      </c>
      <c r="I85" s="23">
        <f t="shared" si="50"/>
        <v>-401.63</v>
      </c>
      <c r="J85" s="92">
        <f t="shared" si="50"/>
        <v>72.458000000000084</v>
      </c>
      <c r="K85" s="92">
        <f>SUM(K80:K84)</f>
        <v>68.360999999999919</v>
      </c>
      <c r="L85" s="26">
        <f>SUM(L80:L84)</f>
        <v>-863.77800000000002</v>
      </c>
      <c r="M85" s="26">
        <f>SUM(M80:M84)</f>
        <v>-1708.4090000000001</v>
      </c>
      <c r="N85" s="26">
        <f t="shared" si="50"/>
        <v>-1260.3290000000002</v>
      </c>
      <c r="O85" s="26">
        <f t="shared" si="50"/>
        <v>-187.94600000000008</v>
      </c>
      <c r="P85" s="26">
        <f t="shared" si="50"/>
        <v>-418.90899999999988</v>
      </c>
      <c r="Q85" s="26">
        <f t="shared" si="50"/>
        <v>-515.89699999999959</v>
      </c>
      <c r="R85" s="26">
        <f t="shared" si="50"/>
        <v>-636.16000000000008</v>
      </c>
      <c r="S85" s="26">
        <f t="shared" si="50"/>
        <v>1103.943</v>
      </c>
      <c r="T85" s="15">
        <f t="shared" ref="T85:AD85" si="51">SUM(T80:T84)</f>
        <v>-1029.1598322072923</v>
      </c>
      <c r="U85" s="15">
        <f t="shared" si="51"/>
        <v>-441.61349382368576</v>
      </c>
      <c r="V85" s="15">
        <f t="shared" si="51"/>
        <v>-328.20306245788765</v>
      </c>
      <c r="W85" s="15">
        <f t="shared" si="51"/>
        <v>-331.64635841056952</v>
      </c>
      <c r="X85" s="15">
        <f t="shared" si="51"/>
        <v>-349.7748521761979</v>
      </c>
      <c r="Y85" s="15">
        <f t="shared" si="51"/>
        <v>-359.1823457592867</v>
      </c>
      <c r="Z85" s="15">
        <f t="shared" si="51"/>
        <v>-372.11334893947105</v>
      </c>
      <c r="AA85" s="15">
        <f t="shared" si="51"/>
        <v>-384.59234926268755</v>
      </c>
      <c r="AB85" s="15">
        <f t="shared" si="51"/>
        <v>-396.55871264507368</v>
      </c>
      <c r="AC85" s="15">
        <f t="shared" si="51"/>
        <v>-408.02108086876217</v>
      </c>
      <c r="AD85" s="15">
        <f t="shared" si="51"/>
        <v>-261.09150476123068</v>
      </c>
      <c r="AE85" s="15"/>
      <c r="AF85" s="10"/>
      <c r="AG85" s="10"/>
      <c r="AH85" s="10"/>
      <c r="AI85" s="10"/>
      <c r="AJ85" s="10"/>
    </row>
    <row r="86" spans="1:36"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10"/>
      <c r="AG86" s="10"/>
      <c r="AH86" s="10"/>
      <c r="AI86" s="10"/>
      <c r="AJ86" s="10"/>
    </row>
    <row r="87" spans="1:36">
      <c r="A87" s="262" t="s">
        <v>275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10"/>
      <c r="AG87" s="10"/>
      <c r="AH87" s="10"/>
      <c r="AI87" s="10"/>
      <c r="AJ87" s="10"/>
    </row>
    <row r="88" spans="1:36">
      <c r="A88" s="1" t="s">
        <v>276</v>
      </c>
      <c r="B88" s="263"/>
      <c r="C88" s="11"/>
      <c r="D88" s="11"/>
      <c r="E88" s="11"/>
      <c r="F88" s="26">
        <f t="shared" ref="F88:H89" si="52">F33-E33</f>
        <v>45.966000000000008</v>
      </c>
      <c r="G88" s="26">
        <f t="shared" si="52"/>
        <v>-38.724000000000046</v>
      </c>
      <c r="H88" s="26">
        <f t="shared" si="52"/>
        <v>-110.46399999999994</v>
      </c>
      <c r="I88" s="36">
        <v>25.167999999999999</v>
      </c>
      <c r="J88" s="92">
        <v>603.06100000000004</v>
      </c>
      <c r="K88" s="92">
        <v>383.61700000000002</v>
      </c>
      <c r="L88" s="26">
        <v>-380.72300000000001</v>
      </c>
      <c r="M88" s="26">
        <v>341.84899999999999</v>
      </c>
      <c r="N88" s="26">
        <v>65.617000000000004</v>
      </c>
      <c r="O88" s="26">
        <f t="shared" ref="M88:AD89" si="53">O33-N33</f>
        <v>58.981999999999971</v>
      </c>
      <c r="P88" s="26">
        <v>-5.5789999999999997</v>
      </c>
      <c r="Q88" s="26">
        <v>268.87599999999998</v>
      </c>
      <c r="R88" s="26">
        <v>177.45699999999999</v>
      </c>
      <c r="S88" s="26">
        <f t="shared" si="53"/>
        <v>189.95299999999997</v>
      </c>
      <c r="T88" s="15">
        <f t="shared" si="53"/>
        <v>318.70581661857887</v>
      </c>
      <c r="U88" s="15">
        <f t="shared" si="53"/>
        <v>202.82825924965573</v>
      </c>
      <c r="V88" s="15">
        <f t="shared" si="53"/>
        <v>139.28923548490457</v>
      </c>
      <c r="W88" s="15">
        <f t="shared" si="53"/>
        <v>137.34558595964791</v>
      </c>
      <c r="X88" s="15">
        <f t="shared" si="53"/>
        <v>143.18364283580468</v>
      </c>
      <c r="Y88" s="15">
        <f t="shared" si="53"/>
        <v>149.27187690868232</v>
      </c>
      <c r="Z88" s="15">
        <f t="shared" si="53"/>
        <v>155.62109460721877</v>
      </c>
      <c r="AA88" s="15">
        <f t="shared" si="53"/>
        <v>162.242572580265</v>
      </c>
      <c r="AB88" s="15">
        <f t="shared" si="53"/>
        <v>169.14807828326002</v>
      </c>
      <c r="AC88" s="15">
        <f t="shared" si="53"/>
        <v>176.34989147004308</v>
      </c>
      <c r="AD88" s="15">
        <f t="shared" si="53"/>
        <v>183.86082662969693</v>
      </c>
      <c r="AE88" s="15"/>
      <c r="AF88" s="10"/>
      <c r="AG88" s="10"/>
      <c r="AH88" s="10"/>
      <c r="AI88" s="10"/>
      <c r="AJ88" s="10"/>
    </row>
    <row r="89" spans="1:36">
      <c r="A89" s="1" t="s">
        <v>277</v>
      </c>
      <c r="B89" s="263"/>
      <c r="C89" s="11"/>
      <c r="D89" s="11"/>
      <c r="E89" s="11"/>
      <c r="F89" s="26">
        <f t="shared" si="52"/>
        <v>0</v>
      </c>
      <c r="G89" s="26">
        <f t="shared" si="52"/>
        <v>0</v>
      </c>
      <c r="H89" s="26">
        <f t="shared" si="52"/>
        <v>0</v>
      </c>
      <c r="I89" s="36">
        <f>I34-H34</f>
        <v>0</v>
      </c>
      <c r="J89" s="92">
        <f>J34-I34</f>
        <v>0</v>
      </c>
      <c r="K89" s="92">
        <f>K34-J34</f>
        <v>0</v>
      </c>
      <c r="L89" s="26">
        <f>L34-K34</f>
        <v>0</v>
      </c>
      <c r="M89" s="26">
        <f t="shared" si="53"/>
        <v>0</v>
      </c>
      <c r="N89" s="26">
        <f t="shared" si="53"/>
        <v>0</v>
      </c>
      <c r="O89" s="26">
        <f t="shared" si="53"/>
        <v>0</v>
      </c>
      <c r="P89" s="26">
        <f t="shared" si="53"/>
        <v>0</v>
      </c>
      <c r="Q89" s="26"/>
      <c r="R89" s="26"/>
      <c r="S89" s="26">
        <f t="shared" si="53"/>
        <v>-66.413000000000011</v>
      </c>
      <c r="T89" s="15">
        <f t="shared" si="53"/>
        <v>0</v>
      </c>
      <c r="U89" s="15">
        <f t="shared" si="53"/>
        <v>0</v>
      </c>
      <c r="V89" s="15">
        <f t="shared" si="53"/>
        <v>0</v>
      </c>
      <c r="W89" s="15">
        <f t="shared" si="53"/>
        <v>0</v>
      </c>
      <c r="X89" s="15">
        <f t="shared" si="53"/>
        <v>0</v>
      </c>
      <c r="Y89" s="15">
        <f t="shared" si="53"/>
        <v>0</v>
      </c>
      <c r="Z89" s="15">
        <f t="shared" si="53"/>
        <v>0</v>
      </c>
      <c r="AA89" s="15">
        <f t="shared" si="53"/>
        <v>0</v>
      </c>
      <c r="AB89" s="15">
        <f t="shared" si="53"/>
        <v>0</v>
      </c>
      <c r="AC89" s="15">
        <f t="shared" si="53"/>
        <v>0</v>
      </c>
      <c r="AD89" s="15">
        <f t="shared" si="53"/>
        <v>0</v>
      </c>
      <c r="AE89" s="15"/>
      <c r="AF89" s="10"/>
      <c r="AG89" s="10"/>
      <c r="AH89" s="10"/>
      <c r="AI89" s="10"/>
      <c r="AJ89" s="10"/>
    </row>
    <row r="90" spans="1:36">
      <c r="A90" s="1" t="s">
        <v>278</v>
      </c>
      <c r="B90" s="11"/>
      <c r="C90" s="11"/>
      <c r="D90" s="11"/>
      <c r="E90" s="11"/>
      <c r="F90" s="26">
        <f t="shared" ref="F90:S90" si="54">SUM(F88:F89)</f>
        <v>45.966000000000008</v>
      </c>
      <c r="G90" s="26">
        <f t="shared" si="54"/>
        <v>-38.724000000000046</v>
      </c>
      <c r="H90" s="26">
        <f t="shared" si="54"/>
        <v>-110.46399999999994</v>
      </c>
      <c r="I90" s="36">
        <f t="shared" si="54"/>
        <v>25.167999999999999</v>
      </c>
      <c r="J90" s="92">
        <f t="shared" si="54"/>
        <v>603.06100000000004</v>
      </c>
      <c r="K90" s="92">
        <f t="shared" si="54"/>
        <v>383.61700000000002</v>
      </c>
      <c r="L90" s="26">
        <f>SUM(L88:L89)</f>
        <v>-380.72300000000001</v>
      </c>
      <c r="M90" s="26">
        <f>SUM(M88:M89)</f>
        <v>341.84899999999999</v>
      </c>
      <c r="N90" s="26">
        <f>SUM(N88:N89)</f>
        <v>65.617000000000004</v>
      </c>
      <c r="O90" s="26">
        <f t="shared" si="54"/>
        <v>58.981999999999971</v>
      </c>
      <c r="P90" s="26">
        <f t="shared" si="54"/>
        <v>-5.5789999999999997</v>
      </c>
      <c r="Q90" s="26">
        <f t="shared" si="54"/>
        <v>268.87599999999998</v>
      </c>
      <c r="R90" s="26">
        <f t="shared" si="54"/>
        <v>177.45699999999999</v>
      </c>
      <c r="S90" s="26">
        <f t="shared" si="54"/>
        <v>123.53999999999996</v>
      </c>
      <c r="T90" s="15">
        <f t="shared" ref="T90:AD90" si="55">SUM(T88:T89)</f>
        <v>318.70581661857887</v>
      </c>
      <c r="U90" s="15">
        <f t="shared" si="55"/>
        <v>202.82825924965573</v>
      </c>
      <c r="V90" s="15">
        <f t="shared" si="55"/>
        <v>139.28923548490457</v>
      </c>
      <c r="W90" s="15">
        <f t="shared" si="55"/>
        <v>137.34558595964791</v>
      </c>
      <c r="X90" s="15">
        <f t="shared" si="55"/>
        <v>143.18364283580468</v>
      </c>
      <c r="Y90" s="15">
        <f t="shared" si="55"/>
        <v>149.27187690868232</v>
      </c>
      <c r="Z90" s="15">
        <f t="shared" si="55"/>
        <v>155.62109460721877</v>
      </c>
      <c r="AA90" s="15">
        <f t="shared" si="55"/>
        <v>162.242572580265</v>
      </c>
      <c r="AB90" s="15">
        <f t="shared" si="55"/>
        <v>169.14807828326002</v>
      </c>
      <c r="AC90" s="15">
        <f t="shared" si="55"/>
        <v>176.34989147004308</v>
      </c>
      <c r="AD90" s="15">
        <f t="shared" si="55"/>
        <v>183.86082662969693</v>
      </c>
      <c r="AE90" s="15"/>
      <c r="AF90" s="10"/>
      <c r="AG90" s="10"/>
      <c r="AH90" s="10"/>
      <c r="AI90" s="10"/>
      <c r="AJ90" s="10"/>
    </row>
    <row r="91" spans="1:36" s="2" customFormat="1">
      <c r="A91" s="2" t="s">
        <v>279</v>
      </c>
      <c r="B91" s="18"/>
      <c r="C91" s="18"/>
      <c r="D91" s="18"/>
      <c r="E91" s="18"/>
      <c r="F91" s="25">
        <f t="shared" ref="F91:N91" si="56">F90+F85</f>
        <v>59.680000000000078</v>
      </c>
      <c r="G91" s="25">
        <f t="shared" si="56"/>
        <v>-258.10500000000013</v>
      </c>
      <c r="H91" s="25">
        <f t="shared" si="56"/>
        <v>-675.32299999999987</v>
      </c>
      <c r="I91" s="100">
        <f t="shared" si="56"/>
        <v>-376.46199999999999</v>
      </c>
      <c r="J91" s="101">
        <f t="shared" si="56"/>
        <v>675.51900000000012</v>
      </c>
      <c r="K91" s="101">
        <f>K90+K85</f>
        <v>451.97799999999995</v>
      </c>
      <c r="L91" s="264">
        <f>L90+L85</f>
        <v>-1244.501</v>
      </c>
      <c r="M91" s="25">
        <f>M90+M85</f>
        <v>-1366.5600000000002</v>
      </c>
      <c r="N91" s="25">
        <f t="shared" si="56"/>
        <v>-1194.7120000000002</v>
      </c>
      <c r="O91" s="25">
        <f t="shared" ref="O91:T91" si="57">O90+O85</f>
        <v>-128.96400000000011</v>
      </c>
      <c r="P91" s="25">
        <f>P90+P85</f>
        <v>-424.48799999999989</v>
      </c>
      <c r="Q91" s="25">
        <f t="shared" si="57"/>
        <v>-247.02099999999962</v>
      </c>
      <c r="R91" s="25">
        <f t="shared" si="57"/>
        <v>-458.70300000000009</v>
      </c>
      <c r="S91" s="25">
        <f t="shared" si="57"/>
        <v>1227.4829999999999</v>
      </c>
      <c r="T91" s="265">
        <f t="shared" si="57"/>
        <v>-710.45401558871345</v>
      </c>
      <c r="U91" s="265">
        <f>U90+U85</f>
        <v>-238.78523457403003</v>
      </c>
      <c r="V91" s="265">
        <f>V90+V85</f>
        <v>-188.91382697298309</v>
      </c>
      <c r="W91" s="265">
        <f t="shared" ref="W91:AD91" si="58">W90+W85</f>
        <v>-194.30077245092161</v>
      </c>
      <c r="X91" s="265">
        <f t="shared" si="58"/>
        <v>-206.59120934039322</v>
      </c>
      <c r="Y91" s="265">
        <f t="shared" si="58"/>
        <v>-209.91046885060439</v>
      </c>
      <c r="Z91" s="265">
        <f t="shared" si="58"/>
        <v>-216.49225433225229</v>
      </c>
      <c r="AA91" s="265">
        <f t="shared" si="58"/>
        <v>-222.34977668242254</v>
      </c>
      <c r="AB91" s="265">
        <f t="shared" si="58"/>
        <v>-227.41063436181366</v>
      </c>
      <c r="AC91" s="265">
        <f t="shared" si="58"/>
        <v>-231.67118939871909</v>
      </c>
      <c r="AD91" s="265">
        <f t="shared" si="58"/>
        <v>-77.23067813153375</v>
      </c>
      <c r="AE91" s="265"/>
      <c r="AF91" s="141"/>
      <c r="AG91" s="141"/>
      <c r="AH91" s="141"/>
      <c r="AI91" s="141"/>
      <c r="AJ91" s="141"/>
    </row>
    <row r="92" spans="1:36"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10"/>
      <c r="AG92" s="10"/>
      <c r="AH92" s="10"/>
      <c r="AI92" s="10"/>
      <c r="AJ92" s="10"/>
    </row>
    <row r="93" spans="1:36" s="11" customFormat="1">
      <c r="A93" s="26" t="s">
        <v>376</v>
      </c>
      <c r="F93" s="26"/>
      <c r="G93" s="26">
        <f>+(AVERAGE(G33,F33))/IS!H12*365</f>
        <v>76.864900792818815</v>
      </c>
      <c r="H93" s="26">
        <f>+(AVERAGE(H33,G33))/IS!M12*365</f>
        <v>60.742612147168138</v>
      </c>
      <c r="I93" s="92">
        <f>+(AVERAGE(I33,H33))/IS!R12*365</f>
        <v>44.025545257028774</v>
      </c>
      <c r="J93" s="92">
        <f>+(AVERAGE(J33,I33))/IS!W12*365</f>
        <v>56.980487957329771</v>
      </c>
      <c r="K93" s="92">
        <f>+(AVERAGE(K33,J33))/IS!AB12*365</f>
        <v>66.571994924371495</v>
      </c>
      <c r="L93" s="92">
        <f>+(AVERAGE(L33,K33))/IS!AG12*365</f>
        <v>88.626039683003285</v>
      </c>
      <c r="M93" s="92">
        <f>+(AVERAGE(M33,L33))/IS!AL12*365</f>
        <v>45.528031264030616</v>
      </c>
      <c r="N93" s="92">
        <f>+(AVERAGE(N33,Q33))/IS!AQ12*365</f>
        <v>41.239432677948251</v>
      </c>
      <c r="O93" s="92">
        <f>+(AVERAGE(O33,U33))/IS!AU12*365</f>
        <v>54.36473546940465</v>
      </c>
      <c r="P93" s="92">
        <f>+(AVERAGE(P33,Z33))/IS!AZ12*365</f>
        <v>55.812226815840049</v>
      </c>
      <c r="Q93" s="92">
        <f>+(AVERAGE(Q33,P33))/IS!BE12*365</f>
        <v>32.346292479520457</v>
      </c>
      <c r="R93" s="26">
        <v>35</v>
      </c>
      <c r="S93" s="26">
        <f>R93</f>
        <v>35</v>
      </c>
      <c r="T93" s="15">
        <f t="shared" ref="T93:AD93" si="59">S93</f>
        <v>35</v>
      </c>
      <c r="U93" s="15">
        <f t="shared" si="59"/>
        <v>35</v>
      </c>
      <c r="V93" s="15">
        <f t="shared" si="59"/>
        <v>35</v>
      </c>
      <c r="W93" s="15">
        <f t="shared" si="59"/>
        <v>35</v>
      </c>
      <c r="X93" s="15">
        <f t="shared" si="59"/>
        <v>35</v>
      </c>
      <c r="Y93" s="15">
        <f t="shared" si="59"/>
        <v>35</v>
      </c>
      <c r="Z93" s="15">
        <f t="shared" si="59"/>
        <v>35</v>
      </c>
      <c r="AA93" s="15">
        <f t="shared" si="59"/>
        <v>35</v>
      </c>
      <c r="AB93" s="15">
        <f t="shared" si="59"/>
        <v>35</v>
      </c>
      <c r="AC93" s="15">
        <f t="shared" si="59"/>
        <v>35</v>
      </c>
      <c r="AD93" s="15">
        <f t="shared" si="59"/>
        <v>35</v>
      </c>
      <c r="AE93" s="15"/>
      <c r="AF93" s="26"/>
      <c r="AG93" s="26"/>
      <c r="AH93" s="26"/>
      <c r="AI93" s="26"/>
      <c r="AJ93" s="26"/>
    </row>
    <row r="94" spans="1:36" s="11" customFormat="1">
      <c r="A94" s="26" t="s">
        <v>377</v>
      </c>
      <c r="F94" s="26"/>
      <c r="G94" s="26">
        <f>+(AVERAGE(G55,G57,F55,F57))/IS!H12*365</f>
        <v>12.296252115936786</v>
      </c>
      <c r="H94" s="92">
        <f>+(AVERAGE(H57,G57))/IS!M12*365</f>
        <v>17.510632498731617</v>
      </c>
      <c r="I94" s="92">
        <f>+(AVERAGE(I57,H57))/IS!R12*365</f>
        <v>12.663043338288578</v>
      </c>
      <c r="J94" s="92">
        <f>+(AVERAGE(J57,I57))/IS!W12*365</f>
        <v>8.3588854942457314</v>
      </c>
      <c r="K94" s="92">
        <f>+(AVERAGE((K57+K55),(J57+J55))/IS!AB12*365)</f>
        <v>9.734523135401</v>
      </c>
      <c r="L94" s="92">
        <f>+(AVERAGE(K55:L55))/IS!AG12*365</f>
        <v>6.2090581614969729</v>
      </c>
      <c r="M94" s="92">
        <f>+(AVERAGE(L55:M55))/IS!AL12*365</f>
        <v>7.4844379670377537</v>
      </c>
      <c r="N94" s="92">
        <f>+(AVERAGE(M55:N55))/IS!AQ12*365</f>
        <v>8.9047269949006722</v>
      </c>
      <c r="O94" s="92">
        <f>+(AVERAGE(N55:O55))/IS!AU12*365</f>
        <v>8.8506420645443349</v>
      </c>
      <c r="P94" s="92">
        <f>+(AVERAGE(O55:P55))/IS!AZ12*365</f>
        <v>7.4980598527291358</v>
      </c>
      <c r="Q94" s="92">
        <f>+(AVERAGE(P55:Q55))/IS!BE12*365</f>
        <v>6.1809448191236775</v>
      </c>
      <c r="R94" s="92">
        <f>AVERAGE(P94:Q94)</f>
        <v>6.8395023359264062</v>
      </c>
      <c r="S94" s="26">
        <f>R94</f>
        <v>6.8395023359264062</v>
      </c>
      <c r="T94" s="26">
        <f t="shared" ref="T94:AD94" si="60">S94</f>
        <v>6.8395023359264062</v>
      </c>
      <c r="U94" s="26">
        <f t="shared" si="60"/>
        <v>6.8395023359264062</v>
      </c>
      <c r="V94" s="26">
        <f t="shared" si="60"/>
        <v>6.8395023359264062</v>
      </c>
      <c r="W94" s="26">
        <f t="shared" si="60"/>
        <v>6.8395023359264062</v>
      </c>
      <c r="X94" s="26">
        <f t="shared" si="60"/>
        <v>6.8395023359264062</v>
      </c>
      <c r="Y94" s="26">
        <f t="shared" si="60"/>
        <v>6.8395023359264062</v>
      </c>
      <c r="Z94" s="26">
        <f t="shared" si="60"/>
        <v>6.8395023359264062</v>
      </c>
      <c r="AA94" s="26">
        <f t="shared" si="60"/>
        <v>6.8395023359264062</v>
      </c>
      <c r="AB94" s="26">
        <f t="shared" si="60"/>
        <v>6.8395023359264062</v>
      </c>
      <c r="AC94" s="26">
        <f t="shared" si="60"/>
        <v>6.8395023359264062</v>
      </c>
      <c r="AD94" s="26">
        <f t="shared" si="60"/>
        <v>6.8395023359264062</v>
      </c>
      <c r="AE94" s="26"/>
    </row>
    <row r="95" spans="1:36" s="11" customFormat="1">
      <c r="A95" s="26" t="s">
        <v>379</v>
      </c>
      <c r="F95" s="26"/>
      <c r="G95" s="26">
        <f>+(AVERAGE(F54:G54))/IS!H13*365</f>
        <v>20.456580389620058</v>
      </c>
      <c r="H95" s="26">
        <f>+(AVERAGE(G54:H54))/IS!M13*365</f>
        <v>26.182413484680236</v>
      </c>
      <c r="I95" s="92">
        <f>+(AVERAGE(H54:I54))/IS!R13*365</f>
        <v>35.407424210995885</v>
      </c>
      <c r="J95" s="92">
        <f>+(AVERAGE(I54:J54))/IS!W13*365</f>
        <v>21.891217913941198</v>
      </c>
      <c r="K95" s="92">
        <f>+(AVERAGE(J54:K54))/IS!AB13*365</f>
        <v>14.958993914579711</v>
      </c>
      <c r="L95" s="92">
        <f>+(AVERAGE(K54:L54))/IS!AG13*365</f>
        <v>21.688252682535481</v>
      </c>
      <c r="M95" s="92">
        <f>+(AVERAGE(L54:M54))/IS!AL13*365</f>
        <v>12.841641547308766</v>
      </c>
      <c r="N95" s="92">
        <f>+(AVERAGE(M54:N54))/IS!AQ13*365</f>
        <v>19.87208862838218</v>
      </c>
      <c r="O95" s="92">
        <f>+(AVERAGE(N54:O54))/IS!AU13*365</f>
        <v>26.046433034531926</v>
      </c>
      <c r="P95" s="92">
        <f>+(AVERAGE(O54:P54))/IS!AZ13*365</f>
        <v>24.419744248771632</v>
      </c>
      <c r="Q95" s="92">
        <f>+(AVERAGE(P54:Q54))/IS!BE13*365</f>
        <v>21.470008478868685</v>
      </c>
      <c r="R95" s="26">
        <v>27</v>
      </c>
      <c r="S95" s="26">
        <f>R95</f>
        <v>27</v>
      </c>
      <c r="T95" s="26">
        <f t="shared" ref="T95:AD95" si="61">S95</f>
        <v>27</v>
      </c>
      <c r="U95" s="26">
        <f t="shared" si="61"/>
        <v>27</v>
      </c>
      <c r="V95" s="26">
        <f t="shared" si="61"/>
        <v>27</v>
      </c>
      <c r="W95" s="26">
        <f t="shared" si="61"/>
        <v>27</v>
      </c>
      <c r="X95" s="26">
        <f t="shared" si="61"/>
        <v>27</v>
      </c>
      <c r="Y95" s="26">
        <f t="shared" si="61"/>
        <v>27</v>
      </c>
      <c r="Z95" s="26">
        <f t="shared" si="61"/>
        <v>27</v>
      </c>
      <c r="AA95" s="26">
        <f t="shared" si="61"/>
        <v>27</v>
      </c>
      <c r="AB95" s="26">
        <f t="shared" si="61"/>
        <v>27</v>
      </c>
      <c r="AC95" s="26">
        <f t="shared" si="61"/>
        <v>27</v>
      </c>
      <c r="AD95" s="26">
        <f t="shared" si="61"/>
        <v>27</v>
      </c>
      <c r="AE95" s="26"/>
    </row>
    <row r="97" spans="17:19">
      <c r="Q97" s="12">
        <f>Q20+Q32+Q28</f>
        <v>13528.110999999999</v>
      </c>
      <c r="R97" s="31">
        <f>R20+R32+R28</f>
        <v>9759.5089999999982</v>
      </c>
    </row>
    <row r="98" spans="17:19">
      <c r="R98" s="31">
        <f>R97-Q97</f>
        <v>-3768.6020000000008</v>
      </c>
    </row>
    <row r="100" spans="17:19">
      <c r="Q100" s="26">
        <v>4629</v>
      </c>
      <c r="R100" s="26">
        <v>4208</v>
      </c>
    </row>
    <row r="101" spans="17:19">
      <c r="Q101" s="26">
        <v>6733</v>
      </c>
      <c r="R101" s="26">
        <v>7259</v>
      </c>
    </row>
    <row r="102" spans="17:19">
      <c r="Q102" s="26">
        <v>2165</v>
      </c>
      <c r="R102" s="26">
        <v>1953</v>
      </c>
    </row>
    <row r="103" spans="17:19">
      <c r="Q103" s="26">
        <f>SUM(Q100:Q102)</f>
        <v>13527</v>
      </c>
      <c r="R103" s="26">
        <f>SUM(R100:R102)</f>
        <v>13420</v>
      </c>
      <c r="S103" s="45">
        <f>R103/Q103-1</f>
        <v>-7.9101057144969067E-3</v>
      </c>
    </row>
  </sheetData>
  <phoneticPr fontId="5" type="noConversion"/>
  <printOptions horizontalCentered="1" verticalCentered="1"/>
  <pageMargins left="0.75" right="0.75" top="1" bottom="1" header="0.5" footer="0.5"/>
  <pageSetup orientation="landscape" horizontalDpi="4294967292" verticalDpi="180" r:id="rId1"/>
  <headerFooter alignWithMargins="0"/>
  <ignoredErrors>
    <ignoredError sqref="N11 Q75" formula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D4231"/>
  <sheetViews>
    <sheetView showGridLines="0" workbookViewId="0">
      <pane xSplit="1" ySplit="5" topLeftCell="L6" activePane="bottomRight" state="frozen"/>
      <selection activeCell="F77" sqref="F77"/>
      <selection pane="topRight" activeCell="F77" sqref="F77"/>
      <selection pane="bottomLeft" activeCell="F77" sqref="F77"/>
      <selection pane="bottomRight"/>
    </sheetView>
  </sheetViews>
  <sheetFormatPr defaultColWidth="8" defaultRowHeight="12.75"/>
  <cols>
    <col min="1" max="1" width="33.42578125" style="1" customWidth="1"/>
    <col min="2" max="2" width="12.5703125" style="479" hidden="1" customWidth="1"/>
    <col min="3" max="3" width="7.42578125" style="51" bestFit="1" customWidth="1"/>
    <col min="4" max="4" width="7.42578125" style="1" bestFit="1" customWidth="1"/>
    <col min="5" max="6" width="8.28515625" style="1" bestFit="1" customWidth="1"/>
    <col min="7" max="7" width="7.7109375" style="1" bestFit="1" customWidth="1"/>
    <col min="8" max="8" width="8.42578125" style="1" bestFit="1" customWidth="1"/>
    <col min="9" max="9" width="10.5703125" style="352" bestFit="1" customWidth="1"/>
    <col min="10" max="10" width="9.5703125" style="131" bestFit="1" customWidth="1"/>
    <col min="11" max="11" width="11.28515625" style="177" bestFit="1" customWidth="1"/>
    <col min="12" max="12" width="11.7109375" style="397" bestFit="1" customWidth="1"/>
    <col min="13" max="13" width="11" style="397" bestFit="1" customWidth="1"/>
    <col min="14" max="15" width="8.85546875" style="411" bestFit="1" customWidth="1"/>
    <col min="16" max="16" width="9" style="1219" bestFit="1" customWidth="1"/>
    <col min="17" max="18" width="9.5703125" style="1219" bestFit="1" customWidth="1"/>
    <col min="19" max="21" width="10" style="412" bestFit="1" customWidth="1"/>
    <col min="22" max="22" width="10" style="397" bestFit="1" customWidth="1"/>
    <col min="23" max="28" width="10" style="1" bestFit="1" customWidth="1"/>
    <col min="29" max="30" width="11.5703125" style="1" bestFit="1" customWidth="1"/>
    <col min="31" max="16384" width="8" style="1"/>
  </cols>
  <sheetData>
    <row r="1" spans="1:30">
      <c r="A1" s="3">
        <f>DCF!C48</f>
        <v>69.213942474479651</v>
      </c>
      <c r="B1" s="476"/>
      <c r="L1" s="477">
        <f>+L18-997.019</f>
        <v>0</v>
      </c>
      <c r="V1" s="412"/>
      <c r="W1" s="412"/>
      <c r="X1" s="412"/>
      <c r="Y1" s="412"/>
      <c r="Z1" s="412"/>
      <c r="AA1" s="412"/>
      <c r="AB1" s="412"/>
      <c r="AC1" s="412"/>
      <c r="AD1" s="412"/>
    </row>
    <row r="2" spans="1:30">
      <c r="A2" s="2"/>
      <c r="B2" s="476"/>
      <c r="M2" s="478"/>
      <c r="V2" s="412"/>
      <c r="W2" s="412"/>
      <c r="X2" s="412"/>
      <c r="Y2" s="412"/>
      <c r="Z2" s="412"/>
      <c r="AA2" s="412"/>
      <c r="AB2" s="412"/>
      <c r="AC2" s="412"/>
      <c r="AD2" s="412"/>
    </row>
    <row r="3" spans="1:30">
      <c r="A3" s="2" t="s">
        <v>111</v>
      </c>
      <c r="F3" s="402" t="e">
        <f>+BS!F61</f>
        <v>#REF!</v>
      </c>
      <c r="G3" s="402">
        <f>+BS!G61</f>
        <v>0</v>
      </c>
      <c r="H3" s="402" t="e">
        <f>+BS!H61</f>
        <v>#REF!</v>
      </c>
      <c r="I3" s="352">
        <f>+BS!I61</f>
        <v>0</v>
      </c>
      <c r="J3" s="131">
        <f>+BS!J61</f>
        <v>0</v>
      </c>
      <c r="K3" s="177">
        <f>+BS!K61</f>
        <v>-12929.299000000006</v>
      </c>
      <c r="L3" s="131">
        <f>+BS!L61</f>
        <v>-2239.9001832467548</v>
      </c>
      <c r="M3" s="131">
        <f>+BS!M61</f>
        <v>-2419.5622600000024</v>
      </c>
      <c r="N3" s="404">
        <f>+BS!N61</f>
        <v>1.1493999918457121E-3</v>
      </c>
      <c r="O3" s="404">
        <f>+BS!O61</f>
        <v>-590.04202959999384</v>
      </c>
      <c r="P3" s="1220">
        <f>+BS!P61</f>
        <v>0</v>
      </c>
      <c r="Q3" s="1220">
        <f>+BS!Q61</f>
        <v>9.9999999656574801E-4</v>
      </c>
      <c r="R3" s="1220">
        <f>+BS!R61</f>
        <v>0</v>
      </c>
      <c r="S3" s="405">
        <f>+BS!S61</f>
        <v>0</v>
      </c>
      <c r="T3" s="405">
        <f>BS!T61</f>
        <v>0</v>
      </c>
      <c r="U3" s="405">
        <f>BS!U61</f>
        <v>0</v>
      </c>
      <c r="V3" s="405">
        <f>BS!V61</f>
        <v>0</v>
      </c>
      <c r="W3" s="405">
        <f>BS!W61</f>
        <v>0</v>
      </c>
      <c r="X3" s="405">
        <f>BS!X61</f>
        <v>0</v>
      </c>
      <c r="Y3" s="405">
        <f>BS!Y61</f>
        <v>0</v>
      </c>
      <c r="Z3" s="405">
        <f>BS!Z61</f>
        <v>0</v>
      </c>
      <c r="AA3" s="405">
        <f>BS!AA61</f>
        <v>0</v>
      </c>
      <c r="AB3" s="405">
        <f>BS!AB61</f>
        <v>0</v>
      </c>
      <c r="AC3" s="405">
        <f>BS!AC61</f>
        <v>0</v>
      </c>
      <c r="AD3" s="405">
        <f>BS!AD61</f>
        <v>0</v>
      </c>
    </row>
    <row r="4" spans="1:30">
      <c r="A4" s="2" t="str">
        <f>BS!A4</f>
        <v>DG Khan Cement</v>
      </c>
      <c r="B4" s="480" t="str">
        <f>BS!B4</f>
        <v>FY97</v>
      </c>
      <c r="C4" s="481" t="str">
        <f>BS!C4</f>
        <v>FY98</v>
      </c>
      <c r="D4" s="482" t="str">
        <f>BS!D4</f>
        <v>FY99</v>
      </c>
      <c r="E4" s="482" t="str">
        <f>BS!E4</f>
        <v>FY00</v>
      </c>
      <c r="F4" s="482" t="str">
        <f>BS!F4</f>
        <v>FY01</v>
      </c>
      <c r="G4" s="482" t="str">
        <f>BS!G4</f>
        <v>FY02</v>
      </c>
      <c r="H4" s="482" t="str">
        <f>BS!H4</f>
        <v>FY03</v>
      </c>
      <c r="I4" s="483" t="str">
        <f>BS!I4</f>
        <v>FY04</v>
      </c>
      <c r="J4" s="484" t="str">
        <f>BS!J4</f>
        <v>FY05</v>
      </c>
      <c r="K4" s="485" t="str">
        <f>BS!K4</f>
        <v>FY06</v>
      </c>
      <c r="L4" s="486" t="str">
        <f>BS!L4</f>
        <v>FY07</v>
      </c>
      <c r="M4" s="486" t="str">
        <f>BS!M4</f>
        <v>FY08</v>
      </c>
      <c r="N4" s="487" t="str">
        <f>BS!N4</f>
        <v>FY09</v>
      </c>
      <c r="O4" s="487" t="str">
        <f>BS!O4</f>
        <v>FY10</v>
      </c>
      <c r="P4" s="1221" t="str">
        <f>BS!P4</f>
        <v>FY11</v>
      </c>
      <c r="Q4" s="1221" t="str">
        <f>BS!Q4</f>
        <v>FY12</v>
      </c>
      <c r="R4" s="1221" t="str">
        <f>BS!R4</f>
        <v>FY13</v>
      </c>
      <c r="S4" s="488" t="str">
        <f>BS!S4</f>
        <v>FY14</v>
      </c>
      <c r="T4" s="488" t="str">
        <f>BS!T4</f>
        <v>FY15</v>
      </c>
      <c r="U4" s="488" t="str">
        <f>BS!U4</f>
        <v>FY16</v>
      </c>
      <c r="V4" s="488" t="str">
        <f>BS!V4</f>
        <v>FY17</v>
      </c>
      <c r="W4" s="488" t="str">
        <f>BS!W4</f>
        <v>FY18</v>
      </c>
      <c r="X4" s="488" t="str">
        <f>BS!X4</f>
        <v>FY19</v>
      </c>
      <c r="Y4" s="488" t="str">
        <f>BS!Y4</f>
        <v>FY20</v>
      </c>
      <c r="Z4" s="488" t="str">
        <f>BS!Z4</f>
        <v>FY21</v>
      </c>
      <c r="AA4" s="488" t="str">
        <f>BS!AA4</f>
        <v>FY22</v>
      </c>
      <c r="AB4" s="488" t="str">
        <f>BS!AB4</f>
        <v>FY23</v>
      </c>
      <c r="AC4" s="488" t="str">
        <f>BS!AC4</f>
        <v>FY24</v>
      </c>
      <c r="AD4" s="488" t="str">
        <f>BS!AD4</f>
        <v>FY25</v>
      </c>
    </row>
    <row r="5" spans="1:30" ht="3" customHeight="1">
      <c r="A5" s="231"/>
      <c r="B5" s="489"/>
      <c r="C5" s="490"/>
      <c r="D5" s="491"/>
      <c r="E5" s="491"/>
      <c r="F5" s="491"/>
      <c r="G5" s="491"/>
      <c r="V5" s="412"/>
      <c r="W5" s="412"/>
      <c r="X5" s="412"/>
      <c r="Y5" s="412"/>
      <c r="Z5" s="412"/>
      <c r="AA5" s="412"/>
      <c r="AB5" s="412"/>
      <c r="AC5" s="412"/>
      <c r="AD5" s="412"/>
    </row>
    <row r="6" spans="1:30" ht="14.45" customHeight="1">
      <c r="A6" s="1" t="s">
        <v>20</v>
      </c>
      <c r="B6" s="492"/>
      <c r="C6" s="468" t="e">
        <f>IS!D25</f>
        <v>#REF!</v>
      </c>
      <c r="D6" s="11" t="e">
        <f>IS!E25</f>
        <v>#REF!</v>
      </c>
      <c r="E6" s="11">
        <f>IS!F25</f>
        <v>-85.453999999999553</v>
      </c>
      <c r="F6" s="11" t="e">
        <f>IS!G25</f>
        <v>#REF!</v>
      </c>
      <c r="G6" s="11">
        <f>IS!H25</f>
        <v>294.17399999999952</v>
      </c>
      <c r="H6" s="23" t="e">
        <f>IS!M25</f>
        <v>#REF!</v>
      </c>
      <c r="I6" s="352">
        <f>IS!R25</f>
        <v>1120.415</v>
      </c>
      <c r="J6" s="131">
        <f>IS!W25</f>
        <v>2121.2710000000006</v>
      </c>
      <c r="K6" s="177">
        <f>IS!AB25</f>
        <v>3458.1060000000002</v>
      </c>
      <c r="L6" s="286">
        <v>1720.471</v>
      </c>
      <c r="M6" s="286">
        <f>IS!AL25</f>
        <v>-250.93000000000077</v>
      </c>
      <c r="N6" s="339">
        <f>IS!AQ25</f>
        <v>776.90459059999921</v>
      </c>
      <c r="O6" s="339">
        <f>IS!AU25</f>
        <v>948.4341790000019</v>
      </c>
      <c r="P6" s="1222">
        <f>IS!AZ25</f>
        <v>601.19200000000114</v>
      </c>
      <c r="Q6" s="1222">
        <f>IS!BE25</f>
        <v>4052.465999999999</v>
      </c>
      <c r="R6" s="1222">
        <f>IS!BJ25</f>
        <v>7095.8579999999974</v>
      </c>
      <c r="S6" s="399">
        <f>IS!BP25</f>
        <v>7851.3969999999972</v>
      </c>
      <c r="T6" s="399">
        <f>IS!BU25</f>
        <v>9921.3967401306036</v>
      </c>
      <c r="U6" s="399">
        <f>IS!BV25</f>
        <v>10931.179980048433</v>
      </c>
      <c r="V6" s="399">
        <f>IS!BW25</f>
        <v>11241.928600849555</v>
      </c>
      <c r="W6" s="399">
        <f>IS!BX25</f>
        <v>11819.336669961758</v>
      </c>
      <c r="X6" s="399">
        <f>IS!BY25</f>
        <v>11791.798732912586</v>
      </c>
      <c r="Y6" s="399">
        <f>IS!BZ25</f>
        <v>12000.172175399064</v>
      </c>
      <c r="Z6" s="399">
        <f>IS!CA25</f>
        <v>12245.07536130384</v>
      </c>
      <c r="AA6" s="399">
        <f>IS!CB25</f>
        <v>12555.599706594918</v>
      </c>
      <c r="AB6" s="399">
        <f>IS!CC25</f>
        <v>12926.794697831749</v>
      </c>
      <c r="AC6" s="399">
        <f>IS!CD25</f>
        <v>13381.071365066622</v>
      </c>
      <c r="AD6" s="399">
        <f>IS!CE25</f>
        <v>16073.511862839099</v>
      </c>
    </row>
    <row r="7" spans="1:30" ht="14.45" customHeight="1">
      <c r="A7" s="1" t="s">
        <v>112</v>
      </c>
      <c r="B7" s="492"/>
      <c r="C7" s="468"/>
      <c r="D7" s="11"/>
      <c r="E7" s="11"/>
      <c r="F7" s="11"/>
      <c r="G7" s="11"/>
      <c r="H7" s="23"/>
      <c r="L7" s="286"/>
      <c r="M7" s="286"/>
      <c r="N7" s="339"/>
      <c r="O7" s="339"/>
      <c r="P7" s="1222"/>
      <c r="Q7" s="1222"/>
      <c r="R7" s="1222"/>
      <c r="S7" s="399"/>
      <c r="T7" s="399"/>
      <c r="U7" s="399"/>
      <c r="V7" s="399"/>
      <c r="W7" s="399"/>
      <c r="X7" s="399"/>
      <c r="Y7" s="399"/>
      <c r="Z7" s="399"/>
      <c r="AA7" s="399"/>
      <c r="AB7" s="399"/>
      <c r="AC7" s="399"/>
      <c r="AD7" s="399"/>
    </row>
    <row r="8" spans="1:30" ht="14.45" customHeight="1">
      <c r="A8" s="1" t="s">
        <v>113</v>
      </c>
      <c r="B8" s="492"/>
      <c r="C8" s="468">
        <v>145.17599999999999</v>
      </c>
      <c r="D8" s="11">
        <v>767.62400000000002</v>
      </c>
      <c r="E8" s="11">
        <v>715.99300000000005</v>
      </c>
      <c r="F8" s="11">
        <v>755.38800000000003</v>
      </c>
      <c r="G8" s="11">
        <v>300.62700000000001</v>
      </c>
      <c r="H8" s="23">
        <f>DEp!I15</f>
        <v>303.92</v>
      </c>
      <c r="I8" s="352">
        <f>DEp!J15</f>
        <v>330.48</v>
      </c>
      <c r="J8" s="131">
        <f>DEp!K15</f>
        <v>340.827</v>
      </c>
      <c r="K8" s="177">
        <f>DEp!L15</f>
        <v>349.52499999999998</v>
      </c>
      <c r="L8" s="286">
        <f>DEp!M15</f>
        <v>479.52600000000001</v>
      </c>
      <c r="M8" s="286">
        <f>DEp!N15</f>
        <v>1359.595</v>
      </c>
      <c r="N8" s="339">
        <f>DEp!O15</f>
        <v>1368.865</v>
      </c>
      <c r="O8" s="339">
        <f>DEp!P15</f>
        <v>1392.5640000000001</v>
      </c>
      <c r="P8" s="1222">
        <f>DEp!Q15</f>
        <v>1430.41</v>
      </c>
      <c r="Q8" s="1222">
        <f>DEp!R15</f>
        <v>1447.712</v>
      </c>
      <c r="R8" s="1222">
        <f>DEp!S15</f>
        <v>1577.7550000000001</v>
      </c>
      <c r="S8" s="399">
        <f>DEp!T15</f>
        <v>1790.002</v>
      </c>
      <c r="T8" s="399">
        <f>DEp!U15</f>
        <v>1749.9402957853522</v>
      </c>
      <c r="U8" s="399">
        <f>DEp!V15</f>
        <v>1784.9481344642295</v>
      </c>
      <c r="V8" s="399">
        <f>DEp!W15</f>
        <v>1820.6563106185727</v>
      </c>
      <c r="W8" s="399">
        <f>DEp!X15</f>
        <v>1857.0788346128613</v>
      </c>
      <c r="X8" s="399">
        <f>DEp!Y15</f>
        <v>1894.2299970911833</v>
      </c>
      <c r="Y8" s="399">
        <f>DEp!Z15</f>
        <v>1932.1243745842723</v>
      </c>
      <c r="Z8" s="399">
        <f>DEp!AA15</f>
        <v>1970.776835228718</v>
      </c>
      <c r="AA8" s="399">
        <f>DEp!AB15</f>
        <v>2010.2025446005869</v>
      </c>
      <c r="AB8" s="399">
        <f>DEp!AC15</f>
        <v>2050.4169716657475</v>
      </c>
      <c r="AC8" s="399">
        <f>DEp!AD15</f>
        <v>2091.435894849234</v>
      </c>
      <c r="AD8" s="399">
        <f>DEp!AE15</f>
        <v>2133.275408226024</v>
      </c>
    </row>
    <row r="9" spans="1:30" ht="14.45" customHeight="1">
      <c r="A9" s="1" t="s">
        <v>114</v>
      </c>
      <c r="B9" s="492"/>
      <c r="C9" s="468">
        <v>69.192999999999998</v>
      </c>
      <c r="D9" s="11">
        <v>578.16300000000001</v>
      </c>
      <c r="E9" s="11">
        <v>562.851</v>
      </c>
      <c r="F9" s="11">
        <f>IS!G23</f>
        <v>600.34699999999998</v>
      </c>
      <c r="G9" s="11">
        <f>IS!H23</f>
        <v>515.12400000000002</v>
      </c>
      <c r="H9" s="23" t="e">
        <f>IS!M23</f>
        <v>#REF!</v>
      </c>
      <c r="I9" s="352">
        <f>IS!R23</f>
        <v>224.601</v>
      </c>
      <c r="J9" s="131">
        <f>IS!W23</f>
        <v>304.041</v>
      </c>
      <c r="K9" s="177">
        <f>IS!AB23</f>
        <v>450.69600000000003</v>
      </c>
      <c r="L9" s="286">
        <f>IS!AG23</f>
        <v>468.173</v>
      </c>
      <c r="M9" s="286">
        <f>IS!AL23</f>
        <v>1749.837</v>
      </c>
      <c r="N9" s="339">
        <f>IS!AQ23</f>
        <v>2606.3580000000002</v>
      </c>
      <c r="O9" s="339">
        <f>IS!AU23</f>
        <v>1902.76</v>
      </c>
      <c r="P9" s="1222">
        <f>IS!AZ23</f>
        <v>2051.6779999999999</v>
      </c>
      <c r="Q9" s="1222">
        <f>IS!BE23</f>
        <v>1670.7840000000001</v>
      </c>
      <c r="R9" s="1222">
        <f>IS!BJ23</f>
        <v>994.87900000000002</v>
      </c>
      <c r="S9" s="399">
        <f>IS!BP23</f>
        <v>608.85900000000004</v>
      </c>
      <c r="T9" s="399">
        <f>IS!BU23</f>
        <v>496.05678290588475</v>
      </c>
      <c r="U9" s="399">
        <f>IS!BV23</f>
        <v>411.52768508760653</v>
      </c>
      <c r="V9" s="399">
        <f>IS!BW23</f>
        <v>395.14034863033208</v>
      </c>
      <c r="W9" s="399">
        <f>IS!BX23</f>
        <v>0</v>
      </c>
      <c r="X9" s="399">
        <f>IS!BY23</f>
        <v>0</v>
      </c>
      <c r="Y9" s="399">
        <f>IS!BZ23</f>
        <v>0</v>
      </c>
      <c r="Z9" s="399">
        <f>IS!CA23</f>
        <v>0</v>
      </c>
      <c r="AA9" s="399">
        <f>IS!CB23</f>
        <v>0</v>
      </c>
      <c r="AB9" s="399">
        <f>IS!CC23</f>
        <v>0</v>
      </c>
      <c r="AC9" s="399">
        <f>IS!CD23</f>
        <v>0</v>
      </c>
      <c r="AD9" s="399">
        <f>IS!CE23</f>
        <v>0</v>
      </c>
    </row>
    <row r="10" spans="1:30" ht="14.45" customHeight="1">
      <c r="A10" s="1" t="s">
        <v>115</v>
      </c>
      <c r="B10" s="492"/>
      <c r="C10" s="468">
        <v>6.851</v>
      </c>
      <c r="D10" s="11">
        <v>21.768999999999998</v>
      </c>
      <c r="E10" s="11">
        <v>38.454999999999998</v>
      </c>
      <c r="F10" s="11">
        <v>2.597</v>
      </c>
      <c r="G10" s="11">
        <f>DEp!H72</f>
        <v>3.6429999999999998</v>
      </c>
      <c r="H10" s="23">
        <f>DEp!I72</f>
        <v>9.3729999999999993</v>
      </c>
      <c r="I10" s="352">
        <f>DEp!J72</f>
        <v>8.3930000000000007</v>
      </c>
      <c r="J10" s="131">
        <f>DEp!K72</f>
        <v>16.256</v>
      </c>
      <c r="K10" s="177">
        <f>DEp!L72</f>
        <v>14.416</v>
      </c>
      <c r="L10" s="286">
        <f>DEp!M72</f>
        <v>14.679</v>
      </c>
      <c r="M10" s="286">
        <f>DEp!N72</f>
        <v>3.4420000000000002</v>
      </c>
      <c r="N10" s="351">
        <f>DEp!O72</f>
        <v>8.8999999999999996E-2</v>
      </c>
      <c r="O10" s="339">
        <f>DEp!P72</f>
        <v>0</v>
      </c>
      <c r="P10" s="1222">
        <v>0</v>
      </c>
      <c r="Q10" s="1222">
        <v>18.452000000000002</v>
      </c>
      <c r="R10" s="1222"/>
      <c r="S10" s="399">
        <v>18.452000000000002</v>
      </c>
      <c r="T10" s="399"/>
      <c r="U10" s="399"/>
      <c r="V10" s="399"/>
      <c r="W10" s="399"/>
      <c r="X10" s="399"/>
      <c r="Y10" s="399"/>
      <c r="Z10" s="399"/>
      <c r="AA10" s="399"/>
      <c r="AB10" s="399"/>
      <c r="AC10" s="399"/>
      <c r="AD10" s="399"/>
    </row>
    <row r="11" spans="1:30" ht="14.45" customHeight="1">
      <c r="A11" s="1" t="s">
        <v>116</v>
      </c>
      <c r="B11" s="492"/>
      <c r="C11" s="468">
        <v>0</v>
      </c>
      <c r="D11" s="11">
        <v>0</v>
      </c>
      <c r="E11" s="11">
        <v>1.863</v>
      </c>
      <c r="F11" s="11"/>
      <c r="G11" s="11"/>
      <c r="H11" s="23"/>
      <c r="L11" s="286"/>
      <c r="M11" s="286"/>
      <c r="N11" s="339"/>
      <c r="O11" s="339"/>
      <c r="P11" s="1222"/>
      <c r="Q11" s="1222"/>
      <c r="R11" s="1222"/>
      <c r="S11" s="399"/>
      <c r="T11" s="399"/>
      <c r="U11" s="399"/>
      <c r="V11" s="399"/>
      <c r="W11" s="399"/>
      <c r="X11" s="399"/>
      <c r="Y11" s="399"/>
      <c r="Z11" s="399"/>
      <c r="AA11" s="399"/>
      <c r="AB11" s="399"/>
      <c r="AC11" s="399"/>
      <c r="AD11" s="399"/>
    </row>
    <row r="12" spans="1:30" ht="14.45" customHeight="1">
      <c r="A12" s="1" t="s">
        <v>117</v>
      </c>
      <c r="B12" s="492"/>
      <c r="C12" s="468">
        <v>-0.47099999999999997</v>
      </c>
      <c r="D12" s="11">
        <v>-9.4309999999999992</v>
      </c>
      <c r="E12" s="11">
        <v>-1.4219999999999999</v>
      </c>
      <c r="F12" s="11">
        <v>-17.048999999999999</v>
      </c>
      <c r="G12" s="11">
        <v>-1.18</v>
      </c>
      <c r="H12" s="23">
        <v>-3.8170000000000002</v>
      </c>
      <c r="I12" s="352">
        <v>0.20599999999999999</v>
      </c>
      <c r="J12" s="131">
        <v>-3.2069999999999999</v>
      </c>
      <c r="K12" s="177">
        <v>-3.5670000000000002</v>
      </c>
      <c r="L12" s="286">
        <f>-4.49</f>
        <v>-4.49</v>
      </c>
      <c r="M12" s="286">
        <v>-4.6680000000000001</v>
      </c>
      <c r="N12" s="339">
        <f>-2.065+0.089</f>
        <v>-1.976</v>
      </c>
      <c r="O12" s="339">
        <v>-6.806</v>
      </c>
      <c r="P12" s="1222">
        <v>-9.67</v>
      </c>
      <c r="Q12" s="1222">
        <v>-19.161999999999999</v>
      </c>
      <c r="R12" s="1222"/>
      <c r="S12" s="399">
        <v>-39.344999999999999</v>
      </c>
      <c r="T12" s="399"/>
      <c r="U12" s="399"/>
      <c r="V12" s="399"/>
      <c r="W12" s="399"/>
      <c r="X12" s="399"/>
      <c r="Y12" s="399"/>
      <c r="Z12" s="399"/>
      <c r="AA12" s="399"/>
      <c r="AB12" s="399"/>
      <c r="AC12" s="399"/>
      <c r="AD12" s="399"/>
    </row>
    <row r="13" spans="1:30" ht="14.45" customHeight="1">
      <c r="A13" s="1" t="s">
        <v>118</v>
      </c>
      <c r="B13" s="492"/>
      <c r="C13" s="468">
        <v>-27.869</v>
      </c>
      <c r="D13" s="11">
        <v>-84.045000000000002</v>
      </c>
      <c r="E13" s="11">
        <v>-53.334000000000003</v>
      </c>
      <c r="F13" s="11">
        <v>-106.114</v>
      </c>
      <c r="G13" s="11">
        <v>-94.724000000000004</v>
      </c>
      <c r="H13" s="23">
        <v>-129.15700000000001</v>
      </c>
      <c r="I13" s="352">
        <v>-120.19</v>
      </c>
      <c r="J13" s="131">
        <v>-152.31</v>
      </c>
      <c r="K13" s="177">
        <v>-265.88200000000001</v>
      </c>
      <c r="L13" s="286">
        <v>-465.774</v>
      </c>
      <c r="M13" s="286">
        <v>-820.44600000000003</v>
      </c>
      <c r="N13" s="339">
        <v>-707.23099999999999</v>
      </c>
      <c r="O13" s="339">
        <v>-766.39800000000002</v>
      </c>
      <c r="P13" s="1222">
        <v>-951.35400000000004</v>
      </c>
      <c r="Q13" s="1222">
        <v>-1058.7070000000001</v>
      </c>
      <c r="R13" s="1222">
        <v>-1295.633</v>
      </c>
      <c r="S13" s="399">
        <v>-1434.1790000000001</v>
      </c>
      <c r="T13" s="399">
        <f>-IS!BU18</f>
        <v>-1732.0255509603001</v>
      </c>
      <c r="U13" s="399">
        <f>-IS!BV18</f>
        <v>-1816.52436265236</v>
      </c>
      <c r="V13" s="399">
        <f>-IS!BW18</f>
        <v>-1885.8784238444198</v>
      </c>
      <c r="W13" s="399">
        <f>-IS!BX18</f>
        <v>-1955.2324850364801</v>
      </c>
      <c r="X13" s="399">
        <f>-IS!BY18</f>
        <v>-1874.5865462285401</v>
      </c>
      <c r="Y13" s="399">
        <f>-IS!BZ18</f>
        <v>-1943.9406074206001</v>
      </c>
      <c r="Z13" s="399">
        <f>-IS!CA18</f>
        <v>-2013.29466861266</v>
      </c>
      <c r="AA13" s="399">
        <f>-IS!CB18</f>
        <v>-2082.64872980472</v>
      </c>
      <c r="AB13" s="399">
        <f>-IS!CC18</f>
        <v>-2152.0027909967798</v>
      </c>
      <c r="AC13" s="399">
        <f>-IS!CD18</f>
        <v>-2221.3568521888401</v>
      </c>
      <c r="AD13" s="399">
        <f>-IS!CE18</f>
        <v>-2290.7109133808999</v>
      </c>
    </row>
    <row r="14" spans="1:30" ht="14.45" customHeight="1">
      <c r="A14" s="1" t="s">
        <v>119</v>
      </c>
      <c r="B14" s="492"/>
      <c r="C14" s="468">
        <v>3.1869999999999998</v>
      </c>
      <c r="D14" s="11">
        <v>5.6349999999999998</v>
      </c>
      <c r="E14" s="11">
        <v>4.87</v>
      </c>
      <c r="F14" s="11">
        <v>6.7460000000000004</v>
      </c>
      <c r="G14" s="11">
        <v>1.9490000000000001</v>
      </c>
      <c r="H14" s="23">
        <v>6.8609999999999998</v>
      </c>
      <c r="I14" s="352">
        <v>6.1020000000000003</v>
      </c>
      <c r="J14" s="131">
        <v>9.34</v>
      </c>
      <c r="K14" s="177">
        <v>31.327000000000002</v>
      </c>
      <c r="L14" s="286">
        <v>16.533000000000001</v>
      </c>
      <c r="M14" s="286">
        <v>22.616</v>
      </c>
      <c r="N14" s="339">
        <v>32.6</v>
      </c>
      <c r="O14" s="339">
        <v>38.109000000000002</v>
      </c>
      <c r="P14" s="1222"/>
      <c r="Q14" s="1222"/>
      <c r="R14" s="1222"/>
      <c r="S14" s="399">
        <v>73.679000000000002</v>
      </c>
      <c r="T14" s="399"/>
      <c r="U14" s="399"/>
      <c r="V14" s="399"/>
      <c r="W14" s="399"/>
      <c r="X14" s="399"/>
      <c r="Y14" s="399"/>
      <c r="Z14" s="399"/>
      <c r="AA14" s="399"/>
      <c r="AB14" s="399"/>
      <c r="AC14" s="399"/>
      <c r="AD14" s="399"/>
    </row>
    <row r="15" spans="1:30" ht="14.45" customHeight="1">
      <c r="A15" s="1" t="s">
        <v>120</v>
      </c>
      <c r="B15" s="492"/>
      <c r="C15" s="468">
        <v>74.790000000000006</v>
      </c>
      <c r="D15" s="11">
        <v>-10.291</v>
      </c>
      <c r="E15" s="11">
        <v>-101.794</v>
      </c>
      <c r="F15" s="11">
        <v>2.1560000000000001</v>
      </c>
      <c r="G15" s="11"/>
      <c r="H15" s="23"/>
      <c r="K15" s="177">
        <v>-6.9859999999999998</v>
      </c>
      <c r="L15" s="493">
        <v>0.41399999999999998</v>
      </c>
      <c r="M15" s="493">
        <v>567.17899999999997</v>
      </c>
      <c r="N15" s="310">
        <f>730.888+257.386</f>
        <v>988.27400000000011</v>
      </c>
      <c r="O15" s="310">
        <v>142.06</v>
      </c>
      <c r="P15" s="1223"/>
      <c r="Q15" s="1223"/>
      <c r="R15" s="1223"/>
      <c r="S15" s="311"/>
      <c r="T15" s="311"/>
      <c r="U15" s="311"/>
      <c r="V15" s="311"/>
      <c r="W15" s="311"/>
      <c r="X15" s="311"/>
      <c r="Y15" s="311"/>
      <c r="Z15" s="311"/>
      <c r="AA15" s="311"/>
      <c r="AB15" s="311"/>
      <c r="AC15" s="311"/>
      <c r="AD15" s="311"/>
    </row>
    <row r="16" spans="1:30" ht="14.45" customHeight="1">
      <c r="A16" s="1" t="s">
        <v>121</v>
      </c>
      <c r="B16" s="492"/>
      <c r="C16" s="468">
        <v>0</v>
      </c>
      <c r="D16" s="11">
        <v>1.1779999999999999</v>
      </c>
      <c r="E16" s="11">
        <v>29.65</v>
      </c>
      <c r="F16" s="11">
        <v>-78.064999999999998</v>
      </c>
      <c r="G16" s="11"/>
      <c r="H16" s="23"/>
      <c r="J16" s="131">
        <v>-543.173</v>
      </c>
      <c r="K16" s="177">
        <v>0</v>
      </c>
      <c r="L16" s="493">
        <f>14.163-3.049+0.874</f>
        <v>11.988000000000001</v>
      </c>
      <c r="M16" s="493">
        <f>8.674+3.465-8.544</f>
        <v>3.5949999999999989</v>
      </c>
      <c r="N16" s="310">
        <f>3.814-42.905</f>
        <v>-39.091000000000001</v>
      </c>
      <c r="O16" s="310">
        <v>-42.273000000000003</v>
      </c>
      <c r="P16" s="1223"/>
      <c r="Q16" s="1223">
        <v>-5.4669999999999996</v>
      </c>
      <c r="R16" s="1223"/>
      <c r="S16" s="311"/>
      <c r="T16" s="311"/>
      <c r="U16" s="311"/>
      <c r="V16" s="311"/>
      <c r="W16" s="311"/>
      <c r="X16" s="311"/>
      <c r="Y16" s="311"/>
      <c r="Z16" s="311"/>
      <c r="AA16" s="311"/>
      <c r="AB16" s="311"/>
      <c r="AC16" s="311"/>
      <c r="AD16" s="311"/>
    </row>
    <row r="17" spans="1:30" ht="14.45" customHeight="1">
      <c r="A17" s="1" t="s">
        <v>122</v>
      </c>
      <c r="B17" s="492" t="e">
        <f>#REF!</f>
        <v>#REF!</v>
      </c>
      <c r="C17" s="468">
        <v>-0.47299999999999998</v>
      </c>
      <c r="D17" s="11">
        <v>117.169</v>
      </c>
      <c r="E17" s="11">
        <v>-294.15899999999999</v>
      </c>
      <c r="F17" s="11">
        <v>-7.2060000000000004</v>
      </c>
      <c r="G17" s="11">
        <v>-74.543000000000006</v>
      </c>
      <c r="H17" s="23">
        <v>-121.9</v>
      </c>
      <c r="I17" s="352">
        <f>BS!I91</f>
        <v>-376.46199999999999</v>
      </c>
      <c r="J17" s="131">
        <f>BS!J91</f>
        <v>675.51900000000012</v>
      </c>
      <c r="K17" s="177">
        <f>BS!K91</f>
        <v>451.97799999999995</v>
      </c>
      <c r="L17" s="286">
        <f>BS!L91</f>
        <v>-1244.501</v>
      </c>
      <c r="M17" s="286">
        <f>BS!M91</f>
        <v>-1366.5600000000002</v>
      </c>
      <c r="N17" s="339">
        <f>BS!N91</f>
        <v>-1194.7120000000002</v>
      </c>
      <c r="O17" s="339">
        <f>BS!O91</f>
        <v>-128.96400000000011</v>
      </c>
      <c r="P17" s="1222">
        <f>BS!P91</f>
        <v>-424.48799999999989</v>
      </c>
      <c r="Q17" s="1222">
        <f>BS!Q91</f>
        <v>-247.02099999999962</v>
      </c>
      <c r="R17" s="1222">
        <f>BS!R91</f>
        <v>-458.70300000000009</v>
      </c>
      <c r="S17" s="399">
        <f>BS!S91</f>
        <v>1227.4829999999999</v>
      </c>
      <c r="T17" s="399">
        <f>BS!T91</f>
        <v>-710.45401558871345</v>
      </c>
      <c r="U17" s="399">
        <f>BS!U91</f>
        <v>-238.78523457403003</v>
      </c>
      <c r="V17" s="399">
        <f>BS!V91</f>
        <v>-188.91382697298309</v>
      </c>
      <c r="W17" s="399">
        <f>BS!W91</f>
        <v>-194.30077245092161</v>
      </c>
      <c r="X17" s="399">
        <f>BS!X91</f>
        <v>-206.59120934039322</v>
      </c>
      <c r="Y17" s="399">
        <f>BS!Y91</f>
        <v>-209.91046885060439</v>
      </c>
      <c r="Z17" s="399">
        <f>BS!Z91</f>
        <v>-216.49225433225229</v>
      </c>
      <c r="AA17" s="399">
        <f>BS!AA91</f>
        <v>-222.34977668242254</v>
      </c>
      <c r="AB17" s="399">
        <f>BS!AB91</f>
        <v>-227.41063436181366</v>
      </c>
      <c r="AC17" s="399">
        <f>BS!AC91</f>
        <v>-231.67118939871909</v>
      </c>
      <c r="AD17" s="399">
        <f>BS!AD91</f>
        <v>-77.23067813153375</v>
      </c>
    </row>
    <row r="18" spans="1:30" ht="14.45" customHeight="1">
      <c r="A18" s="1" t="s">
        <v>123</v>
      </c>
      <c r="B18" s="492" t="e">
        <f t="shared" ref="B18:G18" si="0">SUM(B6:B17)</f>
        <v>#REF!</v>
      </c>
      <c r="C18" s="468" t="e">
        <f t="shared" si="0"/>
        <v>#REF!</v>
      </c>
      <c r="D18" s="11" t="e">
        <f t="shared" si="0"/>
        <v>#REF!</v>
      </c>
      <c r="E18" s="11">
        <f>SUM(E6:E17)</f>
        <v>817.51900000000012</v>
      </c>
      <c r="F18" s="11" t="e">
        <f>SUM(F6:F17)</f>
        <v>#REF!</v>
      </c>
      <c r="G18" s="11">
        <f t="shared" si="0"/>
        <v>945.06999999999937</v>
      </c>
      <c r="H18" s="23" t="e">
        <f t="shared" ref="H18:S18" si="1">SUM(H6:H17)</f>
        <v>#REF!</v>
      </c>
      <c r="I18" s="352">
        <f t="shared" si="1"/>
        <v>1193.5450000000001</v>
      </c>
      <c r="J18" s="131">
        <f t="shared" si="1"/>
        <v>2768.5640000000012</v>
      </c>
      <c r="K18" s="177">
        <f t="shared" si="1"/>
        <v>4479.6130000000003</v>
      </c>
      <c r="L18" s="352">
        <f t="shared" si="1"/>
        <v>997.01900000000046</v>
      </c>
      <c r="M18" s="286">
        <f t="shared" si="1"/>
        <v>1263.6599999999992</v>
      </c>
      <c r="N18" s="339">
        <f t="shared" si="1"/>
        <v>3830.0805905999987</v>
      </c>
      <c r="O18" s="339">
        <f t="shared" si="1"/>
        <v>3479.4861790000023</v>
      </c>
      <c r="P18" s="1222">
        <f>2649.361+P6+P17</f>
        <v>2826.065000000001</v>
      </c>
      <c r="Q18" s="1222">
        <f>2357.342+Q6+Q17</f>
        <v>6162.7869999999994</v>
      </c>
      <c r="R18" s="1222">
        <v>8108.6459999999997</v>
      </c>
      <c r="S18" s="399">
        <f t="shared" si="1"/>
        <v>10096.347999999998</v>
      </c>
      <c r="T18" s="399">
        <f t="shared" ref="T18:AD18" si="2">SUM(T6:T17)</f>
        <v>9724.9142522728289</v>
      </c>
      <c r="U18" s="399">
        <f t="shared" si="2"/>
        <v>11072.346202373879</v>
      </c>
      <c r="V18" s="399">
        <f t="shared" si="2"/>
        <v>11382.933009281056</v>
      </c>
      <c r="W18" s="399">
        <f t="shared" si="2"/>
        <v>11526.882247087218</v>
      </c>
      <c r="X18" s="399">
        <f t="shared" si="2"/>
        <v>11604.850974434836</v>
      </c>
      <c r="Y18" s="399">
        <f t="shared" si="2"/>
        <v>11778.445473712132</v>
      </c>
      <c r="Z18" s="399">
        <f t="shared" si="2"/>
        <v>11986.065273587647</v>
      </c>
      <c r="AA18" s="399">
        <f t="shared" si="2"/>
        <v>12260.803744708363</v>
      </c>
      <c r="AB18" s="399">
        <f t="shared" si="2"/>
        <v>12597.798244138903</v>
      </c>
      <c r="AC18" s="399">
        <f t="shared" si="2"/>
        <v>13019.479218328295</v>
      </c>
      <c r="AD18" s="399">
        <f t="shared" si="2"/>
        <v>15838.845679552691</v>
      </c>
    </row>
    <row r="19" spans="1:30" ht="14.45" customHeight="1">
      <c r="A19" s="1" t="s">
        <v>124</v>
      </c>
      <c r="B19" s="492"/>
      <c r="C19" s="468">
        <v>-32.841000000000001</v>
      </c>
      <c r="D19" s="11">
        <v>-552.03800000000001</v>
      </c>
      <c r="E19" s="11">
        <v>-571.56399999999996</v>
      </c>
      <c r="F19" s="11">
        <v>-547.25599999999997</v>
      </c>
      <c r="G19" s="11">
        <v>-529.553</v>
      </c>
      <c r="H19" s="23">
        <v>-564.67600000000004</v>
      </c>
      <c r="I19" s="352">
        <v>-225.202</v>
      </c>
      <c r="J19" s="131">
        <v>-239.58099999999999</v>
      </c>
      <c r="K19" s="177">
        <v>-250.03</v>
      </c>
      <c r="L19" s="286">
        <v>-466.185</v>
      </c>
      <c r="M19" s="286">
        <v>-1727.1769999999999</v>
      </c>
      <c r="N19" s="339">
        <v>-2439.25</v>
      </c>
      <c r="O19" s="339">
        <v>-2088.107</v>
      </c>
      <c r="P19" s="1222">
        <v>-2113.5920000000001</v>
      </c>
      <c r="Q19" s="1222">
        <v>-1792.7080000000001</v>
      </c>
      <c r="R19" s="1222">
        <v>-1177.4469999999999</v>
      </c>
      <c r="S19" s="399">
        <v>-675.90899999999999</v>
      </c>
      <c r="T19" s="399">
        <f>-IS!BU23</f>
        <v>-496.05678290588475</v>
      </c>
      <c r="U19" s="399">
        <f>-IS!BV23</f>
        <v>-411.52768508760653</v>
      </c>
      <c r="V19" s="399">
        <f>-IS!BW23</f>
        <v>-395.14034863033208</v>
      </c>
      <c r="W19" s="399">
        <f>-IS!BX23</f>
        <v>0</v>
      </c>
      <c r="X19" s="399">
        <f>-IS!BY23</f>
        <v>0</v>
      </c>
      <c r="Y19" s="399">
        <f>-IS!BZ23</f>
        <v>0</v>
      </c>
      <c r="Z19" s="399">
        <f>-IS!CA23</f>
        <v>0</v>
      </c>
      <c r="AA19" s="399">
        <f>-IS!CB23</f>
        <v>0</v>
      </c>
      <c r="AB19" s="399">
        <f>-IS!CC23</f>
        <v>0</v>
      </c>
      <c r="AC19" s="399">
        <f>-IS!CD23</f>
        <v>0</v>
      </c>
      <c r="AD19" s="399">
        <f>-IS!CE23</f>
        <v>0</v>
      </c>
    </row>
    <row r="20" spans="1:30" ht="14.45" customHeight="1">
      <c r="A20" s="494" t="s">
        <v>125</v>
      </c>
      <c r="B20" s="492"/>
      <c r="C20" s="468">
        <v>-9.0830000000000002</v>
      </c>
      <c r="D20" s="11">
        <v>-2.7709999999999999</v>
      </c>
      <c r="E20" s="11">
        <v>-1.0740000000000001</v>
      </c>
      <c r="F20" s="11">
        <v>-1.6279999999999999</v>
      </c>
      <c r="G20" s="11">
        <v>-2.2989999999999999</v>
      </c>
      <c r="H20" s="23">
        <v>-1.7030000000000001</v>
      </c>
      <c r="I20" s="352">
        <v>-1.7769999999999999</v>
      </c>
      <c r="J20" s="131">
        <v>-1.724</v>
      </c>
      <c r="K20" s="177">
        <v>-7.5720000000000001</v>
      </c>
      <c r="L20" s="286">
        <v>-43.067</v>
      </c>
      <c r="M20" s="286">
        <v>-5.0540000000000003</v>
      </c>
      <c r="N20" s="339">
        <v>-6.9340000000000002</v>
      </c>
      <c r="O20" s="339">
        <v>-11.368</v>
      </c>
      <c r="P20" s="1222">
        <f>-19.793-10.245</f>
        <v>-30.037999999999997</v>
      </c>
      <c r="Q20" s="1222">
        <f>-20.205-2.538</f>
        <v>-22.742999999999999</v>
      </c>
      <c r="R20" s="1222">
        <v>-174.011</v>
      </c>
      <c r="S20" s="399">
        <v>-43.896000000000001</v>
      </c>
      <c r="T20" s="399"/>
      <c r="U20" s="399"/>
      <c r="V20" s="399"/>
      <c r="W20" s="399"/>
      <c r="X20" s="399"/>
      <c r="Y20" s="399"/>
      <c r="Z20" s="399"/>
      <c r="AA20" s="399"/>
      <c r="AB20" s="399"/>
      <c r="AC20" s="399"/>
      <c r="AD20" s="399"/>
    </row>
    <row r="21" spans="1:30" ht="14.45" customHeight="1">
      <c r="A21" s="494" t="s">
        <v>126</v>
      </c>
      <c r="B21" s="492"/>
      <c r="C21" s="468">
        <v>-25.071999999999999</v>
      </c>
      <c r="D21" s="11">
        <v>-11.384</v>
      </c>
      <c r="E21" s="11">
        <v>29.396000000000001</v>
      </c>
      <c r="F21" s="11">
        <v>-21.295999999999999</v>
      </c>
      <c r="G21" s="11">
        <v>-23.757999999999999</v>
      </c>
      <c r="H21" s="23">
        <v>-23.88</v>
      </c>
      <c r="I21" s="352">
        <f>-23.569+2.524</f>
        <v>-21.044999999999998</v>
      </c>
      <c r="J21" s="131">
        <f>-40.809-1.691</f>
        <v>-42.5</v>
      </c>
      <c r="K21" s="177">
        <f>-31.604+5.14</f>
        <v>-26.463999999999999</v>
      </c>
      <c r="L21" s="286">
        <f>-57.759+45.653</f>
        <v>-12.106000000000002</v>
      </c>
      <c r="M21" s="286">
        <f>-135.78-5.577</f>
        <v>-141.357</v>
      </c>
      <c r="N21" s="339">
        <f>-235.684-0.125</f>
        <v>-235.809</v>
      </c>
      <c r="O21" s="339">
        <f>-260.492+7.373</f>
        <v>-253.11900000000003</v>
      </c>
      <c r="P21" s="1222">
        <v>-312.12</v>
      </c>
      <c r="Q21" s="1222">
        <v>-335.702</v>
      </c>
      <c r="R21" s="1222">
        <f>-234.234-2.972</f>
        <v>-237.20600000000002</v>
      </c>
      <c r="S21" s="399">
        <f>-370.382+3.587+193.313</f>
        <v>-173.48200000000003</v>
      </c>
      <c r="T21" s="399">
        <f>-IS!BU29</f>
        <v>-3075.6329894404871</v>
      </c>
      <c r="U21" s="399">
        <f>-IS!BV29</f>
        <v>-3388.6657938150142</v>
      </c>
      <c r="V21" s="399">
        <f>-IS!BW29</f>
        <v>-3484.9978662633621</v>
      </c>
      <c r="W21" s="399">
        <f>-IS!BX29</f>
        <v>-3663.9943676881448</v>
      </c>
      <c r="X21" s="399">
        <f>-IS!BY29</f>
        <v>-3655.4576072029017</v>
      </c>
      <c r="Y21" s="399">
        <f>-IS!BZ29</f>
        <v>-3720.0533743737101</v>
      </c>
      <c r="Z21" s="399">
        <f>-IS!CA29</f>
        <v>-3795.9733620041902</v>
      </c>
      <c r="AA21" s="399">
        <f>-IS!CB29</f>
        <v>-3892.2359090444243</v>
      </c>
      <c r="AB21" s="399">
        <f>-IS!CC29</f>
        <v>-4007.306356327842</v>
      </c>
      <c r="AC21" s="399">
        <f>-IS!CD29</f>
        <v>-4148.1321231706524</v>
      </c>
      <c r="AD21" s="399">
        <f>-IS!CE29</f>
        <v>-4982.7886774801209</v>
      </c>
    </row>
    <row r="22" spans="1:30" ht="14.45" customHeight="1">
      <c r="B22" s="492"/>
      <c r="C22" s="468"/>
      <c r="D22" s="11"/>
      <c r="E22" s="11"/>
      <c r="F22" s="11"/>
      <c r="G22" s="11"/>
      <c r="H22" s="23"/>
      <c r="L22" s="286"/>
      <c r="M22" s="286"/>
      <c r="N22" s="339"/>
      <c r="O22" s="339"/>
      <c r="P22" s="1222"/>
      <c r="Q22" s="1222"/>
      <c r="R22" s="1222"/>
      <c r="S22" s="399"/>
      <c r="T22" s="399"/>
      <c r="U22" s="399"/>
      <c r="V22" s="399"/>
      <c r="W22" s="399"/>
      <c r="X22" s="399"/>
      <c r="Y22" s="399"/>
      <c r="Z22" s="399"/>
      <c r="AA22" s="399"/>
      <c r="AB22" s="399"/>
      <c r="AC22" s="399"/>
      <c r="AD22" s="399"/>
    </row>
    <row r="23" spans="1:30" ht="14.45" customHeight="1">
      <c r="A23" s="2" t="s">
        <v>127</v>
      </c>
      <c r="B23" s="492" t="e">
        <f>B18-B19</f>
        <v>#REF!</v>
      </c>
      <c r="C23" s="18" t="e">
        <f>C18+C19+C20+C21</f>
        <v>#REF!</v>
      </c>
      <c r="D23" s="18" t="e">
        <f>D18+D19+D20+D21</f>
        <v>#REF!</v>
      </c>
      <c r="E23" s="18">
        <f>E18+E19+E20+E21</f>
        <v>274.27700000000016</v>
      </c>
      <c r="F23" s="18" t="e">
        <f>F18+F19+F20+F21</f>
        <v>#REF!</v>
      </c>
      <c r="G23" s="18">
        <f>G18+G19+G20+G21</f>
        <v>389.45999999999941</v>
      </c>
      <c r="H23" s="467" t="e">
        <f t="shared" ref="H23:O23" si="3">+SUM(H18:H21)</f>
        <v>#REF!</v>
      </c>
      <c r="I23" s="495">
        <f t="shared" si="3"/>
        <v>945.52100000000007</v>
      </c>
      <c r="J23" s="102">
        <f t="shared" si="3"/>
        <v>2484.7590000000009</v>
      </c>
      <c r="K23" s="496">
        <f t="shared" si="3"/>
        <v>4195.5470000000005</v>
      </c>
      <c r="L23" s="497">
        <f t="shared" si="3"/>
        <v>475.66100000000051</v>
      </c>
      <c r="M23" s="48">
        <f t="shared" si="3"/>
        <v>-609.92800000000068</v>
      </c>
      <c r="N23" s="498">
        <f t="shared" si="3"/>
        <v>1148.0875905999987</v>
      </c>
      <c r="O23" s="498">
        <f t="shared" si="3"/>
        <v>1126.8921790000022</v>
      </c>
      <c r="P23" s="1224">
        <f t="shared" ref="P23:AD23" si="4">+SUM(P18:P21)</f>
        <v>370.31500000000085</v>
      </c>
      <c r="Q23" s="1224">
        <f t="shared" si="4"/>
        <v>4011.6339999999991</v>
      </c>
      <c r="R23" s="1224">
        <f>SUM(R18:R21)</f>
        <v>6519.9819999999991</v>
      </c>
      <c r="S23" s="499">
        <f>SUM(S18:S21)</f>
        <v>9203.0609999999979</v>
      </c>
      <c r="T23" s="499">
        <f t="shared" si="4"/>
        <v>6153.2244799264563</v>
      </c>
      <c r="U23" s="499">
        <f t="shared" si="4"/>
        <v>7272.1527234712576</v>
      </c>
      <c r="V23" s="499">
        <f t="shared" si="4"/>
        <v>7502.7947943873623</v>
      </c>
      <c r="W23" s="499">
        <f t="shared" si="4"/>
        <v>7862.8878793990734</v>
      </c>
      <c r="X23" s="499">
        <f t="shared" si="4"/>
        <v>7949.3933672319345</v>
      </c>
      <c r="Y23" s="499">
        <f t="shared" si="4"/>
        <v>8058.3920993384218</v>
      </c>
      <c r="Z23" s="499">
        <f t="shared" si="4"/>
        <v>8190.0919115834567</v>
      </c>
      <c r="AA23" s="499">
        <f t="shared" si="4"/>
        <v>8368.5678356639382</v>
      </c>
      <c r="AB23" s="499">
        <f t="shared" si="4"/>
        <v>8590.491887811062</v>
      </c>
      <c r="AC23" s="499">
        <f t="shared" si="4"/>
        <v>8871.3470951576419</v>
      </c>
      <c r="AD23" s="499">
        <f t="shared" si="4"/>
        <v>10856.05700207257</v>
      </c>
    </row>
    <row r="24" spans="1:30" ht="14.45" customHeight="1">
      <c r="A24" s="1" t="s">
        <v>128</v>
      </c>
      <c r="B24" s="492">
        <v>-3300000000</v>
      </c>
      <c r="C24" s="468">
        <v>-641.58900000000006</v>
      </c>
      <c r="D24" s="11">
        <v>-131.405</v>
      </c>
      <c r="E24" s="11">
        <v>-29.079000000000001</v>
      </c>
      <c r="F24" s="11">
        <v>-61.612000000000002</v>
      </c>
      <c r="G24" s="11">
        <v>-345.61900000000003</v>
      </c>
      <c r="H24" s="23">
        <v>-179.52600000000001</v>
      </c>
      <c r="I24" s="352">
        <v>-1359.7329999999999</v>
      </c>
      <c r="J24" s="131">
        <v>-3705.6120000000001</v>
      </c>
      <c r="K24" s="177">
        <v>-9005.2019999999993</v>
      </c>
      <c r="L24" s="29">
        <v>-5095.2690000000002</v>
      </c>
      <c r="M24" s="29">
        <v>-2698.37</v>
      </c>
      <c r="N24" s="331">
        <v>-1995.63</v>
      </c>
      <c r="O24" s="331">
        <f>BS!N46-BS!O46-O8-O10</f>
        <v>-1069.515000000001</v>
      </c>
      <c r="P24" s="1225">
        <v>-1672.6120000000001</v>
      </c>
      <c r="Q24" s="1225">
        <v>-2751.451</v>
      </c>
      <c r="R24" s="1225">
        <v>-3173.0880000000002</v>
      </c>
      <c r="S24" s="500">
        <f>BS!R46-BS!S46-S8</f>
        <v>-2687.6479999999933</v>
      </c>
      <c r="T24" s="500">
        <f>BS!S46-BS!T46-T8</f>
        <v>-891.46069572344231</v>
      </c>
      <c r="U24" s="500">
        <f>BS!T46-BS!U46-U8</f>
        <v>-909.29451113966888</v>
      </c>
      <c r="V24" s="500">
        <f>BS!U46-BS!V46-V8</f>
        <v>-927.48509491800496</v>
      </c>
      <c r="W24" s="500">
        <f>BS!V46-BS!W46-W8</f>
        <v>-946.03958426723716</v>
      </c>
      <c r="X24" s="500">
        <f>BS!W46-BS!X46-X8</f>
        <v>-964.96525917719441</v>
      </c>
      <c r="Y24" s="500">
        <f>BS!X46-BS!Y46-Y8</f>
        <v>-984.26954527504063</v>
      </c>
      <c r="Z24" s="500">
        <f>BS!Y46-BS!Z46-Z8</f>
        <v>-1003.9600167388503</v>
      </c>
      <c r="AA24" s="500">
        <f>BS!Z46-BS!AA46-AA8</f>
        <v>-1024.0443992693185</v>
      </c>
      <c r="AB24" s="500">
        <f>BS!AA46-BS!AB46-AB8</f>
        <v>-1044.5305731210597</v>
      </c>
      <c r="AC24" s="500">
        <f>BS!AB46-BS!AC46-AC8</f>
        <v>-1065.4265761944448</v>
      </c>
      <c r="AD24" s="500">
        <f>BS!AC46-BS!AD46-AD8</f>
        <v>-1086.7406071893515</v>
      </c>
    </row>
    <row r="25" spans="1:30" ht="14.45" customHeight="1">
      <c r="A25" s="1" t="s">
        <v>129</v>
      </c>
      <c r="B25" s="492"/>
      <c r="C25" s="468">
        <v>0</v>
      </c>
      <c r="D25" s="11">
        <v>15.279</v>
      </c>
      <c r="E25" s="11">
        <v>64.617000000000004</v>
      </c>
      <c r="F25" s="11"/>
      <c r="G25" s="11"/>
      <c r="H25" s="23"/>
      <c r="I25" s="352">
        <v>-0.40799999999999997</v>
      </c>
      <c r="J25" s="131">
        <v>-193.54300000000001</v>
      </c>
      <c r="K25" s="177">
        <f>-167.039+13</f>
        <v>-154.03899999999999</v>
      </c>
      <c r="L25" s="286">
        <f>-320.955+0.09</f>
        <v>-320.86500000000001</v>
      </c>
      <c r="M25" s="286">
        <v>-188.339</v>
      </c>
      <c r="N25" s="339">
        <v>-38.878</v>
      </c>
      <c r="O25" s="339">
        <v>-249.44499999999999</v>
      </c>
      <c r="P25" s="1222">
        <f>39.439+23.693+42.146</f>
        <v>105.27800000000001</v>
      </c>
      <c r="Q25" s="1222">
        <f>30.3+12.877+52.735</f>
        <v>95.912000000000006</v>
      </c>
      <c r="R25" s="1222">
        <f>51.621+24.807+49.841</f>
        <v>126.26900000000001</v>
      </c>
      <c r="S25" s="399">
        <f>-((BS!S48+BS!S56-BS!R48-BS!R56)-BS!S12+BS!R12)</f>
        <v>-229.75500000000102</v>
      </c>
      <c r="T25" s="399">
        <f>-((BS!T48+BS!T56-BS!T48-BS!T56)-BS!T12+BS!S12)</f>
        <v>0</v>
      </c>
      <c r="U25" s="399">
        <f>-((BS!U48+BS!U56-BS!U48-BS!U56)-BS!U12+BS!T12)</f>
        <v>0</v>
      </c>
      <c r="V25" s="399">
        <f>-((BS!V48+BS!V56-BS!V48-BS!V56)-BS!V12+BS!U12)</f>
        <v>0</v>
      </c>
      <c r="W25" s="399">
        <f>-((BS!W48+BS!W56-BS!W48-BS!W56)-BS!W12+BS!V12)</f>
        <v>0</v>
      </c>
      <c r="X25" s="399">
        <f>-((BS!X48+BS!X56-BS!X48-BS!X56)-BS!X12+BS!W12)</f>
        <v>0</v>
      </c>
      <c r="Y25" s="399">
        <f>-((BS!Y48+BS!Y56-BS!Y48-BS!Y56)-BS!Y12+BS!X12)</f>
        <v>0</v>
      </c>
      <c r="Z25" s="399">
        <f>-((BS!Z48+BS!Z56-BS!Z48-BS!Z56)-BS!Z12+BS!Y12)</f>
        <v>0</v>
      </c>
      <c r="AA25" s="399">
        <f>-((BS!AA48+BS!AA56-BS!AA48-BS!AA56)-BS!AA12+BS!Z12)</f>
        <v>0</v>
      </c>
      <c r="AB25" s="399">
        <f>-((BS!AB48+BS!AB56-BS!AB48-BS!AB56)-BS!AB12+BS!AA12)</f>
        <v>0</v>
      </c>
      <c r="AC25" s="399">
        <f>-((BS!AC48+BS!AC56-BS!AC48-BS!AC56)-BS!AC12+BS!AB12)</f>
        <v>0</v>
      </c>
      <c r="AD25" s="399">
        <f>-((BS!AD48+BS!AD56-BS!AD48-BS!AD56)-BS!AD12+BS!AC12)</f>
        <v>0</v>
      </c>
    </row>
    <row r="26" spans="1:30" ht="14.45" customHeight="1">
      <c r="A26" s="1" t="s">
        <v>130</v>
      </c>
      <c r="B26" s="492"/>
      <c r="C26" s="468">
        <f>3.36+2.58+19.778+27.869</f>
        <v>53.586999999999996</v>
      </c>
      <c r="D26" s="11">
        <f>0+1.784-1.117+23.448+52.796</f>
        <v>76.911000000000001</v>
      </c>
      <c r="E26" s="11">
        <f>36.516+1.193+0.048+6.405+84.583</f>
        <v>128.745</v>
      </c>
      <c r="F26" s="11">
        <f>99.853-0.613+36.57+35.314+89.91</f>
        <v>261.03399999999999</v>
      </c>
      <c r="G26" s="11">
        <f>0.471-27.058+1.85+110.928</f>
        <v>86.191000000000003</v>
      </c>
      <c r="H26" s="23">
        <f>-38.397-H24</f>
        <v>141.12900000000002</v>
      </c>
      <c r="I26" s="352">
        <f>8.658+9.831+115.491</f>
        <v>133.97999999999999</v>
      </c>
      <c r="J26" s="131">
        <f>-(BS!J49+BS!J50-BS!I49-BS!I50)+4.337+157.005</f>
        <v>-85.065000000000026</v>
      </c>
      <c r="K26" s="131">
        <f>-(BS!K49+BS!K50-BS!J49-BS!J50)+13.03+265.882</f>
        <v>214.53000000000006</v>
      </c>
      <c r="L26" s="131">
        <f>-(BS!L49+BS!L50-BS!K49-BS!K50)+18.608+465.779+3.681</f>
        <v>626.96499999999992</v>
      </c>
      <c r="M26" s="131">
        <f>-(BS!M49+BS!M50-BS!L49-BS!L50)+26.655+8.333</f>
        <v>-291.14500000000004</v>
      </c>
      <c r="N26" s="334">
        <f>-(BS!N49+BS!N50-BS!M49-BS!M50)+4.076+42.205</f>
        <v>402.38700000000006</v>
      </c>
      <c r="O26" s="334">
        <f>-(BS!O49+BS!O50-BS!N49-BS!N50)+2.555+16.785</f>
        <v>27.603000000000005</v>
      </c>
      <c r="P26" s="1226"/>
      <c r="Q26" s="1226"/>
      <c r="R26" s="1226"/>
      <c r="S26" s="410">
        <f>-(BS!S49+BS!S50-BS!R49-BS!R50)</f>
        <v>28.442999999999984</v>
      </c>
      <c r="T26" s="410">
        <f>-(BS!T49+BS!T50-BS!S49-BS!S50)</f>
        <v>0</v>
      </c>
      <c r="U26" s="410">
        <f>-(BS!U49+BS!U50-BS!T49-BS!T50)</f>
        <v>0</v>
      </c>
      <c r="V26" s="410">
        <f>-(BS!V49+BS!V50-BS!U49-BS!U50)</f>
        <v>0</v>
      </c>
      <c r="W26" s="410">
        <f>-(BS!W49+BS!W50-BS!V49-BS!V50)</f>
        <v>0</v>
      </c>
      <c r="X26" s="410">
        <f>-(BS!X49+BS!X50-BS!W49-BS!W50)</f>
        <v>0</v>
      </c>
      <c r="Y26" s="410">
        <f>-(BS!Y49+BS!Y50-BS!X49-BS!X50)</f>
        <v>0</v>
      </c>
      <c r="Z26" s="410">
        <f>-(BS!Z49+BS!Z50-BS!Y49-BS!Y50)</f>
        <v>0</v>
      </c>
      <c r="AA26" s="410">
        <f>-(BS!AA49+BS!AA50-BS!Z49-BS!Z50)</f>
        <v>0</v>
      </c>
      <c r="AB26" s="410">
        <f>-(BS!AB49+BS!AB50-BS!AA49-BS!AA50)</f>
        <v>0</v>
      </c>
      <c r="AC26" s="410">
        <f>-(BS!AC49+BS!AC50-BS!AB49-BS!AB50)</f>
        <v>0</v>
      </c>
      <c r="AD26" s="410">
        <f>-(BS!AD49+BS!AD50-BS!AC49-BS!AC50)</f>
        <v>0</v>
      </c>
    </row>
    <row r="27" spans="1:30" ht="14.45" customHeight="1">
      <c r="A27" s="2" t="s">
        <v>131</v>
      </c>
      <c r="B27" s="120">
        <f>B24+B25</f>
        <v>-3300000000</v>
      </c>
      <c r="C27" s="18">
        <f t="shared" ref="C27:I27" si="5">C24+C25+C26</f>
        <v>-588.00200000000007</v>
      </c>
      <c r="D27" s="18">
        <f t="shared" si="5"/>
        <v>-39.215000000000003</v>
      </c>
      <c r="E27" s="18">
        <f t="shared" si="5"/>
        <v>164.28300000000002</v>
      </c>
      <c r="F27" s="18">
        <f t="shared" si="5"/>
        <v>199.422</v>
      </c>
      <c r="G27" s="18">
        <f t="shared" si="5"/>
        <v>-259.428</v>
      </c>
      <c r="H27" s="18">
        <f t="shared" si="5"/>
        <v>-38.396999999999991</v>
      </c>
      <c r="I27" s="467">
        <f t="shared" si="5"/>
        <v>-1226.1609999999998</v>
      </c>
      <c r="J27" s="100">
        <f t="shared" ref="J27:S27" si="6">J24+J25+J26</f>
        <v>-3984.2200000000003</v>
      </c>
      <c r="K27" s="475">
        <f t="shared" si="6"/>
        <v>-8944.7109999999993</v>
      </c>
      <c r="L27" s="467">
        <f>L24+L25+L26</f>
        <v>-4789.1689999999999</v>
      </c>
      <c r="M27" s="18">
        <f>M24+M25+M26</f>
        <v>-3177.8539999999998</v>
      </c>
      <c r="N27" s="25">
        <f>N24+N25+N26</f>
        <v>-1632.1210000000001</v>
      </c>
      <c r="O27" s="25">
        <f t="shared" si="6"/>
        <v>-1291.3570000000009</v>
      </c>
      <c r="P27" s="1093">
        <f t="shared" si="6"/>
        <v>-1567.3340000000001</v>
      </c>
      <c r="Q27" s="1093">
        <f t="shared" si="6"/>
        <v>-2655.5390000000002</v>
      </c>
      <c r="R27" s="1093">
        <f t="shared" si="6"/>
        <v>-3046.8190000000004</v>
      </c>
      <c r="S27" s="265">
        <f t="shared" si="6"/>
        <v>-2888.9599999999946</v>
      </c>
      <c r="T27" s="265">
        <f t="shared" ref="T27:AD27" si="7">T24+T25+T26</f>
        <v>-891.46069572344231</v>
      </c>
      <c r="U27" s="265">
        <f t="shared" si="7"/>
        <v>-909.29451113966888</v>
      </c>
      <c r="V27" s="265">
        <f t="shared" si="7"/>
        <v>-927.48509491800496</v>
      </c>
      <c r="W27" s="265">
        <f t="shared" si="7"/>
        <v>-946.03958426723716</v>
      </c>
      <c r="X27" s="265">
        <f t="shared" si="7"/>
        <v>-964.96525917719441</v>
      </c>
      <c r="Y27" s="265">
        <f t="shared" si="7"/>
        <v>-984.26954527504063</v>
      </c>
      <c r="Z27" s="265">
        <f t="shared" si="7"/>
        <v>-1003.9600167388503</v>
      </c>
      <c r="AA27" s="265">
        <f t="shared" si="7"/>
        <v>-1024.0443992693185</v>
      </c>
      <c r="AB27" s="265">
        <f t="shared" si="7"/>
        <v>-1044.5305731210597</v>
      </c>
      <c r="AC27" s="265">
        <f t="shared" si="7"/>
        <v>-1065.4265761944448</v>
      </c>
      <c r="AD27" s="265">
        <f t="shared" si="7"/>
        <v>-1086.7406071893515</v>
      </c>
    </row>
    <row r="28" spans="1:30">
      <c r="V28" s="412"/>
      <c r="W28" s="412"/>
      <c r="X28" s="412"/>
      <c r="Y28" s="412"/>
      <c r="Z28" s="412"/>
      <c r="AA28" s="412"/>
      <c r="AB28" s="412"/>
      <c r="AC28" s="412"/>
      <c r="AD28" s="412"/>
    </row>
    <row r="29" spans="1:30">
      <c r="A29" s="1" t="s">
        <v>524</v>
      </c>
      <c r="L29" s="402"/>
      <c r="M29" s="397">
        <f>5359.645-3269.971</f>
        <v>2089.6740000000004</v>
      </c>
      <c r="N29" s="411">
        <v>1014.164</v>
      </c>
      <c r="O29" s="411">
        <v>1216.998</v>
      </c>
      <c r="P29" s="1222">
        <v>1460.3979999999999</v>
      </c>
      <c r="Q29" s="1219">
        <v>0</v>
      </c>
      <c r="V29" s="412"/>
      <c r="W29" s="412"/>
      <c r="X29" s="412"/>
      <c r="Y29" s="412"/>
      <c r="Z29" s="412"/>
      <c r="AA29" s="412"/>
      <c r="AB29" s="412"/>
      <c r="AC29" s="412"/>
      <c r="AD29" s="412"/>
    </row>
    <row r="30" spans="1:30" ht="14.45" customHeight="1">
      <c r="A30" s="1" t="s">
        <v>240</v>
      </c>
      <c r="B30" s="492"/>
      <c r="C30" s="468"/>
      <c r="D30" s="11"/>
      <c r="E30" s="11"/>
      <c r="F30" s="11"/>
      <c r="G30" s="11"/>
      <c r="H30" s="23"/>
      <c r="L30" s="286">
        <v>3942.9720000000002</v>
      </c>
      <c r="M30" s="286">
        <f>+BS!M32-BS!L32</f>
        <v>3654.0480000000002</v>
      </c>
      <c r="N30" s="339">
        <f>+BS!N32-BS!M32</f>
        <v>1471.5550000000003</v>
      </c>
      <c r="O30" s="339">
        <f>+BS!O32-BS!N32</f>
        <v>517.0669999999991</v>
      </c>
      <c r="P30" s="1222">
        <f>+BS!P32-BS!O32</f>
        <v>-893.65999999999985</v>
      </c>
      <c r="Q30" s="1222">
        <f>+BS!Q32-BS!P32</f>
        <v>-1958.5150000000003</v>
      </c>
      <c r="R30" s="1222">
        <f>BS!R32-BS!Q32</f>
        <v>-1313.1769999999997</v>
      </c>
      <c r="S30" s="399">
        <f>+BS!S32-BS!R32</f>
        <v>-2868.614</v>
      </c>
      <c r="T30" s="399">
        <f>+BS!T32-BS!S32</f>
        <v>448.32400000000007</v>
      </c>
      <c r="U30" s="399">
        <f>+BS!U32-BS!T32</f>
        <v>0</v>
      </c>
      <c r="V30" s="399">
        <f>+BS!V32-BS!U32</f>
        <v>0</v>
      </c>
      <c r="W30" s="399">
        <f>+BS!W32-BS!V32</f>
        <v>0</v>
      </c>
      <c r="X30" s="399">
        <f>+BS!X32-BS!W32</f>
        <v>0</v>
      </c>
      <c r="Y30" s="399">
        <f>+BS!Y32-BS!X32</f>
        <v>0</v>
      </c>
      <c r="Z30" s="399">
        <f>+BS!Z32-BS!Y32</f>
        <v>0</v>
      </c>
      <c r="AA30" s="399">
        <f>+BS!AA32-BS!Z32</f>
        <v>0</v>
      </c>
      <c r="AB30" s="399">
        <f>+BS!AB32-BS!AA32</f>
        <v>0</v>
      </c>
      <c r="AC30" s="399">
        <f>+BS!AC32-BS!AB32</f>
        <v>0</v>
      </c>
      <c r="AD30" s="399">
        <f>+BS!AD32-BS!AC32</f>
        <v>0</v>
      </c>
    </row>
    <row r="31" spans="1:30" ht="14.45" customHeight="1">
      <c r="A31" s="1" t="s">
        <v>132</v>
      </c>
      <c r="B31" s="492">
        <f>BS!B24</f>
        <v>3288.8159999999998</v>
      </c>
      <c r="C31" s="468">
        <v>12.14</v>
      </c>
      <c r="D31" s="11">
        <v>-34.357999999999997</v>
      </c>
      <c r="E31" s="11">
        <v>-381.46699999999998</v>
      </c>
      <c r="F31" s="11">
        <v>-142.66900000000001</v>
      </c>
      <c r="G31" s="11">
        <f>1105.569-1076.079</f>
        <v>29.490000000000009</v>
      </c>
      <c r="H31" s="23">
        <f>200+3475.292-4438.714</f>
        <v>-763.42200000000003</v>
      </c>
      <c r="I31" s="352">
        <f>-405.105-0.08</f>
        <v>-405.185</v>
      </c>
      <c r="J31" s="131">
        <f>ROUND(BS!J20+BS!J28-(BS!I20+BS!I28),3)</f>
        <v>2192.826</v>
      </c>
      <c r="K31" s="177">
        <f>BS!K20+BS!K28-(BS!J20+BS!J28)-0.001</f>
        <v>3443.1170000000002</v>
      </c>
      <c r="L31" s="286">
        <f>BS!L20+BS!L28-(BS!K20+BS!K28)-23.711</f>
        <v>1851.2460032467527</v>
      </c>
      <c r="M31" s="286">
        <f>3000-3178.083</f>
        <v>-178.08300000000008</v>
      </c>
      <c r="N31" s="339">
        <f>300-2989.69</f>
        <v>-2689.69</v>
      </c>
      <c r="O31" s="339">
        <f>3050-5104.383</f>
        <v>-2054.3829999999998</v>
      </c>
      <c r="P31" s="1222">
        <f>1850-2204.042</f>
        <v>-354.04199999999992</v>
      </c>
      <c r="Q31" s="1222">
        <f>1906.382-2132.049</f>
        <v>-225.66699999999992</v>
      </c>
      <c r="R31" s="1222">
        <f>-3258.01+800</f>
        <v>-2458.0100000000002</v>
      </c>
      <c r="S31" s="399">
        <f>BS!S20+BS!S28-(BS!R20+BS!R28)</f>
        <v>-2215.0360000000001</v>
      </c>
      <c r="T31" s="399">
        <f>BS!T20+BS!T28-(BS!S20+BS!S28)</f>
        <v>-669.11823100649349</v>
      </c>
      <c r="U31" s="399">
        <f>BS!U20+BS!U28-(BS!T20+BS!T28)</f>
        <v>-785.39661982954544</v>
      </c>
      <c r="V31" s="399">
        <f>BS!V20+BS!V28-(BS!U20+BS!U28)</f>
        <v>-669.66814916396106</v>
      </c>
      <c r="W31" s="399">
        <f>BS!W20+BS!W28-(BS!V20+BS!V28)</f>
        <v>0</v>
      </c>
      <c r="X31" s="399">
        <f>BS!X20+BS!X28-(BS!W20+BS!W28)</f>
        <v>0</v>
      </c>
      <c r="Y31" s="399">
        <f>BS!Y20+BS!Y28-(BS!X20+BS!X28)</f>
        <v>0</v>
      </c>
      <c r="Z31" s="399">
        <f>BS!Z20+BS!Z28-(BS!Y20+BS!Y28)</f>
        <v>0</v>
      </c>
      <c r="AA31" s="399">
        <f>BS!AA20+BS!AA28-(BS!Z20+BS!Z28)</f>
        <v>0</v>
      </c>
      <c r="AB31" s="399">
        <f>BS!AB20+BS!AB28-(BS!AA20+BS!AA28)</f>
        <v>0</v>
      </c>
      <c r="AC31" s="399">
        <f>BS!AC20+BS!AC28-(BS!AB20+BS!AB28)</f>
        <v>0</v>
      </c>
      <c r="AD31" s="399">
        <f>BS!AD20+BS!AD28-(BS!AC20+BS!AC28)</f>
        <v>0</v>
      </c>
    </row>
    <row r="32" spans="1:30" ht="14.45" customHeight="1">
      <c r="A32" s="1" t="s">
        <v>133</v>
      </c>
      <c r="B32" s="492">
        <v>1850000000</v>
      </c>
      <c r="C32" s="468">
        <v>-7.4249999999999998</v>
      </c>
      <c r="D32" s="11">
        <v>-0.48099999999999998</v>
      </c>
      <c r="E32" s="11">
        <v>-0.90900000000000003</v>
      </c>
      <c r="F32" s="11">
        <f>BS!F23-BS!E23</f>
        <v>-2.5740000000000016</v>
      </c>
      <c r="G32" s="11">
        <v>165.768</v>
      </c>
      <c r="H32" s="23">
        <v>-167.71299999999999</v>
      </c>
      <c r="K32" s="177">
        <v>8.3510000000000009</v>
      </c>
      <c r="L32" s="286"/>
      <c r="M32" s="286"/>
      <c r="N32" s="339">
        <f>BS!N23-BS!M23</f>
        <v>-0.125</v>
      </c>
      <c r="O32" s="339">
        <f>BS!O23-BS!N23</f>
        <v>7.3730000000000047</v>
      </c>
      <c r="P32" s="1222"/>
      <c r="Q32" s="1222"/>
      <c r="R32" s="1222"/>
      <c r="S32" s="399">
        <f>BS!S23-BS!R23</f>
        <v>3.5870000000000033</v>
      </c>
      <c r="T32" s="399">
        <f>BS!T23-BS!S23</f>
        <v>0</v>
      </c>
      <c r="U32" s="399">
        <f>BS!U23-BS!T23</f>
        <v>0</v>
      </c>
      <c r="V32" s="399">
        <f>BS!V23-BS!U23</f>
        <v>0</v>
      </c>
      <c r="W32" s="399">
        <f>BS!W23-BS!V23</f>
        <v>0</v>
      </c>
      <c r="X32" s="399">
        <f>BS!X23-BS!W23</f>
        <v>0</v>
      </c>
      <c r="Y32" s="399">
        <f>BS!Y23-BS!X23</f>
        <v>0</v>
      </c>
      <c r="Z32" s="399">
        <f>BS!Z23-BS!Y23</f>
        <v>0</v>
      </c>
      <c r="AA32" s="399">
        <f>BS!AA23-BS!Z23</f>
        <v>0</v>
      </c>
      <c r="AB32" s="399">
        <f>BS!AB23-BS!AA23</f>
        <v>0</v>
      </c>
      <c r="AC32" s="399">
        <f>BS!AC23-BS!AB23</f>
        <v>0</v>
      </c>
      <c r="AD32" s="399">
        <f>BS!AD23-BS!AC23</f>
        <v>0</v>
      </c>
    </row>
    <row r="33" spans="1:30" ht="14.45" customHeight="1">
      <c r="A33" s="1" t="s">
        <v>134</v>
      </c>
      <c r="B33" s="492"/>
      <c r="C33" s="468">
        <v>-6.0000000000000001E-3</v>
      </c>
      <c r="D33" s="11">
        <v>-1E-3</v>
      </c>
      <c r="E33" s="11">
        <v>-50</v>
      </c>
      <c r="F33" s="11">
        <v>-5.5E-2</v>
      </c>
      <c r="G33" s="11">
        <v>-3.0000000000000001E-3</v>
      </c>
      <c r="H33" s="23"/>
      <c r="I33" s="352">
        <v>-138.374</v>
      </c>
      <c r="J33" s="131">
        <v>-250.70500000000001</v>
      </c>
      <c r="K33" s="177">
        <v>-275.47800000000001</v>
      </c>
      <c r="L33" s="286">
        <v>-344.74299999999999</v>
      </c>
      <c r="M33" s="133">
        <f>-IS!AL72+1.22</f>
        <v>-379.09173999999996</v>
      </c>
      <c r="N33" s="339">
        <v>-0.53300000000000003</v>
      </c>
      <c r="O33" s="339">
        <v>-2.5000000000000001E-2</v>
      </c>
      <c r="P33" s="1222">
        <f>-IS!AZ72</f>
        <v>0</v>
      </c>
      <c r="Q33" s="1222">
        <f>-IS!BE72</f>
        <v>0</v>
      </c>
      <c r="R33" s="1222">
        <v>-657.17899999999997</v>
      </c>
      <c r="S33" s="399">
        <f>-IS!BP72</f>
        <v>-1314.357</v>
      </c>
      <c r="T33" s="399">
        <f>-IS!BU72</f>
        <v>-1314.3575999999998</v>
      </c>
      <c r="U33" s="399">
        <f>-IS!BV72</f>
        <v>-1752.4767999999999</v>
      </c>
      <c r="V33" s="399">
        <f>-IS!BW72</f>
        <v>-2190.596</v>
      </c>
      <c r="W33" s="399">
        <f>-IS!BX72</f>
        <v>-2628.7151999999996</v>
      </c>
      <c r="X33" s="399">
        <f>-IS!BY72</f>
        <v>-3066.8343999999997</v>
      </c>
      <c r="Y33" s="399">
        <f>-IS!BZ72</f>
        <v>-3066.8343999999997</v>
      </c>
      <c r="Z33" s="399">
        <f>-IS!CA72</f>
        <v>-3066.8343999999997</v>
      </c>
      <c r="AA33" s="399">
        <f>-IS!CB72</f>
        <v>-3066.8343999999997</v>
      </c>
      <c r="AB33" s="399">
        <f>-IS!CC72</f>
        <v>-3066.8343999999997</v>
      </c>
      <c r="AC33" s="399">
        <f>-IS!CD72</f>
        <v>-3066.8343999999997</v>
      </c>
      <c r="AD33" s="399">
        <f>-IS!CE72</f>
        <v>-3066.8343999999997</v>
      </c>
    </row>
    <row r="34" spans="1:30" ht="14.45" customHeight="1">
      <c r="A34" s="1" t="s">
        <v>525</v>
      </c>
      <c r="B34" s="492"/>
      <c r="C34" s="468"/>
      <c r="D34" s="11"/>
      <c r="E34" s="11"/>
      <c r="F34" s="11"/>
      <c r="G34" s="11"/>
      <c r="H34" s="23"/>
      <c r="L34" s="286"/>
      <c r="M34" s="286">
        <f t="shared" ref="M34:Q34" si="8">-M13</f>
        <v>820.44600000000003</v>
      </c>
      <c r="N34" s="339">
        <f t="shared" si="8"/>
        <v>707.23099999999999</v>
      </c>
      <c r="O34" s="339">
        <f t="shared" si="8"/>
        <v>766.39800000000002</v>
      </c>
      <c r="P34" s="1222">
        <f t="shared" si="8"/>
        <v>951.35400000000004</v>
      </c>
      <c r="Q34" s="1222">
        <f t="shared" si="8"/>
        <v>1058.7070000000001</v>
      </c>
      <c r="R34" s="1222">
        <v>995.64300000000003</v>
      </c>
      <c r="S34" s="399">
        <f t="shared" ref="S34:AD34" si="9">-S13</f>
        <v>1434.1790000000001</v>
      </c>
      <c r="T34" s="399">
        <f t="shared" si="9"/>
        <v>1732.0255509603001</v>
      </c>
      <c r="U34" s="399">
        <f t="shared" si="9"/>
        <v>1816.52436265236</v>
      </c>
      <c r="V34" s="399">
        <f t="shared" si="9"/>
        <v>1885.8784238444198</v>
      </c>
      <c r="W34" s="399">
        <f t="shared" si="9"/>
        <v>1955.2324850364801</v>
      </c>
      <c r="X34" s="399">
        <f t="shared" si="9"/>
        <v>1874.5865462285401</v>
      </c>
      <c r="Y34" s="399">
        <f t="shared" si="9"/>
        <v>1943.9406074206001</v>
      </c>
      <c r="Z34" s="399">
        <f t="shared" si="9"/>
        <v>2013.29466861266</v>
      </c>
      <c r="AA34" s="399">
        <f t="shared" si="9"/>
        <v>2082.64872980472</v>
      </c>
      <c r="AB34" s="399">
        <f t="shared" si="9"/>
        <v>2152.0027909967798</v>
      </c>
      <c r="AC34" s="399">
        <f t="shared" si="9"/>
        <v>2221.3568521888401</v>
      </c>
      <c r="AD34" s="399">
        <f t="shared" si="9"/>
        <v>2290.7109133808999</v>
      </c>
    </row>
    <row r="35" spans="1:30" ht="14.45" customHeight="1">
      <c r="A35" s="1" t="s">
        <v>135</v>
      </c>
      <c r="B35" s="492" t="e">
        <f>BS!#REF!</f>
        <v>#REF!</v>
      </c>
      <c r="C35" s="468">
        <v>29.367000000000001</v>
      </c>
      <c r="D35" s="11">
        <v>-64.042000000000002</v>
      </c>
      <c r="E35" s="11">
        <v>-86.997</v>
      </c>
      <c r="F35" s="11">
        <f>-134.654+3.348</f>
        <v>-131.30599999999998</v>
      </c>
      <c r="G35" s="11">
        <f>-18.717+98.357</f>
        <v>79.64</v>
      </c>
      <c r="H35" s="23" t="e">
        <f>+BS!H21+BS!H29-(BS!G21+BS!G29)</f>
        <v>#REF!</v>
      </c>
      <c r="I35" s="352">
        <v>-98.59</v>
      </c>
      <c r="J35" s="131">
        <v>-68.582999999999998</v>
      </c>
      <c r="K35" s="177">
        <f>+BS!K21+BS!K29-(BS!J21+BS!J29)</f>
        <v>-96.57</v>
      </c>
      <c r="L35" s="286">
        <v>-85.932000000000002</v>
      </c>
      <c r="M35" s="286">
        <v>-19.957000000000001</v>
      </c>
      <c r="N35" s="339">
        <v>-1.141</v>
      </c>
      <c r="O35" s="339">
        <v>0</v>
      </c>
      <c r="P35" s="1222">
        <f>+BS!P21+BS!P29-(BS!O21+BS!O29)+BS!P30-BS!O30</f>
        <v>0</v>
      </c>
      <c r="Q35" s="1222">
        <f>+BS!Q21+BS!Q29-(BS!P21+BS!P29)+BS!Q30-BS!P30</f>
        <v>0</v>
      </c>
      <c r="R35" s="1222">
        <f>+BS!R21+BS!R29-(BS!Q21+BS!Q29)+BS!R30-BS!Q30</f>
        <v>0</v>
      </c>
      <c r="S35" s="399">
        <f>+BS!S21+BS!S29-(BS!R21+BS!R29)+BS!S30-BS!R30</f>
        <v>0</v>
      </c>
      <c r="T35" s="399">
        <f>+BS!T21+BS!T29-(BS!S21+BS!S29)+BS!T30-BS!S30</f>
        <v>0</v>
      </c>
      <c r="U35" s="399">
        <f>+BS!U21+BS!U29-(BS!T21+BS!T29)+BS!U30-BS!T30</f>
        <v>0</v>
      </c>
      <c r="V35" s="399">
        <f>+BS!V21+BS!V29-(BS!U21+BS!U29)+BS!V30-BS!U30</f>
        <v>0</v>
      </c>
      <c r="W35" s="399">
        <f>+BS!W21+BS!W29-(BS!V21+BS!V29)+BS!W30-BS!V30</f>
        <v>0</v>
      </c>
      <c r="X35" s="399">
        <f>+BS!X21+BS!X29-(BS!W21+BS!W29)+BS!X30-BS!W30</f>
        <v>0</v>
      </c>
      <c r="Y35" s="399">
        <f>+BS!Y21+BS!Y29-(BS!X21+BS!X29)+BS!Y30-BS!X30</f>
        <v>0</v>
      </c>
      <c r="Z35" s="399">
        <f>+BS!Z21+BS!Z29-(BS!Y21+BS!Y29)+BS!Z30-BS!Y30</f>
        <v>0</v>
      </c>
      <c r="AA35" s="399">
        <f>+BS!AA21+BS!AA29-(BS!Z21+BS!Z29)+BS!AA30-BS!Z30</f>
        <v>0</v>
      </c>
      <c r="AB35" s="399">
        <f>+BS!AB21+BS!AB29-(BS!AA21+BS!AA29)+BS!AB30-BS!AA30</f>
        <v>0</v>
      </c>
      <c r="AC35" s="399">
        <f>+BS!AC21+BS!AC29-(BS!AB21+BS!AB29)+BS!AC30-BS!AB30</f>
        <v>0</v>
      </c>
      <c r="AD35" s="399">
        <f>+BS!AD21+BS!AD29-(BS!AC21+BS!AC29)+BS!AD30-BS!AC30</f>
        <v>0</v>
      </c>
    </row>
    <row r="36" spans="1:30" ht="14.45" customHeight="1">
      <c r="A36" s="1" t="s">
        <v>458</v>
      </c>
      <c r="B36" s="492"/>
      <c r="C36" s="468"/>
      <c r="D36" s="11"/>
      <c r="E36" s="11"/>
      <c r="F36" s="11"/>
      <c r="G36" s="11"/>
      <c r="H36" s="23"/>
      <c r="K36" s="286"/>
      <c r="L36" s="352"/>
      <c r="M36" s="286"/>
      <c r="N36" s="339">
        <f>+BS!N7-BS!M7+BS!N11-BS!M11</f>
        <v>1014.1639999999998</v>
      </c>
      <c r="O36" s="339">
        <f>+BS!O7-BS!N7+BS!O11-BS!N11</f>
        <v>1216.998</v>
      </c>
      <c r="P36" s="1222"/>
      <c r="Q36" s="1222"/>
      <c r="R36" s="1222"/>
      <c r="S36" s="399"/>
      <c r="T36" s="399"/>
      <c r="U36" s="399"/>
      <c r="V36" s="399"/>
      <c r="W36" s="399"/>
      <c r="X36" s="399"/>
      <c r="Y36" s="399"/>
      <c r="Z36" s="399"/>
      <c r="AA36" s="399"/>
      <c r="AB36" s="399"/>
      <c r="AC36" s="399"/>
      <c r="AD36" s="399"/>
    </row>
    <row r="37" spans="1:30" ht="14.45" customHeight="1">
      <c r="A37" s="1" t="s">
        <v>136</v>
      </c>
      <c r="B37" s="492"/>
      <c r="C37" s="468"/>
      <c r="D37" s="11"/>
      <c r="E37" s="11"/>
      <c r="F37" s="11"/>
      <c r="G37" s="11"/>
      <c r="H37" s="23">
        <v>353.51</v>
      </c>
      <c r="I37" s="352">
        <f>BS!I8-BS!H8</f>
        <v>0</v>
      </c>
      <c r="J37" s="131">
        <f>BS!J8-BS!I8</f>
        <v>0</v>
      </c>
      <c r="K37" s="177">
        <f>BS!K8-BS!J8</f>
        <v>0</v>
      </c>
      <c r="L37" s="286">
        <v>1602.6659999999999</v>
      </c>
      <c r="M37" s="286"/>
      <c r="N37" s="339"/>
      <c r="O37" s="339"/>
      <c r="P37" s="1222"/>
      <c r="Q37" s="1222"/>
      <c r="R37" s="1222"/>
      <c r="S37" s="399"/>
      <c r="T37" s="399"/>
      <c r="U37" s="399"/>
      <c r="V37" s="399"/>
      <c r="W37" s="399"/>
      <c r="X37" s="399"/>
      <c r="Y37" s="399"/>
      <c r="Z37" s="399"/>
      <c r="AA37" s="399"/>
      <c r="AB37" s="399"/>
      <c r="AC37" s="399"/>
      <c r="AD37" s="399"/>
    </row>
    <row r="38" spans="1:30" ht="14.45" customHeight="1">
      <c r="A38" s="2" t="s">
        <v>137</v>
      </c>
      <c r="B38" s="492" t="e">
        <f>SUM(B30:B35)</f>
        <v>#REF!</v>
      </c>
      <c r="C38" s="286">
        <f t="shared" ref="C38:K38" si="10">SUM(C31:C37)</f>
        <v>34.076000000000001</v>
      </c>
      <c r="D38" s="286">
        <f t="shared" si="10"/>
        <v>-98.882000000000005</v>
      </c>
      <c r="E38" s="286">
        <f t="shared" si="10"/>
        <v>-519.37299999999993</v>
      </c>
      <c r="F38" s="286">
        <f t="shared" si="10"/>
        <v>-276.60400000000004</v>
      </c>
      <c r="G38" s="286">
        <f t="shared" si="10"/>
        <v>274.89500000000004</v>
      </c>
      <c r="H38" s="286" t="e">
        <f t="shared" si="10"/>
        <v>#REF!</v>
      </c>
      <c r="I38" s="286">
        <f t="shared" si="10"/>
        <v>-642.149</v>
      </c>
      <c r="J38" s="286">
        <f t="shared" si="10"/>
        <v>1873.538</v>
      </c>
      <c r="K38" s="286">
        <f t="shared" si="10"/>
        <v>3079.42</v>
      </c>
      <c r="L38" s="286">
        <f t="shared" ref="L38:S38" si="11">SUM(L31:L37)</f>
        <v>3023.2370032467525</v>
      </c>
      <c r="M38" s="286">
        <f t="shared" si="11"/>
        <v>243.31425999999999</v>
      </c>
      <c r="N38" s="498">
        <f t="shared" si="11"/>
        <v>-970.09400000000028</v>
      </c>
      <c r="O38" s="498">
        <f>SUM(O31:O37)</f>
        <v>-63.638999999999669</v>
      </c>
      <c r="P38" s="1224">
        <f>SUM(P31:P37)+P29</f>
        <v>2057.71</v>
      </c>
      <c r="Q38" s="1224">
        <f t="shared" si="11"/>
        <v>833.04000000000019</v>
      </c>
      <c r="R38" s="1224">
        <f t="shared" si="11"/>
        <v>-2119.5460000000003</v>
      </c>
      <c r="S38" s="499">
        <f t="shared" si="11"/>
        <v>-2091.627</v>
      </c>
      <c r="T38" s="499">
        <f t="shared" ref="T38:AD38" si="12">SUM(T31:T37)</f>
        <v>-251.45028004619326</v>
      </c>
      <c r="U38" s="499">
        <f t="shared" si="12"/>
        <v>-721.34905717718516</v>
      </c>
      <c r="V38" s="499">
        <f t="shared" si="12"/>
        <v>-974.38572531954128</v>
      </c>
      <c r="W38" s="499">
        <f t="shared" si="12"/>
        <v>-673.48271496351958</v>
      </c>
      <c r="X38" s="499">
        <f t="shared" si="12"/>
        <v>-1192.2478537714596</v>
      </c>
      <c r="Y38" s="499">
        <f t="shared" si="12"/>
        <v>-1122.8937925793996</v>
      </c>
      <c r="Z38" s="499">
        <f t="shared" si="12"/>
        <v>-1053.5397313873398</v>
      </c>
      <c r="AA38" s="499">
        <f t="shared" si="12"/>
        <v>-984.18567019527973</v>
      </c>
      <c r="AB38" s="499">
        <f t="shared" si="12"/>
        <v>-914.83160900321991</v>
      </c>
      <c r="AC38" s="499">
        <f t="shared" si="12"/>
        <v>-845.47754781115964</v>
      </c>
      <c r="AD38" s="499">
        <f t="shared" si="12"/>
        <v>-776.12348661909982</v>
      </c>
    </row>
    <row r="39" spans="1:30" s="18" customFormat="1" ht="14.45" customHeight="1">
      <c r="A39" s="18" t="s">
        <v>138</v>
      </c>
      <c r="B39" s="18" t="e">
        <f t="shared" ref="B39:S39" si="13">B23+B27+B38</f>
        <v>#REF!</v>
      </c>
      <c r="C39" s="18" t="e">
        <f t="shared" si="13"/>
        <v>#REF!</v>
      </c>
      <c r="D39" s="18" t="e">
        <f t="shared" si="13"/>
        <v>#REF!</v>
      </c>
      <c r="E39" s="18">
        <f t="shared" si="13"/>
        <v>-80.812999999999761</v>
      </c>
      <c r="F39" s="18" t="e">
        <f t="shared" si="13"/>
        <v>#REF!</v>
      </c>
      <c r="G39" s="18">
        <f>G23+G27+G38</f>
        <v>404.92699999999945</v>
      </c>
      <c r="H39" s="18" t="e">
        <f t="shared" si="13"/>
        <v>#REF!</v>
      </c>
      <c r="I39" s="18">
        <f>I23+I27+I38</f>
        <v>-922.78899999999976</v>
      </c>
      <c r="J39" s="100">
        <f>J23+J27+J38</f>
        <v>374.07700000000068</v>
      </c>
      <c r="K39" s="467">
        <f>K23+K27+K38</f>
        <v>-1669.7439999999988</v>
      </c>
      <c r="L39" s="467">
        <f>L23+L27+L38</f>
        <v>-1290.2709967532473</v>
      </c>
      <c r="M39" s="18">
        <f>M23+M27+M38</f>
        <v>-3544.4677400000005</v>
      </c>
      <c r="N39" s="25">
        <f t="shared" si="13"/>
        <v>-1454.1274094000016</v>
      </c>
      <c r="O39" s="25">
        <f>O23+O27+O38</f>
        <v>-228.10382099999833</v>
      </c>
      <c r="P39" s="1093">
        <f t="shared" si="13"/>
        <v>860.69100000000071</v>
      </c>
      <c r="Q39" s="1093">
        <f t="shared" si="13"/>
        <v>2189.1349999999993</v>
      </c>
      <c r="R39" s="1093">
        <f t="shared" si="13"/>
        <v>1353.6169999999984</v>
      </c>
      <c r="S39" s="265">
        <f t="shared" si="13"/>
        <v>4222.4740000000038</v>
      </c>
      <c r="T39" s="265">
        <f t="shared" ref="T39:AD39" si="14">T23+T27+T38</f>
        <v>5010.3135041568212</v>
      </c>
      <c r="U39" s="265">
        <f t="shared" si="14"/>
        <v>5641.5091551544028</v>
      </c>
      <c r="V39" s="265">
        <f t="shared" si="14"/>
        <v>5600.9239741498159</v>
      </c>
      <c r="W39" s="265">
        <f t="shared" si="14"/>
        <v>6243.3655801683171</v>
      </c>
      <c r="X39" s="265">
        <f t="shared" si="14"/>
        <v>5792.1802542832802</v>
      </c>
      <c r="Y39" s="265">
        <f t="shared" si="14"/>
        <v>5951.2287614839815</v>
      </c>
      <c r="Z39" s="265">
        <f t="shared" si="14"/>
        <v>6132.592163457266</v>
      </c>
      <c r="AA39" s="265">
        <f t="shared" si="14"/>
        <v>6360.33776619934</v>
      </c>
      <c r="AB39" s="265">
        <f t="shared" si="14"/>
        <v>6631.1297056867825</v>
      </c>
      <c r="AC39" s="265">
        <f t="shared" si="14"/>
        <v>6960.4429711520379</v>
      </c>
      <c r="AD39" s="265">
        <f t="shared" si="14"/>
        <v>8993.1929082641182</v>
      </c>
    </row>
    <row r="40" spans="1:30" s="18" customFormat="1" ht="14.45" customHeight="1">
      <c r="I40" s="100"/>
      <c r="J40" s="100"/>
      <c r="N40" s="25"/>
      <c r="O40" s="25"/>
      <c r="P40" s="1093"/>
      <c r="Q40" s="1093"/>
      <c r="R40" s="1093"/>
      <c r="S40" s="265"/>
      <c r="T40" s="265"/>
      <c r="U40" s="265"/>
      <c r="V40" s="265"/>
      <c r="W40" s="265"/>
      <c r="X40" s="265"/>
      <c r="Y40" s="265"/>
      <c r="Z40" s="265"/>
      <c r="AA40" s="265"/>
      <c r="AB40" s="265"/>
      <c r="AC40" s="265"/>
      <c r="AD40" s="265"/>
    </row>
    <row r="41" spans="1:30" ht="14.45" customHeight="1">
      <c r="A41" s="1" t="s">
        <v>139</v>
      </c>
      <c r="B41" s="492">
        <v>0</v>
      </c>
      <c r="C41" s="468">
        <v>-217.24199999999999</v>
      </c>
      <c r="D41" s="11">
        <v>-614.346</v>
      </c>
      <c r="E41" s="11" t="e">
        <f t="shared" ref="E41:AD41" si="15">D43</f>
        <v>#REF!</v>
      </c>
      <c r="F41" s="11" t="e">
        <f t="shared" si="15"/>
        <v>#REF!</v>
      </c>
      <c r="G41" s="11" t="e">
        <f t="shared" si="15"/>
        <v>#REF!</v>
      </c>
      <c r="H41" s="23">
        <v>-103.797</v>
      </c>
      <c r="I41" s="352">
        <v>-353.89699999999999</v>
      </c>
      <c r="J41" s="131">
        <f t="shared" si="15"/>
        <v>-1276.6859999999997</v>
      </c>
      <c r="K41" s="177">
        <f>J43</f>
        <v>-902.60899999999901</v>
      </c>
      <c r="L41" s="286">
        <f>K43</f>
        <v>-2572.3529999999978</v>
      </c>
      <c r="M41" s="286">
        <f>L43</f>
        <v>-3862.6239967532451</v>
      </c>
      <c r="N41" s="339">
        <f t="shared" si="15"/>
        <v>-7407.0917367532456</v>
      </c>
      <c r="O41" s="339">
        <f>N43</f>
        <v>-8861.2191461532475</v>
      </c>
      <c r="P41" s="1222">
        <v>-9354.85</v>
      </c>
      <c r="Q41" s="1222">
        <f t="shared" si="15"/>
        <v>-8494.1610000000001</v>
      </c>
      <c r="R41" s="1222">
        <f t="shared" si="15"/>
        <v>-6305.0260000000007</v>
      </c>
      <c r="S41" s="399">
        <f t="shared" si="15"/>
        <v>-4951.4090000000024</v>
      </c>
      <c r="T41" s="399">
        <f t="shared" si="15"/>
        <v>-728.93499999999858</v>
      </c>
      <c r="U41" s="399">
        <f t="shared" si="15"/>
        <v>4281.3785041568226</v>
      </c>
      <c r="V41" s="399">
        <f t="shared" si="15"/>
        <v>9922.8876593112254</v>
      </c>
      <c r="W41" s="399">
        <f t="shared" si="15"/>
        <v>15523.811633461042</v>
      </c>
      <c r="X41" s="399">
        <f t="shared" si="15"/>
        <v>21767.177213629358</v>
      </c>
      <c r="Y41" s="399">
        <f t="shared" si="15"/>
        <v>27559.35746791264</v>
      </c>
      <c r="Z41" s="399">
        <f t="shared" si="15"/>
        <v>33510.58622939662</v>
      </c>
      <c r="AA41" s="399">
        <f t="shared" si="15"/>
        <v>39643.178392853886</v>
      </c>
      <c r="AB41" s="399">
        <f t="shared" si="15"/>
        <v>46003.516159053223</v>
      </c>
      <c r="AC41" s="399">
        <f t="shared" si="15"/>
        <v>52634.645864740007</v>
      </c>
      <c r="AD41" s="399">
        <f t="shared" si="15"/>
        <v>59595.088835892042</v>
      </c>
    </row>
    <row r="42" spans="1:30" ht="14.45" customHeight="1">
      <c r="A42" s="1" t="s">
        <v>140</v>
      </c>
      <c r="B42" s="492" t="e">
        <f t="shared" ref="B42:G42" si="16">B39</f>
        <v>#REF!</v>
      </c>
      <c r="C42" s="468" t="e">
        <f t="shared" si="16"/>
        <v>#REF!</v>
      </c>
      <c r="D42" s="11" t="e">
        <f t="shared" si="16"/>
        <v>#REF!</v>
      </c>
      <c r="E42" s="11">
        <f t="shared" si="16"/>
        <v>-80.812999999999761</v>
      </c>
      <c r="F42" s="11" t="e">
        <f t="shared" si="16"/>
        <v>#REF!</v>
      </c>
      <c r="G42" s="11">
        <f t="shared" si="16"/>
        <v>404.92699999999945</v>
      </c>
      <c r="H42" s="23" t="e">
        <f>H39</f>
        <v>#REF!</v>
      </c>
      <c r="I42" s="352">
        <f>+I39</f>
        <v>-922.78899999999976</v>
      </c>
      <c r="J42" s="352">
        <f>+J39</f>
        <v>374.07700000000068</v>
      </c>
      <c r="K42" s="352">
        <f>+K39</f>
        <v>-1669.7439999999988</v>
      </c>
      <c r="L42" s="286">
        <f t="shared" ref="L42:Q42" si="17">L39</f>
        <v>-1290.2709967532473</v>
      </c>
      <c r="M42" s="286">
        <f t="shared" si="17"/>
        <v>-3544.4677400000005</v>
      </c>
      <c r="N42" s="339">
        <f t="shared" si="17"/>
        <v>-1454.1274094000016</v>
      </c>
      <c r="O42" s="339">
        <f t="shared" si="17"/>
        <v>-228.10382099999833</v>
      </c>
      <c r="P42" s="1222">
        <v>860.68899999999996</v>
      </c>
      <c r="Q42" s="1222">
        <f t="shared" si="17"/>
        <v>2189.1349999999993</v>
      </c>
      <c r="R42" s="1222">
        <f t="shared" ref="R42:AD42" si="18">R39</f>
        <v>1353.6169999999984</v>
      </c>
      <c r="S42" s="399">
        <f t="shared" si="18"/>
        <v>4222.4740000000038</v>
      </c>
      <c r="T42" s="399">
        <f t="shared" si="18"/>
        <v>5010.3135041568212</v>
      </c>
      <c r="U42" s="399">
        <f t="shared" si="18"/>
        <v>5641.5091551544028</v>
      </c>
      <c r="V42" s="399">
        <f t="shared" si="18"/>
        <v>5600.9239741498159</v>
      </c>
      <c r="W42" s="399">
        <f t="shared" si="18"/>
        <v>6243.3655801683171</v>
      </c>
      <c r="X42" s="399">
        <f t="shared" si="18"/>
        <v>5792.1802542832802</v>
      </c>
      <c r="Y42" s="399">
        <f t="shared" si="18"/>
        <v>5951.2287614839815</v>
      </c>
      <c r="Z42" s="399">
        <f t="shared" si="18"/>
        <v>6132.592163457266</v>
      </c>
      <c r="AA42" s="399">
        <f t="shared" si="18"/>
        <v>6360.33776619934</v>
      </c>
      <c r="AB42" s="399">
        <f t="shared" si="18"/>
        <v>6631.1297056867825</v>
      </c>
      <c r="AC42" s="399">
        <f t="shared" si="18"/>
        <v>6960.4429711520379</v>
      </c>
      <c r="AD42" s="399">
        <f t="shared" si="18"/>
        <v>8993.1929082641182</v>
      </c>
    </row>
    <row r="43" spans="1:30" ht="14.45" customHeight="1">
      <c r="A43" s="1" t="s">
        <v>141</v>
      </c>
      <c r="B43" s="492" t="e">
        <f t="shared" ref="B43:S43" si="19">B41+B42</f>
        <v>#REF!</v>
      </c>
      <c r="C43" s="468" t="e">
        <f t="shared" si="19"/>
        <v>#REF!</v>
      </c>
      <c r="D43" s="11" t="e">
        <f t="shared" si="19"/>
        <v>#REF!</v>
      </c>
      <c r="E43" s="11" t="e">
        <f t="shared" si="19"/>
        <v>#REF!</v>
      </c>
      <c r="F43" s="11" t="e">
        <f t="shared" si="19"/>
        <v>#REF!</v>
      </c>
      <c r="G43" s="11" t="e">
        <f t="shared" si="19"/>
        <v>#REF!</v>
      </c>
      <c r="H43" s="23" t="e">
        <f>H41+H42</f>
        <v>#REF!</v>
      </c>
      <c r="I43" s="352">
        <f t="shared" si="19"/>
        <v>-1276.6859999999997</v>
      </c>
      <c r="J43" s="131">
        <f>J41+J42</f>
        <v>-902.60899999999901</v>
      </c>
      <c r="K43" s="177">
        <f>K41+K42</f>
        <v>-2572.3529999999978</v>
      </c>
      <c r="L43" s="352">
        <f>L41+L42</f>
        <v>-3862.6239967532451</v>
      </c>
      <c r="M43" s="286">
        <f>M41+M42</f>
        <v>-7407.0917367532456</v>
      </c>
      <c r="N43" s="339">
        <f t="shared" si="19"/>
        <v>-8861.2191461532475</v>
      </c>
      <c r="O43" s="339">
        <f t="shared" si="19"/>
        <v>-9089.3229671532463</v>
      </c>
      <c r="P43" s="1222">
        <f t="shared" si="19"/>
        <v>-8494.1610000000001</v>
      </c>
      <c r="Q43" s="1222">
        <f t="shared" si="19"/>
        <v>-6305.0260000000007</v>
      </c>
      <c r="R43" s="1222">
        <f t="shared" si="19"/>
        <v>-4951.4090000000024</v>
      </c>
      <c r="S43" s="399">
        <f t="shared" si="19"/>
        <v>-728.93499999999858</v>
      </c>
      <c r="T43" s="399">
        <f t="shared" ref="T43:AD43" si="20">T41+T42</f>
        <v>4281.3785041568226</v>
      </c>
      <c r="U43" s="399">
        <f t="shared" si="20"/>
        <v>9922.8876593112254</v>
      </c>
      <c r="V43" s="399">
        <f t="shared" si="20"/>
        <v>15523.811633461042</v>
      </c>
      <c r="W43" s="399">
        <f t="shared" si="20"/>
        <v>21767.177213629358</v>
      </c>
      <c r="X43" s="399">
        <f t="shared" si="20"/>
        <v>27559.35746791264</v>
      </c>
      <c r="Y43" s="399">
        <f t="shared" si="20"/>
        <v>33510.58622939662</v>
      </c>
      <c r="Z43" s="399">
        <f t="shared" si="20"/>
        <v>39643.178392853886</v>
      </c>
      <c r="AA43" s="399">
        <f t="shared" si="20"/>
        <v>46003.516159053223</v>
      </c>
      <c r="AB43" s="399">
        <f t="shared" si="20"/>
        <v>52634.645864740007</v>
      </c>
      <c r="AC43" s="399">
        <f t="shared" si="20"/>
        <v>59595.088835892042</v>
      </c>
      <c r="AD43" s="399">
        <f t="shared" si="20"/>
        <v>68588.281744156164</v>
      </c>
    </row>
    <row r="44" spans="1:30" ht="14.45" customHeight="1">
      <c r="A44" s="1" t="s">
        <v>142</v>
      </c>
      <c r="B44" s="492"/>
      <c r="C44" s="468">
        <v>634.07299999999998</v>
      </c>
      <c r="D44" s="11">
        <v>605.65499999999997</v>
      </c>
      <c r="E44" s="11">
        <v>698.50099999999998</v>
      </c>
      <c r="F44" s="11">
        <v>250</v>
      </c>
      <c r="G44" s="11">
        <v>125</v>
      </c>
      <c r="H44" s="23" t="e">
        <f>+BS!H32</f>
        <v>#REF!</v>
      </c>
      <c r="I44" s="23">
        <f>+BS!I32</f>
        <v>1360.6769999999999</v>
      </c>
      <c r="J44" s="36">
        <f>+BS!J32</f>
        <v>960.62</v>
      </c>
      <c r="K44" s="466">
        <f>+BS!K32</f>
        <v>2613.6950000000002</v>
      </c>
      <c r="L44" s="23">
        <f>+BS!L32</f>
        <v>3942.9720000000002</v>
      </c>
      <c r="M44" s="24">
        <f>+BS!M32</f>
        <v>7597.02</v>
      </c>
      <c r="N44" s="328">
        <f t="shared" ref="N44:AD44" si="21">+M44+N30</f>
        <v>9068.5750000000007</v>
      </c>
      <c r="O44" s="26">
        <f t="shared" si="21"/>
        <v>9585.6419999999998</v>
      </c>
      <c r="P44" s="1092">
        <f t="shared" si="21"/>
        <v>8691.982</v>
      </c>
      <c r="Q44" s="1092">
        <f t="shared" si="21"/>
        <v>6733.4669999999996</v>
      </c>
      <c r="R44" s="1092">
        <f t="shared" si="21"/>
        <v>5420.29</v>
      </c>
      <c r="S44" s="15">
        <f t="shared" si="21"/>
        <v>2551.6759999999999</v>
      </c>
      <c r="T44" s="15">
        <f>+S44+T30-528.617</f>
        <v>2471.3829999999998</v>
      </c>
      <c r="U44" s="15">
        <f t="shared" si="21"/>
        <v>2471.3829999999998</v>
      </c>
      <c r="V44" s="15">
        <f t="shared" si="21"/>
        <v>2471.3829999999998</v>
      </c>
      <c r="W44" s="15">
        <f t="shared" si="21"/>
        <v>2471.3829999999998</v>
      </c>
      <c r="X44" s="15">
        <f t="shared" si="21"/>
        <v>2471.3829999999998</v>
      </c>
      <c r="Y44" s="15">
        <f t="shared" si="21"/>
        <v>2471.3829999999998</v>
      </c>
      <c r="Z44" s="15">
        <f t="shared" si="21"/>
        <v>2471.3829999999998</v>
      </c>
      <c r="AA44" s="15">
        <f t="shared" si="21"/>
        <v>2471.3829999999998</v>
      </c>
      <c r="AB44" s="15">
        <f t="shared" si="21"/>
        <v>2471.3829999999998</v>
      </c>
      <c r="AC44" s="15">
        <f t="shared" si="21"/>
        <v>2471.3829999999998</v>
      </c>
      <c r="AD44" s="15">
        <f t="shared" si="21"/>
        <v>2471.3829999999998</v>
      </c>
    </row>
    <row r="45" spans="1:30" ht="14.45" customHeight="1">
      <c r="A45" s="1" t="s">
        <v>143</v>
      </c>
      <c r="B45" s="492"/>
      <c r="C45" s="11" t="e">
        <f t="shared" ref="C45:N45" si="22">C43+C44</f>
        <v>#REF!</v>
      </c>
      <c r="D45" s="11" t="e">
        <f t="shared" si="22"/>
        <v>#REF!</v>
      </c>
      <c r="E45" s="11" t="e">
        <f t="shared" si="22"/>
        <v>#REF!</v>
      </c>
      <c r="F45" s="11" t="e">
        <f>F43+F44</f>
        <v>#REF!</v>
      </c>
      <c r="G45" s="11" t="e">
        <f t="shared" si="22"/>
        <v>#REF!</v>
      </c>
      <c r="H45" s="23" t="e">
        <f>H43+H44</f>
        <v>#REF!</v>
      </c>
      <c r="I45" s="352">
        <v>83.991</v>
      </c>
      <c r="J45" s="131">
        <v>93.835999999999999</v>
      </c>
      <c r="K45" s="177">
        <v>77.167000000000002</v>
      </c>
      <c r="L45" s="286">
        <f>L43+L44</f>
        <v>80.34800324675507</v>
      </c>
      <c r="M45" s="286">
        <f t="shared" si="22"/>
        <v>189.9282632467548</v>
      </c>
      <c r="N45" s="339">
        <f t="shared" si="22"/>
        <v>207.35585384675323</v>
      </c>
      <c r="O45" s="339">
        <f t="shared" ref="O45:T45" si="23">O43+O44</f>
        <v>496.31903284675354</v>
      </c>
      <c r="P45" s="1222">
        <f t="shared" si="23"/>
        <v>197.82099999999991</v>
      </c>
      <c r="Q45" s="1222">
        <f t="shared" si="23"/>
        <v>428.44099999999889</v>
      </c>
      <c r="R45" s="1222">
        <f>R43+R44</f>
        <v>468.88099999999758</v>
      </c>
      <c r="S45" s="399">
        <f t="shared" si="23"/>
        <v>1822.7410000000013</v>
      </c>
      <c r="T45" s="399">
        <f t="shared" si="23"/>
        <v>6752.7615041568224</v>
      </c>
      <c r="U45" s="399">
        <f t="shared" ref="U45:AD45" si="24">U43+U44</f>
        <v>12394.270659311225</v>
      </c>
      <c r="V45" s="399">
        <f t="shared" si="24"/>
        <v>17995.19463346104</v>
      </c>
      <c r="W45" s="399">
        <f t="shared" si="24"/>
        <v>24238.56021362936</v>
      </c>
      <c r="X45" s="399">
        <f t="shared" si="24"/>
        <v>30030.740467912641</v>
      </c>
      <c r="Y45" s="399">
        <f t="shared" si="24"/>
        <v>35981.969229396622</v>
      </c>
      <c r="Z45" s="399">
        <f t="shared" si="24"/>
        <v>42114.561392853888</v>
      </c>
      <c r="AA45" s="399">
        <f t="shared" si="24"/>
        <v>48474.899159053224</v>
      </c>
      <c r="AB45" s="399">
        <f t="shared" si="24"/>
        <v>55106.028864740008</v>
      </c>
      <c r="AC45" s="399">
        <f t="shared" si="24"/>
        <v>62066.471835892044</v>
      </c>
      <c r="AD45" s="399">
        <f t="shared" si="24"/>
        <v>71059.664744156165</v>
      </c>
    </row>
    <row r="46" spans="1:30" ht="3" customHeight="1">
      <c r="A46" s="501"/>
      <c r="B46" s="502"/>
      <c r="C46" s="468"/>
      <c r="D46" s="503"/>
      <c r="E46" s="503"/>
      <c r="F46" s="503"/>
      <c r="G46" s="503"/>
      <c r="H46" s="504"/>
      <c r="I46" s="505"/>
      <c r="J46" s="219"/>
      <c r="K46" s="506"/>
      <c r="L46" s="507"/>
      <c r="M46" s="507"/>
      <c r="N46" s="508"/>
      <c r="O46" s="508"/>
      <c r="P46" s="1227"/>
      <c r="Q46" s="1227"/>
      <c r="R46" s="1227"/>
      <c r="S46" s="509"/>
      <c r="T46" s="509"/>
      <c r="U46" s="509"/>
      <c r="V46" s="509"/>
      <c r="W46" s="509"/>
      <c r="X46" s="509"/>
      <c r="Y46" s="509"/>
      <c r="Z46" s="509"/>
      <c r="AA46" s="509"/>
      <c r="AB46" s="509"/>
      <c r="AC46" s="509"/>
      <c r="AD46" s="509"/>
    </row>
    <row r="47" spans="1:30">
      <c r="C47" s="468"/>
      <c r="H47" s="406"/>
      <c r="L47" s="406"/>
      <c r="V47" s="412"/>
      <c r="W47" s="412"/>
      <c r="X47" s="412"/>
      <c r="Y47" s="412"/>
      <c r="Z47" s="412"/>
      <c r="AA47" s="412"/>
      <c r="AB47" s="412"/>
      <c r="AC47" s="412"/>
      <c r="AD47" s="412"/>
    </row>
    <row r="48" spans="1:30">
      <c r="C48" s="468"/>
      <c r="H48" s="130"/>
      <c r="L48" s="477"/>
      <c r="V48" s="412"/>
      <c r="W48" s="412"/>
      <c r="X48" s="412"/>
      <c r="Y48" s="412"/>
      <c r="Z48" s="412"/>
      <c r="AA48" s="412"/>
      <c r="AB48" s="412"/>
      <c r="AC48" s="412"/>
      <c r="AD48" s="412"/>
    </row>
    <row r="49" spans="3:30">
      <c r="C49" s="14">
        <f t="shared" ref="C49:O49" si="25">C31+C35</f>
        <v>41.507000000000005</v>
      </c>
      <c r="D49" s="14">
        <f t="shared" si="25"/>
        <v>-98.4</v>
      </c>
      <c r="E49" s="14">
        <f t="shared" si="25"/>
        <v>-468.464</v>
      </c>
      <c r="F49" s="14">
        <f t="shared" si="25"/>
        <v>-273.97500000000002</v>
      </c>
      <c r="G49" s="14">
        <f t="shared" si="25"/>
        <v>109.13000000000001</v>
      </c>
      <c r="H49" s="130" t="e">
        <f t="shared" si="25"/>
        <v>#REF!</v>
      </c>
      <c r="I49" s="352">
        <f t="shared" si="25"/>
        <v>-503.77499999999998</v>
      </c>
      <c r="J49" s="131">
        <f>J31+J35</f>
        <v>2124.2429999999999</v>
      </c>
      <c r="K49" s="177">
        <f>K31+K35</f>
        <v>3346.547</v>
      </c>
      <c r="L49" s="406">
        <f>L31+L35</f>
        <v>1765.3140032467527</v>
      </c>
      <c r="M49" s="406">
        <f t="shared" si="25"/>
        <v>-198.04000000000008</v>
      </c>
      <c r="N49" s="408">
        <f t="shared" si="25"/>
        <v>-2690.8310000000001</v>
      </c>
      <c r="O49" s="408">
        <f t="shared" si="25"/>
        <v>-2054.3829999999998</v>
      </c>
      <c r="P49" s="1228">
        <f t="shared" ref="P49:AD49" si="26">P31+P35</f>
        <v>-354.04199999999992</v>
      </c>
      <c r="Q49" s="1228">
        <f t="shared" si="26"/>
        <v>-225.66699999999992</v>
      </c>
      <c r="R49" s="1228">
        <f t="shared" si="26"/>
        <v>-2458.0100000000002</v>
      </c>
      <c r="S49" s="409">
        <f t="shared" si="26"/>
        <v>-2215.0360000000001</v>
      </c>
      <c r="T49" s="409">
        <f t="shared" si="26"/>
        <v>-669.11823100649349</v>
      </c>
      <c r="U49" s="409">
        <f t="shared" si="26"/>
        <v>-785.39661982954544</v>
      </c>
      <c r="V49" s="409">
        <f t="shared" si="26"/>
        <v>-669.66814916396106</v>
      </c>
      <c r="W49" s="409">
        <f t="shared" si="26"/>
        <v>0</v>
      </c>
      <c r="X49" s="409">
        <f t="shared" si="26"/>
        <v>0</v>
      </c>
      <c r="Y49" s="409">
        <f t="shared" si="26"/>
        <v>0</v>
      </c>
      <c r="Z49" s="409">
        <f t="shared" si="26"/>
        <v>0</v>
      </c>
      <c r="AA49" s="409">
        <f t="shared" si="26"/>
        <v>0</v>
      </c>
      <c r="AB49" s="409">
        <f t="shared" si="26"/>
        <v>0</v>
      </c>
      <c r="AC49" s="409">
        <f t="shared" si="26"/>
        <v>0</v>
      </c>
      <c r="AD49" s="409">
        <f t="shared" si="26"/>
        <v>0</v>
      </c>
    </row>
    <row r="50" spans="3:30">
      <c r="C50" s="468"/>
      <c r="D50" s="14"/>
      <c r="V50" s="412"/>
      <c r="W50" s="412"/>
      <c r="X50" s="412"/>
      <c r="Y50" s="412"/>
      <c r="Z50" s="412"/>
      <c r="AA50" s="412"/>
      <c r="AB50" s="412"/>
      <c r="AC50" s="412"/>
      <c r="AD50" s="412"/>
    </row>
    <row r="51" spans="3:30">
      <c r="C51" s="468"/>
      <c r="V51" s="412"/>
      <c r="W51" s="412"/>
      <c r="X51" s="412"/>
      <c r="Y51" s="412"/>
      <c r="Z51" s="412"/>
      <c r="AA51" s="412"/>
      <c r="AB51" s="412"/>
      <c r="AC51" s="412"/>
      <c r="AD51" s="412"/>
    </row>
    <row r="52" spans="3:30">
      <c r="C52" s="468"/>
      <c r="V52" s="412"/>
      <c r="W52" s="412"/>
      <c r="X52" s="412"/>
      <c r="Y52" s="412"/>
      <c r="Z52" s="412"/>
      <c r="AA52" s="412"/>
      <c r="AB52" s="412"/>
      <c r="AC52" s="412"/>
      <c r="AD52" s="412"/>
    </row>
    <row r="53" spans="3:30">
      <c r="C53" s="468"/>
      <c r="V53" s="412"/>
      <c r="W53" s="412"/>
      <c r="X53" s="412"/>
      <c r="Y53" s="412"/>
      <c r="Z53" s="412"/>
      <c r="AA53" s="412"/>
      <c r="AB53" s="412"/>
      <c r="AC53" s="412"/>
      <c r="AD53" s="412"/>
    </row>
    <row r="54" spans="3:30">
      <c r="C54" s="468"/>
      <c r="V54" s="412"/>
      <c r="W54" s="412"/>
      <c r="X54" s="412"/>
      <c r="Y54" s="412"/>
      <c r="Z54" s="412"/>
      <c r="AA54" s="412"/>
      <c r="AB54" s="412"/>
      <c r="AC54" s="412"/>
      <c r="AD54" s="412"/>
    </row>
    <row r="55" spans="3:30">
      <c r="C55" s="468"/>
      <c r="V55" s="412"/>
      <c r="W55" s="412"/>
      <c r="X55" s="412"/>
      <c r="Y55" s="412"/>
      <c r="Z55" s="412"/>
      <c r="AA55" s="412"/>
      <c r="AB55" s="412"/>
      <c r="AC55" s="412"/>
      <c r="AD55" s="412"/>
    </row>
    <row r="56" spans="3:30">
      <c r="C56" s="468"/>
      <c r="V56" s="412"/>
      <c r="W56" s="412"/>
      <c r="X56" s="412"/>
      <c r="Y56" s="412"/>
      <c r="Z56" s="412"/>
      <c r="AA56" s="412"/>
      <c r="AB56" s="412"/>
      <c r="AC56" s="412"/>
      <c r="AD56" s="412"/>
    </row>
    <row r="57" spans="3:30">
      <c r="C57" s="468"/>
      <c r="V57" s="412"/>
      <c r="W57" s="412"/>
      <c r="X57" s="412"/>
      <c r="Y57" s="412"/>
      <c r="Z57" s="412"/>
      <c r="AA57" s="412"/>
      <c r="AB57" s="412"/>
      <c r="AC57" s="412"/>
      <c r="AD57" s="412"/>
    </row>
    <row r="58" spans="3:30">
      <c r="C58" s="468"/>
      <c r="V58" s="412"/>
      <c r="W58" s="412"/>
      <c r="X58" s="412"/>
      <c r="Y58" s="412"/>
      <c r="Z58" s="412"/>
      <c r="AA58" s="412"/>
      <c r="AB58" s="412"/>
      <c r="AC58" s="412"/>
      <c r="AD58" s="412"/>
    </row>
    <row r="59" spans="3:30">
      <c r="C59" s="468"/>
      <c r="V59" s="412"/>
      <c r="W59" s="412"/>
      <c r="X59" s="412"/>
      <c r="Y59" s="412"/>
      <c r="Z59" s="412"/>
      <c r="AA59" s="412"/>
      <c r="AB59" s="412"/>
      <c r="AC59" s="412"/>
      <c r="AD59" s="412"/>
    </row>
    <row r="60" spans="3:30">
      <c r="C60" s="468"/>
      <c r="V60" s="412"/>
      <c r="W60" s="412"/>
      <c r="X60" s="412"/>
      <c r="Y60" s="412"/>
      <c r="Z60" s="412"/>
      <c r="AA60" s="412"/>
      <c r="AB60" s="412"/>
      <c r="AC60" s="412"/>
      <c r="AD60" s="412"/>
    </row>
    <row r="61" spans="3:30">
      <c r="C61" s="468"/>
      <c r="V61" s="412"/>
      <c r="W61" s="412"/>
      <c r="X61" s="412"/>
      <c r="Y61" s="412"/>
      <c r="Z61" s="412"/>
      <c r="AA61" s="412"/>
      <c r="AB61" s="412"/>
      <c r="AC61" s="412"/>
      <c r="AD61" s="412"/>
    </row>
    <row r="62" spans="3:30">
      <c r="C62" s="468"/>
      <c r="V62" s="412"/>
      <c r="W62" s="412"/>
      <c r="X62" s="412"/>
      <c r="Y62" s="412"/>
      <c r="Z62" s="412"/>
      <c r="AA62" s="412"/>
      <c r="AB62" s="412"/>
      <c r="AC62" s="412"/>
      <c r="AD62" s="412"/>
    </row>
    <row r="63" spans="3:30">
      <c r="C63" s="468"/>
      <c r="V63" s="412"/>
      <c r="W63" s="412"/>
      <c r="X63" s="412"/>
      <c r="Y63" s="412"/>
      <c r="Z63" s="412"/>
      <c r="AA63" s="412"/>
      <c r="AB63" s="412"/>
      <c r="AC63" s="412"/>
      <c r="AD63" s="412"/>
    </row>
    <row r="64" spans="3:30">
      <c r="C64" s="468"/>
      <c r="V64" s="412"/>
      <c r="W64" s="412"/>
      <c r="X64" s="412"/>
      <c r="Y64" s="412"/>
      <c r="Z64" s="412"/>
      <c r="AA64" s="412"/>
      <c r="AB64" s="412"/>
      <c r="AC64" s="412"/>
      <c r="AD64" s="412"/>
    </row>
    <row r="65" spans="3:30">
      <c r="C65" s="468"/>
      <c r="V65" s="412"/>
      <c r="W65" s="412"/>
      <c r="X65" s="412"/>
      <c r="Y65" s="412"/>
      <c r="Z65" s="412"/>
      <c r="AA65" s="412"/>
      <c r="AB65" s="412"/>
      <c r="AC65" s="412"/>
      <c r="AD65" s="412"/>
    </row>
    <row r="66" spans="3:30">
      <c r="C66" s="468"/>
      <c r="V66" s="412"/>
      <c r="W66" s="412"/>
      <c r="X66" s="412"/>
      <c r="Y66" s="412"/>
      <c r="Z66" s="412"/>
      <c r="AA66" s="412"/>
      <c r="AB66" s="412"/>
      <c r="AC66" s="412"/>
      <c r="AD66" s="412"/>
    </row>
    <row r="67" spans="3:30">
      <c r="C67" s="468"/>
    </row>
    <row r="68" spans="3:30">
      <c r="C68" s="468"/>
    </row>
    <row r="69" spans="3:30">
      <c r="C69" s="468"/>
    </row>
    <row r="70" spans="3:30">
      <c r="C70" s="468"/>
    </row>
    <row r="71" spans="3:30">
      <c r="C71" s="468"/>
    </row>
    <row r="72" spans="3:30">
      <c r="C72" s="468"/>
    </row>
    <row r="73" spans="3:30">
      <c r="C73" s="468"/>
    </row>
    <row r="74" spans="3:30">
      <c r="C74" s="468"/>
    </row>
    <row r="75" spans="3:30">
      <c r="C75" s="468"/>
    </row>
    <row r="76" spans="3:30">
      <c r="C76" s="468"/>
    </row>
    <row r="77" spans="3:30">
      <c r="C77" s="468"/>
    </row>
    <row r="78" spans="3:30">
      <c r="C78" s="468"/>
    </row>
    <row r="79" spans="3:30">
      <c r="C79" s="468"/>
    </row>
    <row r="80" spans="3:30">
      <c r="C80" s="468"/>
    </row>
    <row r="81" spans="3:3">
      <c r="C81" s="468"/>
    </row>
    <row r="82" spans="3:3">
      <c r="C82" s="468"/>
    </row>
    <row r="83" spans="3:3">
      <c r="C83" s="468"/>
    </row>
    <row r="84" spans="3:3">
      <c r="C84" s="468"/>
    </row>
    <row r="85" spans="3:3">
      <c r="C85" s="468"/>
    </row>
    <row r="86" spans="3:3">
      <c r="C86" s="468"/>
    </row>
    <row r="87" spans="3:3">
      <c r="C87" s="468"/>
    </row>
    <row r="88" spans="3:3">
      <c r="C88" s="468"/>
    </row>
    <row r="89" spans="3:3">
      <c r="C89" s="468"/>
    </row>
    <row r="90" spans="3:3">
      <c r="C90" s="468"/>
    </row>
    <row r="91" spans="3:3">
      <c r="C91" s="468"/>
    </row>
    <row r="92" spans="3:3">
      <c r="C92" s="468"/>
    </row>
    <row r="93" spans="3:3">
      <c r="C93" s="468"/>
    </row>
    <row r="94" spans="3:3">
      <c r="C94" s="468"/>
    </row>
    <row r="95" spans="3:3">
      <c r="C95" s="468"/>
    </row>
    <row r="96" spans="3:3">
      <c r="C96" s="468"/>
    </row>
    <row r="97" spans="3:3">
      <c r="C97" s="468"/>
    </row>
    <row r="98" spans="3:3">
      <c r="C98" s="468"/>
    </row>
    <row r="99" spans="3:3">
      <c r="C99" s="468"/>
    </row>
    <row r="100" spans="3:3">
      <c r="C100" s="468"/>
    </row>
    <row r="101" spans="3:3">
      <c r="C101" s="468"/>
    </row>
    <row r="102" spans="3:3">
      <c r="C102" s="468"/>
    </row>
    <row r="103" spans="3:3">
      <c r="C103" s="468"/>
    </row>
    <row r="104" spans="3:3">
      <c r="C104" s="468"/>
    </row>
    <row r="105" spans="3:3">
      <c r="C105" s="468"/>
    </row>
    <row r="106" spans="3:3">
      <c r="C106" s="468"/>
    </row>
    <row r="107" spans="3:3">
      <c r="C107" s="468"/>
    </row>
    <row r="108" spans="3:3">
      <c r="C108" s="468"/>
    </row>
    <row r="109" spans="3:3">
      <c r="C109" s="468"/>
    </row>
    <row r="110" spans="3:3">
      <c r="C110" s="468"/>
    </row>
    <row r="111" spans="3:3">
      <c r="C111" s="468"/>
    </row>
    <row r="112" spans="3:3">
      <c r="C112" s="468"/>
    </row>
    <row r="113" spans="3:3">
      <c r="C113" s="468"/>
    </row>
    <row r="114" spans="3:3">
      <c r="C114" s="468"/>
    </row>
    <row r="115" spans="3:3">
      <c r="C115" s="468"/>
    </row>
    <row r="116" spans="3:3">
      <c r="C116" s="468"/>
    </row>
    <row r="117" spans="3:3">
      <c r="C117" s="468"/>
    </row>
    <row r="118" spans="3:3">
      <c r="C118" s="468"/>
    </row>
    <row r="119" spans="3:3">
      <c r="C119" s="468"/>
    </row>
    <row r="120" spans="3:3">
      <c r="C120" s="468"/>
    </row>
    <row r="121" spans="3:3">
      <c r="C121" s="468"/>
    </row>
    <row r="122" spans="3:3">
      <c r="C122" s="468"/>
    </row>
    <row r="123" spans="3:3">
      <c r="C123" s="468"/>
    </row>
    <row r="124" spans="3:3">
      <c r="C124" s="468"/>
    </row>
    <row r="125" spans="3:3">
      <c r="C125" s="468"/>
    </row>
    <row r="126" spans="3:3">
      <c r="C126" s="468"/>
    </row>
    <row r="127" spans="3:3">
      <c r="C127" s="468"/>
    </row>
    <row r="128" spans="3:3">
      <c r="C128" s="468"/>
    </row>
    <row r="129" spans="3:3">
      <c r="C129" s="468"/>
    </row>
    <row r="130" spans="3:3">
      <c r="C130" s="468"/>
    </row>
    <row r="131" spans="3:3">
      <c r="C131" s="468"/>
    </row>
    <row r="132" spans="3:3">
      <c r="C132" s="468"/>
    </row>
    <row r="133" spans="3:3">
      <c r="C133" s="468"/>
    </row>
    <row r="134" spans="3:3">
      <c r="C134" s="468"/>
    </row>
    <row r="135" spans="3:3">
      <c r="C135" s="468"/>
    </row>
    <row r="136" spans="3:3">
      <c r="C136" s="468"/>
    </row>
    <row r="137" spans="3:3">
      <c r="C137" s="468"/>
    </row>
    <row r="138" spans="3:3">
      <c r="C138" s="468"/>
    </row>
    <row r="139" spans="3:3">
      <c r="C139" s="468"/>
    </row>
    <row r="140" spans="3:3">
      <c r="C140" s="468"/>
    </row>
    <row r="141" spans="3:3">
      <c r="C141" s="468"/>
    </row>
    <row r="142" spans="3:3">
      <c r="C142" s="468"/>
    </row>
    <row r="143" spans="3:3">
      <c r="C143" s="468"/>
    </row>
    <row r="144" spans="3:3">
      <c r="C144" s="468"/>
    </row>
    <row r="145" spans="3:3">
      <c r="C145" s="468"/>
    </row>
    <row r="146" spans="3:3">
      <c r="C146" s="468"/>
    </row>
    <row r="147" spans="3:3">
      <c r="C147" s="468"/>
    </row>
    <row r="148" spans="3:3">
      <c r="C148" s="468"/>
    </row>
    <row r="149" spans="3:3">
      <c r="C149" s="468"/>
    </row>
    <row r="150" spans="3:3">
      <c r="C150" s="468"/>
    </row>
    <row r="151" spans="3:3">
      <c r="C151" s="468"/>
    </row>
    <row r="152" spans="3:3">
      <c r="C152" s="468"/>
    </row>
    <row r="153" spans="3:3">
      <c r="C153" s="468"/>
    </row>
    <row r="154" spans="3:3">
      <c r="C154" s="468"/>
    </row>
    <row r="155" spans="3:3">
      <c r="C155" s="468"/>
    </row>
    <row r="156" spans="3:3">
      <c r="C156" s="468"/>
    </row>
    <row r="157" spans="3:3">
      <c r="C157" s="468"/>
    </row>
    <row r="158" spans="3:3">
      <c r="C158" s="468"/>
    </row>
    <row r="159" spans="3:3">
      <c r="C159" s="468"/>
    </row>
    <row r="160" spans="3:3">
      <c r="C160" s="468"/>
    </row>
    <row r="161" spans="3:3">
      <c r="C161" s="468"/>
    </row>
    <row r="162" spans="3:3">
      <c r="C162" s="468"/>
    </row>
    <row r="163" spans="3:3">
      <c r="C163" s="468"/>
    </row>
    <row r="164" spans="3:3">
      <c r="C164" s="468"/>
    </row>
    <row r="165" spans="3:3">
      <c r="C165" s="468"/>
    </row>
    <row r="166" spans="3:3">
      <c r="C166" s="468"/>
    </row>
    <row r="167" spans="3:3">
      <c r="C167" s="468"/>
    </row>
    <row r="168" spans="3:3">
      <c r="C168" s="468"/>
    </row>
    <row r="169" spans="3:3">
      <c r="C169" s="468"/>
    </row>
    <row r="170" spans="3:3">
      <c r="C170" s="468"/>
    </row>
    <row r="171" spans="3:3">
      <c r="C171" s="468"/>
    </row>
    <row r="172" spans="3:3">
      <c r="C172" s="468"/>
    </row>
    <row r="173" spans="3:3">
      <c r="C173" s="468"/>
    </row>
    <row r="174" spans="3:3">
      <c r="C174" s="468"/>
    </row>
    <row r="175" spans="3:3">
      <c r="C175" s="468"/>
    </row>
    <row r="176" spans="3:3">
      <c r="C176" s="468"/>
    </row>
    <row r="177" spans="3:3">
      <c r="C177" s="468"/>
    </row>
    <row r="178" spans="3:3">
      <c r="C178" s="468"/>
    </row>
    <row r="179" spans="3:3">
      <c r="C179" s="468"/>
    </row>
    <row r="180" spans="3:3">
      <c r="C180" s="468"/>
    </row>
    <row r="181" spans="3:3">
      <c r="C181" s="468"/>
    </row>
    <row r="182" spans="3:3">
      <c r="C182" s="468"/>
    </row>
    <row r="183" spans="3:3">
      <c r="C183" s="468"/>
    </row>
    <row r="184" spans="3:3">
      <c r="C184" s="468"/>
    </row>
    <row r="185" spans="3:3">
      <c r="C185" s="468"/>
    </row>
    <row r="186" spans="3:3">
      <c r="C186" s="468"/>
    </row>
    <row r="187" spans="3:3">
      <c r="C187" s="468"/>
    </row>
    <row r="188" spans="3:3">
      <c r="C188" s="468"/>
    </row>
    <row r="189" spans="3:3">
      <c r="C189" s="468"/>
    </row>
    <row r="190" spans="3:3">
      <c r="C190" s="468"/>
    </row>
    <row r="191" spans="3:3">
      <c r="C191" s="468"/>
    </row>
    <row r="192" spans="3:3">
      <c r="C192" s="468"/>
    </row>
    <row r="193" spans="3:3">
      <c r="C193" s="468"/>
    </row>
    <row r="194" spans="3:3">
      <c r="C194" s="468"/>
    </row>
    <row r="195" spans="3:3">
      <c r="C195" s="468"/>
    </row>
    <row r="196" spans="3:3">
      <c r="C196" s="468"/>
    </row>
    <row r="197" spans="3:3">
      <c r="C197" s="468"/>
    </row>
    <row r="198" spans="3:3">
      <c r="C198" s="468"/>
    </row>
    <row r="199" spans="3:3">
      <c r="C199" s="468"/>
    </row>
    <row r="200" spans="3:3">
      <c r="C200" s="468"/>
    </row>
    <row r="201" spans="3:3">
      <c r="C201" s="468"/>
    </row>
    <row r="202" spans="3:3">
      <c r="C202" s="468"/>
    </row>
    <row r="203" spans="3:3">
      <c r="C203" s="468"/>
    </row>
    <row r="204" spans="3:3">
      <c r="C204" s="468"/>
    </row>
    <row r="205" spans="3:3">
      <c r="C205" s="468"/>
    </row>
    <row r="206" spans="3:3">
      <c r="C206" s="468"/>
    </row>
    <row r="207" spans="3:3">
      <c r="C207" s="468"/>
    </row>
    <row r="208" spans="3:3">
      <c r="C208" s="468"/>
    </row>
    <row r="209" spans="3:3">
      <c r="C209" s="468"/>
    </row>
    <row r="210" spans="3:3">
      <c r="C210" s="468"/>
    </row>
    <row r="211" spans="3:3">
      <c r="C211" s="468"/>
    </row>
    <row r="212" spans="3:3">
      <c r="C212" s="468"/>
    </row>
    <row r="213" spans="3:3">
      <c r="C213" s="468"/>
    </row>
    <row r="214" spans="3:3">
      <c r="C214" s="468"/>
    </row>
    <row r="215" spans="3:3">
      <c r="C215" s="468"/>
    </row>
    <row r="216" spans="3:3">
      <c r="C216" s="468"/>
    </row>
    <row r="217" spans="3:3">
      <c r="C217" s="468"/>
    </row>
    <row r="218" spans="3:3">
      <c r="C218" s="468"/>
    </row>
    <row r="219" spans="3:3">
      <c r="C219" s="468"/>
    </row>
    <row r="220" spans="3:3">
      <c r="C220" s="468"/>
    </row>
    <row r="221" spans="3:3">
      <c r="C221" s="468"/>
    </row>
    <row r="222" spans="3:3">
      <c r="C222" s="468"/>
    </row>
    <row r="223" spans="3:3">
      <c r="C223" s="468"/>
    </row>
    <row r="224" spans="3:3">
      <c r="C224" s="468"/>
    </row>
    <row r="225" spans="3:3">
      <c r="C225" s="468"/>
    </row>
    <row r="226" spans="3:3">
      <c r="C226" s="468"/>
    </row>
    <row r="227" spans="3:3">
      <c r="C227" s="468"/>
    </row>
    <row r="228" spans="3:3">
      <c r="C228" s="468"/>
    </row>
    <row r="229" spans="3:3">
      <c r="C229" s="468"/>
    </row>
    <row r="230" spans="3:3">
      <c r="C230" s="468"/>
    </row>
    <row r="231" spans="3:3">
      <c r="C231" s="468"/>
    </row>
    <row r="232" spans="3:3">
      <c r="C232" s="468"/>
    </row>
    <row r="233" spans="3:3">
      <c r="C233" s="468"/>
    </row>
    <row r="234" spans="3:3">
      <c r="C234" s="468"/>
    </row>
    <row r="235" spans="3:3">
      <c r="C235" s="468"/>
    </row>
    <row r="236" spans="3:3">
      <c r="C236" s="468"/>
    </row>
    <row r="237" spans="3:3">
      <c r="C237" s="468"/>
    </row>
    <row r="238" spans="3:3">
      <c r="C238" s="468"/>
    </row>
    <row r="239" spans="3:3">
      <c r="C239" s="468"/>
    </row>
    <row r="240" spans="3:3">
      <c r="C240" s="468"/>
    </row>
    <row r="241" spans="3:3">
      <c r="C241" s="468"/>
    </row>
    <row r="242" spans="3:3">
      <c r="C242" s="468"/>
    </row>
    <row r="243" spans="3:3">
      <c r="C243" s="468"/>
    </row>
    <row r="244" spans="3:3">
      <c r="C244" s="468"/>
    </row>
    <row r="245" spans="3:3">
      <c r="C245" s="468"/>
    </row>
    <row r="246" spans="3:3">
      <c r="C246" s="468"/>
    </row>
    <row r="247" spans="3:3">
      <c r="C247" s="468"/>
    </row>
    <row r="248" spans="3:3">
      <c r="C248" s="468"/>
    </row>
    <row r="249" spans="3:3">
      <c r="C249" s="468"/>
    </row>
    <row r="250" spans="3:3">
      <c r="C250" s="468"/>
    </row>
    <row r="251" spans="3:3">
      <c r="C251" s="468"/>
    </row>
    <row r="252" spans="3:3">
      <c r="C252" s="468"/>
    </row>
    <row r="253" spans="3:3">
      <c r="C253" s="468"/>
    </row>
    <row r="254" spans="3:3">
      <c r="C254" s="468"/>
    </row>
    <row r="255" spans="3:3">
      <c r="C255" s="468"/>
    </row>
    <row r="256" spans="3:3">
      <c r="C256" s="468"/>
    </row>
    <row r="257" spans="3:3">
      <c r="C257" s="468"/>
    </row>
    <row r="258" spans="3:3">
      <c r="C258" s="468"/>
    </row>
    <row r="259" spans="3:3">
      <c r="C259" s="468"/>
    </row>
    <row r="260" spans="3:3">
      <c r="C260" s="468"/>
    </row>
    <row r="261" spans="3:3">
      <c r="C261" s="468"/>
    </row>
    <row r="262" spans="3:3">
      <c r="C262" s="468"/>
    </row>
    <row r="263" spans="3:3">
      <c r="C263" s="468"/>
    </row>
    <row r="264" spans="3:3">
      <c r="C264" s="468"/>
    </row>
    <row r="265" spans="3:3">
      <c r="C265" s="468"/>
    </row>
    <row r="266" spans="3:3">
      <c r="C266" s="468"/>
    </row>
    <row r="267" spans="3:3">
      <c r="C267" s="468"/>
    </row>
    <row r="268" spans="3:3">
      <c r="C268" s="468"/>
    </row>
    <row r="269" spans="3:3">
      <c r="C269" s="468"/>
    </row>
    <row r="270" spans="3:3">
      <c r="C270" s="468"/>
    </row>
    <row r="271" spans="3:3">
      <c r="C271" s="468"/>
    </row>
    <row r="272" spans="3:3">
      <c r="C272" s="468"/>
    </row>
    <row r="273" spans="3:3">
      <c r="C273" s="468"/>
    </row>
    <row r="274" spans="3:3">
      <c r="C274" s="468"/>
    </row>
    <row r="275" spans="3:3">
      <c r="C275" s="468"/>
    </row>
    <row r="276" spans="3:3">
      <c r="C276" s="468"/>
    </row>
    <row r="277" spans="3:3">
      <c r="C277" s="468"/>
    </row>
    <row r="278" spans="3:3">
      <c r="C278" s="468"/>
    </row>
    <row r="279" spans="3:3">
      <c r="C279" s="468"/>
    </row>
    <row r="280" spans="3:3">
      <c r="C280" s="468"/>
    </row>
    <row r="281" spans="3:3">
      <c r="C281" s="468"/>
    </row>
    <row r="282" spans="3:3">
      <c r="C282" s="468"/>
    </row>
    <row r="283" spans="3:3">
      <c r="C283" s="468"/>
    </row>
    <row r="284" spans="3:3">
      <c r="C284" s="468"/>
    </row>
    <row r="285" spans="3:3">
      <c r="C285" s="468"/>
    </row>
    <row r="286" spans="3:3">
      <c r="C286" s="468"/>
    </row>
    <row r="287" spans="3:3">
      <c r="C287" s="468"/>
    </row>
    <row r="288" spans="3:3">
      <c r="C288" s="468"/>
    </row>
    <row r="289" spans="3:3">
      <c r="C289" s="468"/>
    </row>
    <row r="290" spans="3:3">
      <c r="C290" s="468"/>
    </row>
    <row r="291" spans="3:3">
      <c r="C291" s="468"/>
    </row>
    <row r="292" spans="3:3">
      <c r="C292" s="468"/>
    </row>
    <row r="293" spans="3:3">
      <c r="C293" s="468"/>
    </row>
    <row r="294" spans="3:3">
      <c r="C294" s="468"/>
    </row>
    <row r="295" spans="3:3">
      <c r="C295" s="468"/>
    </row>
    <row r="296" spans="3:3">
      <c r="C296" s="468"/>
    </row>
    <row r="297" spans="3:3">
      <c r="C297" s="468"/>
    </row>
    <row r="298" spans="3:3">
      <c r="C298" s="468"/>
    </row>
    <row r="299" spans="3:3">
      <c r="C299" s="468"/>
    </row>
    <row r="300" spans="3:3">
      <c r="C300" s="468"/>
    </row>
    <row r="301" spans="3:3">
      <c r="C301" s="468"/>
    </row>
    <row r="302" spans="3:3">
      <c r="C302" s="468"/>
    </row>
    <row r="303" spans="3:3">
      <c r="C303" s="468"/>
    </row>
    <row r="304" spans="3:3">
      <c r="C304" s="468"/>
    </row>
    <row r="305" spans="3:3">
      <c r="C305" s="468"/>
    </row>
    <row r="306" spans="3:3">
      <c r="C306" s="468"/>
    </row>
    <row r="307" spans="3:3">
      <c r="C307" s="468"/>
    </row>
    <row r="308" spans="3:3">
      <c r="C308" s="468"/>
    </row>
    <row r="309" spans="3:3">
      <c r="C309" s="468"/>
    </row>
    <row r="310" spans="3:3">
      <c r="C310" s="468"/>
    </row>
    <row r="311" spans="3:3">
      <c r="C311" s="468"/>
    </row>
    <row r="312" spans="3:3">
      <c r="C312" s="468"/>
    </row>
    <row r="313" spans="3:3">
      <c r="C313" s="468"/>
    </row>
    <row r="314" spans="3:3">
      <c r="C314" s="468"/>
    </row>
    <row r="315" spans="3:3">
      <c r="C315" s="468"/>
    </row>
    <row r="316" spans="3:3">
      <c r="C316" s="468"/>
    </row>
    <row r="317" spans="3:3">
      <c r="C317" s="468"/>
    </row>
    <row r="318" spans="3:3">
      <c r="C318" s="468"/>
    </row>
    <row r="319" spans="3:3">
      <c r="C319" s="468"/>
    </row>
    <row r="320" spans="3:3">
      <c r="C320" s="468"/>
    </row>
    <row r="321" spans="3:3">
      <c r="C321" s="468"/>
    </row>
    <row r="322" spans="3:3">
      <c r="C322" s="468"/>
    </row>
    <row r="323" spans="3:3">
      <c r="C323" s="468"/>
    </row>
    <row r="324" spans="3:3">
      <c r="C324" s="468"/>
    </row>
    <row r="325" spans="3:3">
      <c r="C325" s="468"/>
    </row>
    <row r="326" spans="3:3">
      <c r="C326" s="468"/>
    </row>
    <row r="327" spans="3:3">
      <c r="C327" s="468"/>
    </row>
    <row r="328" spans="3:3">
      <c r="C328" s="468"/>
    </row>
    <row r="329" spans="3:3">
      <c r="C329" s="468"/>
    </row>
    <row r="330" spans="3:3">
      <c r="C330" s="468"/>
    </row>
    <row r="331" spans="3:3">
      <c r="C331" s="468"/>
    </row>
    <row r="332" spans="3:3">
      <c r="C332" s="468"/>
    </row>
    <row r="333" spans="3:3">
      <c r="C333" s="468"/>
    </row>
    <row r="334" spans="3:3">
      <c r="C334" s="468"/>
    </row>
    <row r="335" spans="3:3">
      <c r="C335" s="468"/>
    </row>
    <row r="336" spans="3:3">
      <c r="C336" s="468"/>
    </row>
    <row r="337" spans="3:3">
      <c r="C337" s="468"/>
    </row>
    <row r="338" spans="3:3">
      <c r="C338" s="468"/>
    </row>
    <row r="339" spans="3:3">
      <c r="C339" s="468"/>
    </row>
    <row r="340" spans="3:3">
      <c r="C340" s="468"/>
    </row>
    <row r="341" spans="3:3">
      <c r="C341" s="468"/>
    </row>
    <row r="342" spans="3:3">
      <c r="C342" s="468"/>
    </row>
    <row r="343" spans="3:3">
      <c r="C343" s="468"/>
    </row>
    <row r="344" spans="3:3">
      <c r="C344" s="468"/>
    </row>
    <row r="345" spans="3:3">
      <c r="C345" s="468"/>
    </row>
    <row r="346" spans="3:3">
      <c r="C346" s="468"/>
    </row>
    <row r="347" spans="3:3">
      <c r="C347" s="468"/>
    </row>
    <row r="348" spans="3:3">
      <c r="C348" s="468"/>
    </row>
    <row r="349" spans="3:3">
      <c r="C349" s="468"/>
    </row>
    <row r="350" spans="3:3">
      <c r="C350" s="468"/>
    </row>
    <row r="351" spans="3:3">
      <c r="C351" s="468"/>
    </row>
    <row r="352" spans="3:3">
      <c r="C352" s="468"/>
    </row>
    <row r="353" spans="3:3">
      <c r="C353" s="468"/>
    </row>
    <row r="354" spans="3:3">
      <c r="C354" s="468"/>
    </row>
    <row r="355" spans="3:3">
      <c r="C355" s="468"/>
    </row>
    <row r="356" spans="3:3">
      <c r="C356" s="468"/>
    </row>
    <row r="357" spans="3:3">
      <c r="C357" s="468"/>
    </row>
    <row r="358" spans="3:3">
      <c r="C358" s="468"/>
    </row>
    <row r="359" spans="3:3">
      <c r="C359" s="468"/>
    </row>
    <row r="360" spans="3:3">
      <c r="C360" s="468"/>
    </row>
    <row r="361" spans="3:3">
      <c r="C361" s="468"/>
    </row>
    <row r="362" spans="3:3">
      <c r="C362" s="468"/>
    </row>
    <row r="363" spans="3:3">
      <c r="C363" s="468"/>
    </row>
    <row r="364" spans="3:3">
      <c r="C364" s="468"/>
    </row>
    <row r="365" spans="3:3">
      <c r="C365" s="468"/>
    </row>
    <row r="366" spans="3:3">
      <c r="C366" s="468"/>
    </row>
    <row r="367" spans="3:3">
      <c r="C367" s="468"/>
    </row>
    <row r="368" spans="3:3">
      <c r="C368" s="468"/>
    </row>
    <row r="369" spans="3:3">
      <c r="C369" s="468"/>
    </row>
    <row r="370" spans="3:3">
      <c r="C370" s="468"/>
    </row>
    <row r="371" spans="3:3">
      <c r="C371" s="468"/>
    </row>
    <row r="372" spans="3:3">
      <c r="C372" s="468"/>
    </row>
    <row r="373" spans="3:3">
      <c r="C373" s="468"/>
    </row>
    <row r="374" spans="3:3">
      <c r="C374" s="468"/>
    </row>
    <row r="375" spans="3:3">
      <c r="C375" s="468"/>
    </row>
    <row r="376" spans="3:3">
      <c r="C376" s="468"/>
    </row>
    <row r="377" spans="3:3">
      <c r="C377" s="468"/>
    </row>
    <row r="378" spans="3:3">
      <c r="C378" s="468"/>
    </row>
    <row r="379" spans="3:3">
      <c r="C379" s="468"/>
    </row>
    <row r="380" spans="3:3">
      <c r="C380" s="468"/>
    </row>
    <row r="381" spans="3:3">
      <c r="C381" s="468"/>
    </row>
    <row r="382" spans="3:3">
      <c r="C382" s="468"/>
    </row>
    <row r="383" spans="3:3">
      <c r="C383" s="468"/>
    </row>
    <row r="384" spans="3:3">
      <c r="C384" s="468"/>
    </row>
    <row r="385" spans="3:3">
      <c r="C385" s="468"/>
    </row>
    <row r="386" spans="3:3">
      <c r="C386" s="468"/>
    </row>
    <row r="387" spans="3:3">
      <c r="C387" s="468"/>
    </row>
    <row r="388" spans="3:3">
      <c r="C388" s="468"/>
    </row>
    <row r="389" spans="3:3">
      <c r="C389" s="468"/>
    </row>
    <row r="390" spans="3:3">
      <c r="C390" s="468"/>
    </row>
    <row r="391" spans="3:3">
      <c r="C391" s="468"/>
    </row>
    <row r="392" spans="3:3">
      <c r="C392" s="468"/>
    </row>
    <row r="393" spans="3:3">
      <c r="C393" s="468"/>
    </row>
    <row r="394" spans="3:3">
      <c r="C394" s="468"/>
    </row>
    <row r="395" spans="3:3">
      <c r="C395" s="468"/>
    </row>
    <row r="396" spans="3:3">
      <c r="C396" s="468"/>
    </row>
    <row r="397" spans="3:3">
      <c r="C397" s="468"/>
    </row>
    <row r="398" spans="3:3">
      <c r="C398" s="468"/>
    </row>
    <row r="399" spans="3:3">
      <c r="C399" s="468"/>
    </row>
    <row r="400" spans="3:3">
      <c r="C400" s="468"/>
    </row>
    <row r="401" spans="3:3">
      <c r="C401" s="468"/>
    </row>
    <row r="402" spans="3:3">
      <c r="C402" s="468"/>
    </row>
    <row r="403" spans="3:3">
      <c r="C403" s="468"/>
    </row>
    <row r="404" spans="3:3">
      <c r="C404" s="468"/>
    </row>
    <row r="405" spans="3:3">
      <c r="C405" s="468"/>
    </row>
    <row r="406" spans="3:3">
      <c r="C406" s="468"/>
    </row>
    <row r="407" spans="3:3">
      <c r="C407" s="468"/>
    </row>
    <row r="408" spans="3:3">
      <c r="C408" s="468"/>
    </row>
    <row r="409" spans="3:3">
      <c r="C409" s="468"/>
    </row>
    <row r="410" spans="3:3">
      <c r="C410" s="468"/>
    </row>
    <row r="411" spans="3:3">
      <c r="C411" s="468"/>
    </row>
    <row r="412" spans="3:3">
      <c r="C412" s="468"/>
    </row>
    <row r="413" spans="3:3">
      <c r="C413" s="468"/>
    </row>
    <row r="414" spans="3:3">
      <c r="C414" s="468"/>
    </row>
    <row r="415" spans="3:3">
      <c r="C415" s="468"/>
    </row>
    <row r="416" spans="3:3">
      <c r="C416" s="468"/>
    </row>
    <row r="417" spans="3:3">
      <c r="C417" s="468"/>
    </row>
    <row r="418" spans="3:3">
      <c r="C418" s="468"/>
    </row>
    <row r="419" spans="3:3">
      <c r="C419" s="468"/>
    </row>
    <row r="420" spans="3:3">
      <c r="C420" s="468"/>
    </row>
    <row r="421" spans="3:3">
      <c r="C421" s="468"/>
    </row>
    <row r="422" spans="3:3">
      <c r="C422" s="468"/>
    </row>
    <row r="423" spans="3:3">
      <c r="C423" s="468"/>
    </row>
    <row r="424" spans="3:3">
      <c r="C424" s="468"/>
    </row>
    <row r="425" spans="3:3">
      <c r="C425" s="468"/>
    </row>
    <row r="426" spans="3:3">
      <c r="C426" s="468"/>
    </row>
    <row r="427" spans="3:3">
      <c r="C427" s="468"/>
    </row>
    <row r="428" spans="3:3">
      <c r="C428" s="468"/>
    </row>
    <row r="429" spans="3:3">
      <c r="C429" s="468"/>
    </row>
    <row r="430" spans="3:3">
      <c r="C430" s="468"/>
    </row>
    <row r="431" spans="3:3">
      <c r="C431" s="468"/>
    </row>
    <row r="432" spans="3:3">
      <c r="C432" s="468"/>
    </row>
    <row r="433" spans="3:3">
      <c r="C433" s="468"/>
    </row>
    <row r="434" spans="3:3">
      <c r="C434" s="468"/>
    </row>
    <row r="435" spans="3:3">
      <c r="C435" s="468"/>
    </row>
    <row r="436" spans="3:3">
      <c r="C436" s="468"/>
    </row>
    <row r="437" spans="3:3">
      <c r="C437" s="468"/>
    </row>
    <row r="438" spans="3:3">
      <c r="C438" s="468"/>
    </row>
    <row r="439" spans="3:3">
      <c r="C439" s="468"/>
    </row>
    <row r="440" spans="3:3">
      <c r="C440" s="468"/>
    </row>
    <row r="441" spans="3:3">
      <c r="C441" s="468"/>
    </row>
    <row r="442" spans="3:3">
      <c r="C442" s="468"/>
    </row>
    <row r="443" spans="3:3">
      <c r="C443" s="468"/>
    </row>
    <row r="444" spans="3:3">
      <c r="C444" s="468"/>
    </row>
    <row r="445" spans="3:3">
      <c r="C445" s="468"/>
    </row>
    <row r="446" spans="3:3">
      <c r="C446" s="468"/>
    </row>
    <row r="447" spans="3:3">
      <c r="C447" s="468"/>
    </row>
    <row r="448" spans="3:3">
      <c r="C448" s="468"/>
    </row>
    <row r="449" spans="3:3">
      <c r="C449" s="468"/>
    </row>
    <row r="450" spans="3:3">
      <c r="C450" s="468"/>
    </row>
    <row r="451" spans="3:3">
      <c r="C451" s="468"/>
    </row>
    <row r="452" spans="3:3">
      <c r="C452" s="468"/>
    </row>
    <row r="453" spans="3:3">
      <c r="C453" s="468"/>
    </row>
    <row r="454" spans="3:3">
      <c r="C454" s="468"/>
    </row>
    <row r="455" spans="3:3">
      <c r="C455" s="468"/>
    </row>
    <row r="456" spans="3:3">
      <c r="C456" s="468"/>
    </row>
    <row r="457" spans="3:3">
      <c r="C457" s="468"/>
    </row>
    <row r="458" spans="3:3">
      <c r="C458" s="468"/>
    </row>
    <row r="459" spans="3:3">
      <c r="C459" s="468"/>
    </row>
    <row r="460" spans="3:3">
      <c r="C460" s="468"/>
    </row>
    <row r="461" spans="3:3">
      <c r="C461" s="468"/>
    </row>
    <row r="462" spans="3:3">
      <c r="C462" s="468"/>
    </row>
    <row r="463" spans="3:3">
      <c r="C463" s="468"/>
    </row>
    <row r="464" spans="3:3">
      <c r="C464" s="468"/>
    </row>
    <row r="465" spans="3:3">
      <c r="C465" s="468"/>
    </row>
    <row r="466" spans="3:3">
      <c r="C466" s="468"/>
    </row>
    <row r="467" spans="3:3">
      <c r="C467" s="468"/>
    </row>
    <row r="468" spans="3:3">
      <c r="C468" s="468"/>
    </row>
    <row r="469" spans="3:3">
      <c r="C469" s="468"/>
    </row>
    <row r="470" spans="3:3">
      <c r="C470" s="468"/>
    </row>
    <row r="471" spans="3:3">
      <c r="C471" s="468"/>
    </row>
    <row r="472" spans="3:3">
      <c r="C472" s="468"/>
    </row>
    <row r="473" spans="3:3">
      <c r="C473" s="468"/>
    </row>
    <row r="474" spans="3:3">
      <c r="C474" s="468"/>
    </row>
    <row r="475" spans="3:3">
      <c r="C475" s="468"/>
    </row>
    <row r="476" spans="3:3">
      <c r="C476" s="468"/>
    </row>
    <row r="477" spans="3:3">
      <c r="C477" s="468"/>
    </row>
    <row r="478" spans="3:3">
      <c r="C478" s="468"/>
    </row>
    <row r="479" spans="3:3">
      <c r="C479" s="468"/>
    </row>
    <row r="480" spans="3:3">
      <c r="C480" s="468"/>
    </row>
    <row r="481" spans="3:3">
      <c r="C481" s="468"/>
    </row>
    <row r="482" spans="3:3">
      <c r="C482" s="468"/>
    </row>
    <row r="483" spans="3:3">
      <c r="C483" s="468"/>
    </row>
    <row r="484" spans="3:3">
      <c r="C484" s="468"/>
    </row>
    <row r="485" spans="3:3">
      <c r="C485" s="468"/>
    </row>
    <row r="486" spans="3:3">
      <c r="C486" s="468"/>
    </row>
    <row r="487" spans="3:3">
      <c r="C487" s="468"/>
    </row>
    <row r="488" spans="3:3">
      <c r="C488" s="468"/>
    </row>
    <row r="489" spans="3:3">
      <c r="C489" s="468"/>
    </row>
    <row r="490" spans="3:3">
      <c r="C490" s="468"/>
    </row>
    <row r="491" spans="3:3">
      <c r="C491" s="468"/>
    </row>
    <row r="492" spans="3:3">
      <c r="C492" s="468"/>
    </row>
    <row r="493" spans="3:3">
      <c r="C493" s="468"/>
    </row>
    <row r="494" spans="3:3">
      <c r="C494" s="468"/>
    </row>
    <row r="495" spans="3:3">
      <c r="C495" s="468"/>
    </row>
    <row r="496" spans="3:3">
      <c r="C496" s="468"/>
    </row>
    <row r="497" spans="3:3">
      <c r="C497" s="468"/>
    </row>
    <row r="498" spans="3:3">
      <c r="C498" s="468"/>
    </row>
    <row r="499" spans="3:3">
      <c r="C499" s="468"/>
    </row>
    <row r="500" spans="3:3">
      <c r="C500" s="468"/>
    </row>
    <row r="501" spans="3:3">
      <c r="C501" s="468"/>
    </row>
    <row r="502" spans="3:3">
      <c r="C502" s="468"/>
    </row>
    <row r="503" spans="3:3">
      <c r="C503" s="468"/>
    </row>
    <row r="504" spans="3:3">
      <c r="C504" s="468"/>
    </row>
    <row r="505" spans="3:3">
      <c r="C505" s="468"/>
    </row>
    <row r="506" spans="3:3">
      <c r="C506" s="468"/>
    </row>
    <row r="507" spans="3:3">
      <c r="C507" s="468"/>
    </row>
    <row r="508" spans="3:3">
      <c r="C508" s="468"/>
    </row>
    <row r="509" spans="3:3">
      <c r="C509" s="468"/>
    </row>
    <row r="510" spans="3:3">
      <c r="C510" s="468"/>
    </row>
    <row r="511" spans="3:3">
      <c r="C511" s="468"/>
    </row>
    <row r="512" spans="3:3">
      <c r="C512" s="468"/>
    </row>
    <row r="513" spans="3:3">
      <c r="C513" s="468"/>
    </row>
    <row r="514" spans="3:3">
      <c r="C514" s="468"/>
    </row>
    <row r="515" spans="3:3">
      <c r="C515" s="468"/>
    </row>
    <row r="516" spans="3:3">
      <c r="C516" s="468"/>
    </row>
    <row r="517" spans="3:3">
      <c r="C517" s="468"/>
    </row>
    <row r="518" spans="3:3">
      <c r="C518" s="468"/>
    </row>
    <row r="519" spans="3:3">
      <c r="C519" s="468"/>
    </row>
    <row r="520" spans="3:3">
      <c r="C520" s="468"/>
    </row>
    <row r="521" spans="3:3">
      <c r="C521" s="468"/>
    </row>
    <row r="522" spans="3:3">
      <c r="C522" s="468"/>
    </row>
    <row r="523" spans="3:3">
      <c r="C523" s="468"/>
    </row>
    <row r="524" spans="3:3">
      <c r="C524" s="468"/>
    </row>
    <row r="525" spans="3:3">
      <c r="C525" s="468"/>
    </row>
    <row r="526" spans="3:3">
      <c r="C526" s="468"/>
    </row>
    <row r="527" spans="3:3">
      <c r="C527" s="468"/>
    </row>
    <row r="528" spans="3:3">
      <c r="C528" s="468"/>
    </row>
    <row r="529" spans="3:3">
      <c r="C529" s="468"/>
    </row>
    <row r="530" spans="3:3">
      <c r="C530" s="468"/>
    </row>
    <row r="531" spans="3:3">
      <c r="C531" s="468"/>
    </row>
    <row r="532" spans="3:3">
      <c r="C532" s="468"/>
    </row>
    <row r="533" spans="3:3">
      <c r="C533" s="468"/>
    </row>
    <row r="534" spans="3:3">
      <c r="C534" s="468"/>
    </row>
    <row r="535" spans="3:3">
      <c r="C535" s="468"/>
    </row>
    <row r="536" spans="3:3">
      <c r="C536" s="468"/>
    </row>
    <row r="537" spans="3:3">
      <c r="C537" s="468"/>
    </row>
    <row r="538" spans="3:3">
      <c r="C538" s="468"/>
    </row>
    <row r="539" spans="3:3">
      <c r="C539" s="468"/>
    </row>
    <row r="540" spans="3:3">
      <c r="C540" s="468"/>
    </row>
    <row r="541" spans="3:3">
      <c r="C541" s="468"/>
    </row>
    <row r="542" spans="3:3">
      <c r="C542" s="468"/>
    </row>
    <row r="543" spans="3:3">
      <c r="C543" s="468"/>
    </row>
    <row r="544" spans="3:3">
      <c r="C544" s="468"/>
    </row>
    <row r="545" spans="3:3">
      <c r="C545" s="468"/>
    </row>
    <row r="546" spans="3:3">
      <c r="C546" s="468"/>
    </row>
    <row r="547" spans="3:3">
      <c r="C547" s="468"/>
    </row>
    <row r="548" spans="3:3">
      <c r="C548" s="468"/>
    </row>
    <row r="549" spans="3:3">
      <c r="C549" s="468"/>
    </row>
    <row r="550" spans="3:3">
      <c r="C550" s="468"/>
    </row>
    <row r="551" spans="3:3">
      <c r="C551" s="468"/>
    </row>
    <row r="552" spans="3:3">
      <c r="C552" s="468"/>
    </row>
    <row r="553" spans="3:3">
      <c r="C553" s="468"/>
    </row>
    <row r="554" spans="3:3">
      <c r="C554" s="468"/>
    </row>
    <row r="555" spans="3:3">
      <c r="C555" s="468"/>
    </row>
    <row r="556" spans="3:3">
      <c r="C556" s="468"/>
    </row>
    <row r="557" spans="3:3">
      <c r="C557" s="468"/>
    </row>
    <row r="558" spans="3:3">
      <c r="C558" s="468"/>
    </row>
    <row r="559" spans="3:3">
      <c r="C559" s="468"/>
    </row>
    <row r="560" spans="3:3">
      <c r="C560" s="468"/>
    </row>
    <row r="561" spans="3:3">
      <c r="C561" s="468"/>
    </row>
    <row r="562" spans="3:3">
      <c r="C562" s="468"/>
    </row>
    <row r="563" spans="3:3">
      <c r="C563" s="468"/>
    </row>
    <row r="564" spans="3:3">
      <c r="C564" s="468"/>
    </row>
    <row r="565" spans="3:3">
      <c r="C565" s="468"/>
    </row>
    <row r="566" spans="3:3">
      <c r="C566" s="468"/>
    </row>
    <row r="567" spans="3:3">
      <c r="C567" s="468"/>
    </row>
    <row r="568" spans="3:3">
      <c r="C568" s="468"/>
    </row>
    <row r="569" spans="3:3">
      <c r="C569" s="468"/>
    </row>
    <row r="570" spans="3:3">
      <c r="C570" s="468"/>
    </row>
    <row r="571" spans="3:3">
      <c r="C571" s="468"/>
    </row>
    <row r="572" spans="3:3">
      <c r="C572" s="468"/>
    </row>
    <row r="573" spans="3:3">
      <c r="C573" s="468"/>
    </row>
    <row r="574" spans="3:3">
      <c r="C574" s="468"/>
    </row>
    <row r="575" spans="3:3">
      <c r="C575" s="468"/>
    </row>
    <row r="576" spans="3:3">
      <c r="C576" s="468"/>
    </row>
    <row r="577" spans="3:3">
      <c r="C577" s="468"/>
    </row>
    <row r="578" spans="3:3">
      <c r="C578" s="468"/>
    </row>
    <row r="579" spans="3:3">
      <c r="C579" s="468"/>
    </row>
    <row r="580" spans="3:3">
      <c r="C580" s="468"/>
    </row>
    <row r="581" spans="3:3">
      <c r="C581" s="468"/>
    </row>
    <row r="582" spans="3:3">
      <c r="C582" s="468"/>
    </row>
    <row r="583" spans="3:3">
      <c r="C583" s="468"/>
    </row>
    <row r="584" spans="3:3">
      <c r="C584" s="468"/>
    </row>
    <row r="585" spans="3:3">
      <c r="C585" s="468"/>
    </row>
    <row r="586" spans="3:3">
      <c r="C586" s="468"/>
    </row>
    <row r="587" spans="3:3">
      <c r="C587" s="468"/>
    </row>
    <row r="588" spans="3:3">
      <c r="C588" s="468"/>
    </row>
    <row r="589" spans="3:3">
      <c r="C589" s="468"/>
    </row>
    <row r="590" spans="3:3">
      <c r="C590" s="468"/>
    </row>
    <row r="591" spans="3:3">
      <c r="C591" s="468"/>
    </row>
    <row r="592" spans="3:3">
      <c r="C592" s="468"/>
    </row>
    <row r="593" spans="3:3">
      <c r="C593" s="468"/>
    </row>
    <row r="594" spans="3:3">
      <c r="C594" s="468"/>
    </row>
    <row r="595" spans="3:3">
      <c r="C595" s="468"/>
    </row>
    <row r="596" spans="3:3">
      <c r="C596" s="468"/>
    </row>
    <row r="597" spans="3:3">
      <c r="C597" s="468"/>
    </row>
    <row r="598" spans="3:3">
      <c r="C598" s="468"/>
    </row>
    <row r="599" spans="3:3">
      <c r="C599" s="468"/>
    </row>
    <row r="600" spans="3:3">
      <c r="C600" s="468"/>
    </row>
    <row r="601" spans="3:3">
      <c r="C601" s="468"/>
    </row>
    <row r="602" spans="3:3">
      <c r="C602" s="468"/>
    </row>
    <row r="603" spans="3:3">
      <c r="C603" s="468"/>
    </row>
    <row r="604" spans="3:3">
      <c r="C604" s="468"/>
    </row>
    <row r="605" spans="3:3">
      <c r="C605" s="468"/>
    </row>
    <row r="606" spans="3:3">
      <c r="C606" s="468"/>
    </row>
    <row r="607" spans="3:3">
      <c r="C607" s="468"/>
    </row>
    <row r="608" spans="3:3">
      <c r="C608" s="468"/>
    </row>
    <row r="609" spans="3:3">
      <c r="C609" s="468"/>
    </row>
    <row r="610" spans="3:3">
      <c r="C610" s="468"/>
    </row>
    <row r="611" spans="3:3">
      <c r="C611" s="468"/>
    </row>
    <row r="612" spans="3:3">
      <c r="C612" s="468"/>
    </row>
    <row r="613" spans="3:3">
      <c r="C613" s="468"/>
    </row>
    <row r="614" spans="3:3">
      <c r="C614" s="468"/>
    </row>
    <row r="615" spans="3:3">
      <c r="C615" s="468"/>
    </row>
    <row r="616" spans="3:3">
      <c r="C616" s="468"/>
    </row>
    <row r="617" spans="3:3">
      <c r="C617" s="468"/>
    </row>
    <row r="618" spans="3:3">
      <c r="C618" s="468"/>
    </row>
    <row r="619" spans="3:3">
      <c r="C619" s="468"/>
    </row>
    <row r="620" spans="3:3">
      <c r="C620" s="468"/>
    </row>
    <row r="621" spans="3:3">
      <c r="C621" s="468"/>
    </row>
    <row r="622" spans="3:3">
      <c r="C622" s="468"/>
    </row>
    <row r="623" spans="3:3">
      <c r="C623" s="468"/>
    </row>
    <row r="624" spans="3:3">
      <c r="C624" s="468"/>
    </row>
    <row r="625" spans="3:3">
      <c r="C625" s="468"/>
    </row>
    <row r="626" spans="3:3">
      <c r="C626" s="468"/>
    </row>
    <row r="627" spans="3:3">
      <c r="C627" s="468"/>
    </row>
    <row r="628" spans="3:3">
      <c r="C628" s="468"/>
    </row>
    <row r="629" spans="3:3">
      <c r="C629" s="468"/>
    </row>
    <row r="630" spans="3:3">
      <c r="C630" s="468"/>
    </row>
    <row r="631" spans="3:3">
      <c r="C631" s="468"/>
    </row>
    <row r="632" spans="3:3">
      <c r="C632" s="468"/>
    </row>
    <row r="633" spans="3:3">
      <c r="C633" s="468"/>
    </row>
    <row r="634" spans="3:3">
      <c r="C634" s="468"/>
    </row>
    <row r="635" spans="3:3">
      <c r="C635" s="468"/>
    </row>
    <row r="636" spans="3:3">
      <c r="C636" s="468"/>
    </row>
    <row r="637" spans="3:3">
      <c r="C637" s="468"/>
    </row>
    <row r="638" spans="3:3">
      <c r="C638" s="468"/>
    </row>
    <row r="639" spans="3:3">
      <c r="C639" s="468"/>
    </row>
    <row r="640" spans="3:3">
      <c r="C640" s="468"/>
    </row>
    <row r="641" spans="3:3">
      <c r="C641" s="468"/>
    </row>
    <row r="642" spans="3:3">
      <c r="C642" s="468"/>
    </row>
    <row r="643" spans="3:3">
      <c r="C643" s="468"/>
    </row>
    <row r="644" spans="3:3">
      <c r="C644" s="468"/>
    </row>
    <row r="645" spans="3:3">
      <c r="C645" s="468"/>
    </row>
    <row r="646" spans="3:3">
      <c r="C646" s="468"/>
    </row>
    <row r="647" spans="3:3">
      <c r="C647" s="468"/>
    </row>
    <row r="648" spans="3:3">
      <c r="C648" s="468"/>
    </row>
    <row r="649" spans="3:3">
      <c r="C649" s="468"/>
    </row>
    <row r="650" spans="3:3">
      <c r="C650" s="468"/>
    </row>
    <row r="651" spans="3:3">
      <c r="C651" s="468"/>
    </row>
    <row r="652" spans="3:3">
      <c r="C652" s="468"/>
    </row>
    <row r="653" spans="3:3">
      <c r="C653" s="468"/>
    </row>
    <row r="654" spans="3:3">
      <c r="C654" s="468"/>
    </row>
    <row r="655" spans="3:3">
      <c r="C655" s="468"/>
    </row>
    <row r="656" spans="3:3">
      <c r="C656" s="468"/>
    </row>
    <row r="657" spans="3:3">
      <c r="C657" s="468"/>
    </row>
    <row r="658" spans="3:3">
      <c r="C658" s="468"/>
    </row>
    <row r="659" spans="3:3">
      <c r="C659" s="468"/>
    </row>
    <row r="660" spans="3:3">
      <c r="C660" s="468"/>
    </row>
    <row r="661" spans="3:3">
      <c r="C661" s="468"/>
    </row>
    <row r="662" spans="3:3">
      <c r="C662" s="468"/>
    </row>
    <row r="663" spans="3:3">
      <c r="C663" s="468"/>
    </row>
    <row r="664" spans="3:3">
      <c r="C664" s="468"/>
    </row>
    <row r="665" spans="3:3">
      <c r="C665" s="468"/>
    </row>
    <row r="666" spans="3:3">
      <c r="C666" s="468"/>
    </row>
    <row r="667" spans="3:3">
      <c r="C667" s="468"/>
    </row>
    <row r="668" spans="3:3">
      <c r="C668" s="468"/>
    </row>
    <row r="669" spans="3:3">
      <c r="C669" s="468"/>
    </row>
    <row r="670" spans="3:3">
      <c r="C670" s="468"/>
    </row>
    <row r="671" spans="3:3">
      <c r="C671" s="468"/>
    </row>
    <row r="672" spans="3:3">
      <c r="C672" s="468"/>
    </row>
    <row r="673" spans="3:3">
      <c r="C673" s="468"/>
    </row>
    <row r="674" spans="3:3">
      <c r="C674" s="468"/>
    </row>
    <row r="675" spans="3:3">
      <c r="C675" s="468"/>
    </row>
    <row r="676" spans="3:3">
      <c r="C676" s="468"/>
    </row>
    <row r="677" spans="3:3">
      <c r="C677" s="468"/>
    </row>
    <row r="678" spans="3:3">
      <c r="C678" s="468"/>
    </row>
    <row r="679" spans="3:3">
      <c r="C679" s="468"/>
    </row>
    <row r="680" spans="3:3">
      <c r="C680" s="468"/>
    </row>
    <row r="681" spans="3:3">
      <c r="C681" s="468"/>
    </row>
    <row r="682" spans="3:3">
      <c r="C682" s="468"/>
    </row>
    <row r="683" spans="3:3">
      <c r="C683" s="468"/>
    </row>
    <row r="684" spans="3:3">
      <c r="C684" s="468"/>
    </row>
    <row r="685" spans="3:3">
      <c r="C685" s="468"/>
    </row>
    <row r="686" spans="3:3">
      <c r="C686" s="468"/>
    </row>
    <row r="687" spans="3:3">
      <c r="C687" s="468"/>
    </row>
    <row r="688" spans="3:3">
      <c r="C688" s="468"/>
    </row>
    <row r="689" spans="3:3">
      <c r="C689" s="468"/>
    </row>
    <row r="690" spans="3:3">
      <c r="C690" s="468"/>
    </row>
    <row r="691" spans="3:3">
      <c r="C691" s="468"/>
    </row>
    <row r="692" spans="3:3">
      <c r="C692" s="468"/>
    </row>
    <row r="693" spans="3:3">
      <c r="C693" s="468"/>
    </row>
    <row r="694" spans="3:3">
      <c r="C694" s="468"/>
    </row>
    <row r="695" spans="3:3">
      <c r="C695" s="468"/>
    </row>
    <row r="696" spans="3:3">
      <c r="C696" s="468"/>
    </row>
    <row r="697" spans="3:3">
      <c r="C697" s="468"/>
    </row>
    <row r="698" spans="3:3">
      <c r="C698" s="468"/>
    </row>
    <row r="699" spans="3:3">
      <c r="C699" s="468"/>
    </row>
    <row r="700" spans="3:3">
      <c r="C700" s="468"/>
    </row>
    <row r="701" spans="3:3">
      <c r="C701" s="468"/>
    </row>
    <row r="702" spans="3:3">
      <c r="C702" s="468"/>
    </row>
    <row r="703" spans="3:3">
      <c r="C703" s="468"/>
    </row>
    <row r="704" spans="3:3">
      <c r="C704" s="468"/>
    </row>
    <row r="705" spans="3:3">
      <c r="C705" s="468"/>
    </row>
    <row r="706" spans="3:3">
      <c r="C706" s="468"/>
    </row>
    <row r="707" spans="3:3">
      <c r="C707" s="468"/>
    </row>
    <row r="708" spans="3:3">
      <c r="C708" s="468"/>
    </row>
    <row r="709" spans="3:3">
      <c r="C709" s="468"/>
    </row>
    <row r="710" spans="3:3">
      <c r="C710" s="468"/>
    </row>
    <row r="711" spans="3:3">
      <c r="C711" s="468"/>
    </row>
    <row r="712" spans="3:3">
      <c r="C712" s="468"/>
    </row>
    <row r="713" spans="3:3">
      <c r="C713" s="468"/>
    </row>
    <row r="714" spans="3:3">
      <c r="C714" s="468"/>
    </row>
    <row r="715" spans="3:3">
      <c r="C715" s="468"/>
    </row>
    <row r="716" spans="3:3">
      <c r="C716" s="468"/>
    </row>
    <row r="717" spans="3:3">
      <c r="C717" s="468"/>
    </row>
    <row r="718" spans="3:3">
      <c r="C718" s="468"/>
    </row>
    <row r="719" spans="3:3">
      <c r="C719" s="468"/>
    </row>
    <row r="720" spans="3:3">
      <c r="C720" s="468"/>
    </row>
    <row r="721" spans="3:3">
      <c r="C721" s="468"/>
    </row>
    <row r="722" spans="3:3">
      <c r="C722" s="468"/>
    </row>
    <row r="723" spans="3:3">
      <c r="C723" s="468"/>
    </row>
    <row r="724" spans="3:3">
      <c r="C724" s="468"/>
    </row>
    <row r="725" spans="3:3">
      <c r="C725" s="468"/>
    </row>
    <row r="726" spans="3:3">
      <c r="C726" s="468"/>
    </row>
    <row r="727" spans="3:3">
      <c r="C727" s="468"/>
    </row>
    <row r="728" spans="3:3">
      <c r="C728" s="468"/>
    </row>
    <row r="729" spans="3:3">
      <c r="C729" s="468"/>
    </row>
    <row r="730" spans="3:3">
      <c r="C730" s="468"/>
    </row>
    <row r="731" spans="3:3">
      <c r="C731" s="468"/>
    </row>
    <row r="732" spans="3:3">
      <c r="C732" s="468"/>
    </row>
    <row r="733" spans="3:3">
      <c r="C733" s="468"/>
    </row>
    <row r="734" spans="3:3">
      <c r="C734" s="468"/>
    </row>
    <row r="735" spans="3:3">
      <c r="C735" s="468"/>
    </row>
    <row r="736" spans="3:3">
      <c r="C736" s="468"/>
    </row>
    <row r="737" spans="3:3">
      <c r="C737" s="468"/>
    </row>
    <row r="738" spans="3:3">
      <c r="C738" s="468"/>
    </row>
    <row r="739" spans="3:3">
      <c r="C739" s="468"/>
    </row>
    <row r="740" spans="3:3">
      <c r="C740" s="468"/>
    </row>
    <row r="741" spans="3:3">
      <c r="C741" s="468"/>
    </row>
    <row r="742" spans="3:3">
      <c r="C742" s="468"/>
    </row>
    <row r="743" spans="3:3">
      <c r="C743" s="468"/>
    </row>
    <row r="744" spans="3:3">
      <c r="C744" s="468"/>
    </row>
    <row r="745" spans="3:3">
      <c r="C745" s="468"/>
    </row>
    <row r="746" spans="3:3">
      <c r="C746" s="468"/>
    </row>
    <row r="747" spans="3:3">
      <c r="C747" s="468"/>
    </row>
    <row r="748" spans="3:3">
      <c r="C748" s="468"/>
    </row>
    <row r="749" spans="3:3">
      <c r="C749" s="468"/>
    </row>
    <row r="750" spans="3:3">
      <c r="C750" s="468"/>
    </row>
    <row r="751" spans="3:3">
      <c r="C751" s="468"/>
    </row>
    <row r="752" spans="3:3">
      <c r="C752" s="468"/>
    </row>
    <row r="753" spans="3:3">
      <c r="C753" s="468"/>
    </row>
    <row r="754" spans="3:3">
      <c r="C754" s="468"/>
    </row>
    <row r="755" spans="3:3">
      <c r="C755" s="468"/>
    </row>
    <row r="756" spans="3:3">
      <c r="C756" s="468"/>
    </row>
    <row r="757" spans="3:3">
      <c r="C757" s="468"/>
    </row>
    <row r="758" spans="3:3">
      <c r="C758" s="468"/>
    </row>
    <row r="759" spans="3:3">
      <c r="C759" s="468"/>
    </row>
    <row r="760" spans="3:3">
      <c r="C760" s="468"/>
    </row>
    <row r="761" spans="3:3">
      <c r="C761" s="468"/>
    </row>
    <row r="762" spans="3:3">
      <c r="C762" s="468"/>
    </row>
    <row r="763" spans="3:3">
      <c r="C763" s="468"/>
    </row>
    <row r="764" spans="3:3">
      <c r="C764" s="468"/>
    </row>
    <row r="765" spans="3:3">
      <c r="C765" s="468"/>
    </row>
    <row r="766" spans="3:3">
      <c r="C766" s="468"/>
    </row>
    <row r="767" spans="3:3">
      <c r="C767" s="468"/>
    </row>
    <row r="768" spans="3:3">
      <c r="C768" s="468"/>
    </row>
    <row r="769" spans="3:3">
      <c r="C769" s="468"/>
    </row>
    <row r="770" spans="3:3">
      <c r="C770" s="468"/>
    </row>
    <row r="771" spans="3:3">
      <c r="C771" s="468"/>
    </row>
    <row r="772" spans="3:3">
      <c r="C772" s="468"/>
    </row>
    <row r="773" spans="3:3">
      <c r="C773" s="468"/>
    </row>
    <row r="774" spans="3:3">
      <c r="C774" s="468"/>
    </row>
    <row r="775" spans="3:3">
      <c r="C775" s="468"/>
    </row>
    <row r="776" spans="3:3">
      <c r="C776" s="468"/>
    </row>
    <row r="777" spans="3:3">
      <c r="C777" s="468"/>
    </row>
    <row r="778" spans="3:3">
      <c r="C778" s="468"/>
    </row>
    <row r="779" spans="3:3">
      <c r="C779" s="468"/>
    </row>
    <row r="780" spans="3:3">
      <c r="C780" s="468"/>
    </row>
    <row r="781" spans="3:3">
      <c r="C781" s="468"/>
    </row>
    <row r="782" spans="3:3">
      <c r="C782" s="468"/>
    </row>
    <row r="783" spans="3:3">
      <c r="C783" s="468"/>
    </row>
    <row r="784" spans="3:3">
      <c r="C784" s="468"/>
    </row>
    <row r="785" spans="3:3">
      <c r="C785" s="468"/>
    </row>
    <row r="786" spans="3:3">
      <c r="C786" s="468"/>
    </row>
    <row r="787" spans="3:3">
      <c r="C787" s="468"/>
    </row>
    <row r="788" spans="3:3">
      <c r="C788" s="468"/>
    </row>
    <row r="789" spans="3:3">
      <c r="C789" s="468"/>
    </row>
    <row r="790" spans="3:3">
      <c r="C790" s="468"/>
    </row>
    <row r="791" spans="3:3">
      <c r="C791" s="468"/>
    </row>
    <row r="792" spans="3:3">
      <c r="C792" s="468"/>
    </row>
    <row r="793" spans="3:3">
      <c r="C793" s="468"/>
    </row>
    <row r="794" spans="3:3">
      <c r="C794" s="468"/>
    </row>
    <row r="795" spans="3:3">
      <c r="C795" s="468"/>
    </row>
    <row r="796" spans="3:3">
      <c r="C796" s="468"/>
    </row>
    <row r="797" spans="3:3">
      <c r="C797" s="468"/>
    </row>
    <row r="798" spans="3:3">
      <c r="C798" s="468"/>
    </row>
    <row r="799" spans="3:3">
      <c r="C799" s="468"/>
    </row>
    <row r="800" spans="3:3">
      <c r="C800" s="468"/>
    </row>
    <row r="801" spans="3:3">
      <c r="C801" s="468"/>
    </row>
    <row r="802" spans="3:3">
      <c r="C802" s="468"/>
    </row>
    <row r="803" spans="3:3">
      <c r="C803" s="468"/>
    </row>
    <row r="804" spans="3:3">
      <c r="C804" s="468"/>
    </row>
    <row r="805" spans="3:3">
      <c r="C805" s="468"/>
    </row>
    <row r="806" spans="3:3">
      <c r="C806" s="468"/>
    </row>
    <row r="807" spans="3:3">
      <c r="C807" s="468"/>
    </row>
    <row r="808" spans="3:3">
      <c r="C808" s="468"/>
    </row>
    <row r="809" spans="3:3">
      <c r="C809" s="468"/>
    </row>
    <row r="810" spans="3:3">
      <c r="C810" s="468"/>
    </row>
    <row r="811" spans="3:3">
      <c r="C811" s="468"/>
    </row>
    <row r="812" spans="3:3">
      <c r="C812" s="468"/>
    </row>
    <row r="813" spans="3:3">
      <c r="C813" s="468"/>
    </row>
    <row r="814" spans="3:3">
      <c r="C814" s="468"/>
    </row>
    <row r="815" spans="3:3">
      <c r="C815" s="468"/>
    </row>
    <row r="816" spans="3:3">
      <c r="C816" s="468"/>
    </row>
    <row r="817" spans="3:3">
      <c r="C817" s="468"/>
    </row>
    <row r="818" spans="3:3">
      <c r="C818" s="468"/>
    </row>
    <row r="819" spans="3:3">
      <c r="C819" s="468"/>
    </row>
    <row r="820" spans="3:3">
      <c r="C820" s="468"/>
    </row>
    <row r="821" spans="3:3">
      <c r="C821" s="468"/>
    </row>
    <row r="822" spans="3:3">
      <c r="C822" s="468"/>
    </row>
    <row r="823" spans="3:3">
      <c r="C823" s="468"/>
    </row>
    <row r="824" spans="3:3">
      <c r="C824" s="468"/>
    </row>
    <row r="825" spans="3:3">
      <c r="C825" s="468"/>
    </row>
    <row r="826" spans="3:3">
      <c r="C826" s="468"/>
    </row>
    <row r="827" spans="3:3">
      <c r="C827" s="468"/>
    </row>
    <row r="828" spans="3:3">
      <c r="C828" s="468"/>
    </row>
    <row r="829" spans="3:3">
      <c r="C829" s="468"/>
    </row>
    <row r="830" spans="3:3">
      <c r="C830" s="468"/>
    </row>
    <row r="831" spans="3:3">
      <c r="C831" s="468"/>
    </row>
    <row r="832" spans="3:3">
      <c r="C832" s="468"/>
    </row>
    <row r="833" spans="3:3">
      <c r="C833" s="468"/>
    </row>
    <row r="834" spans="3:3">
      <c r="C834" s="468"/>
    </row>
    <row r="835" spans="3:3">
      <c r="C835" s="468"/>
    </row>
    <row r="836" spans="3:3">
      <c r="C836" s="468"/>
    </row>
    <row r="837" spans="3:3">
      <c r="C837" s="468"/>
    </row>
    <row r="838" spans="3:3">
      <c r="C838" s="468"/>
    </row>
    <row r="839" spans="3:3">
      <c r="C839" s="468"/>
    </row>
    <row r="840" spans="3:3">
      <c r="C840" s="468"/>
    </row>
    <row r="841" spans="3:3">
      <c r="C841" s="468"/>
    </row>
    <row r="842" spans="3:3">
      <c r="C842" s="468"/>
    </row>
    <row r="843" spans="3:3">
      <c r="C843" s="468"/>
    </row>
    <row r="844" spans="3:3">
      <c r="C844" s="468"/>
    </row>
    <row r="845" spans="3:3">
      <c r="C845" s="468"/>
    </row>
    <row r="846" spans="3:3">
      <c r="C846" s="468"/>
    </row>
    <row r="847" spans="3:3">
      <c r="C847" s="468"/>
    </row>
    <row r="848" spans="3:3">
      <c r="C848" s="468"/>
    </row>
    <row r="849" spans="3:3">
      <c r="C849" s="468"/>
    </row>
    <row r="850" spans="3:3">
      <c r="C850" s="468"/>
    </row>
    <row r="851" spans="3:3">
      <c r="C851" s="468"/>
    </row>
    <row r="852" spans="3:3">
      <c r="C852" s="468"/>
    </row>
    <row r="853" spans="3:3">
      <c r="C853" s="468"/>
    </row>
    <row r="854" spans="3:3">
      <c r="C854" s="468"/>
    </row>
    <row r="855" spans="3:3">
      <c r="C855" s="468"/>
    </row>
    <row r="856" spans="3:3">
      <c r="C856" s="468"/>
    </row>
    <row r="857" spans="3:3">
      <c r="C857" s="468"/>
    </row>
    <row r="858" spans="3:3">
      <c r="C858" s="468"/>
    </row>
    <row r="859" spans="3:3">
      <c r="C859" s="468"/>
    </row>
    <row r="860" spans="3:3">
      <c r="C860" s="468"/>
    </row>
    <row r="861" spans="3:3">
      <c r="C861" s="468"/>
    </row>
    <row r="862" spans="3:3">
      <c r="C862" s="468"/>
    </row>
    <row r="863" spans="3:3">
      <c r="C863" s="468"/>
    </row>
    <row r="864" spans="3:3">
      <c r="C864" s="468"/>
    </row>
    <row r="865" spans="3:3">
      <c r="C865" s="468"/>
    </row>
    <row r="866" spans="3:3">
      <c r="C866" s="468"/>
    </row>
    <row r="867" spans="3:3">
      <c r="C867" s="468"/>
    </row>
    <row r="868" spans="3:3">
      <c r="C868" s="468"/>
    </row>
    <row r="869" spans="3:3">
      <c r="C869" s="468"/>
    </row>
    <row r="870" spans="3:3">
      <c r="C870" s="468"/>
    </row>
    <row r="871" spans="3:3">
      <c r="C871" s="468"/>
    </row>
    <row r="872" spans="3:3">
      <c r="C872" s="468"/>
    </row>
    <row r="873" spans="3:3">
      <c r="C873" s="468"/>
    </row>
    <row r="874" spans="3:3">
      <c r="C874" s="468"/>
    </row>
    <row r="875" spans="3:3">
      <c r="C875" s="468"/>
    </row>
    <row r="876" spans="3:3">
      <c r="C876" s="468"/>
    </row>
    <row r="877" spans="3:3">
      <c r="C877" s="468"/>
    </row>
    <row r="878" spans="3:3">
      <c r="C878" s="468"/>
    </row>
    <row r="879" spans="3:3">
      <c r="C879" s="468"/>
    </row>
    <row r="880" spans="3:3">
      <c r="C880" s="468"/>
    </row>
    <row r="881" spans="3:3">
      <c r="C881" s="468"/>
    </row>
    <row r="882" spans="3:3">
      <c r="C882" s="468"/>
    </row>
    <row r="883" spans="3:3">
      <c r="C883" s="468"/>
    </row>
    <row r="884" spans="3:3">
      <c r="C884" s="468"/>
    </row>
    <row r="885" spans="3:3">
      <c r="C885" s="468"/>
    </row>
    <row r="886" spans="3:3">
      <c r="C886" s="468"/>
    </row>
    <row r="887" spans="3:3">
      <c r="C887" s="468"/>
    </row>
    <row r="888" spans="3:3">
      <c r="C888" s="468"/>
    </row>
    <row r="889" spans="3:3">
      <c r="C889" s="468"/>
    </row>
    <row r="890" spans="3:3">
      <c r="C890" s="468"/>
    </row>
    <row r="891" spans="3:3">
      <c r="C891" s="468"/>
    </row>
    <row r="892" spans="3:3">
      <c r="C892" s="468"/>
    </row>
    <row r="893" spans="3:3">
      <c r="C893" s="468"/>
    </row>
    <row r="894" spans="3:3">
      <c r="C894" s="468"/>
    </row>
    <row r="895" spans="3:3">
      <c r="C895" s="468"/>
    </row>
    <row r="896" spans="3:3">
      <c r="C896" s="468"/>
    </row>
    <row r="897" spans="3:3">
      <c r="C897" s="468"/>
    </row>
    <row r="898" spans="3:3">
      <c r="C898" s="468"/>
    </row>
    <row r="899" spans="3:3">
      <c r="C899" s="468"/>
    </row>
    <row r="900" spans="3:3">
      <c r="C900" s="468"/>
    </row>
    <row r="901" spans="3:3">
      <c r="C901" s="468"/>
    </row>
    <row r="902" spans="3:3">
      <c r="C902" s="468"/>
    </row>
    <row r="903" spans="3:3">
      <c r="C903" s="468"/>
    </row>
    <row r="904" spans="3:3">
      <c r="C904" s="468"/>
    </row>
    <row r="905" spans="3:3">
      <c r="C905" s="468"/>
    </row>
    <row r="906" spans="3:3">
      <c r="C906" s="468"/>
    </row>
    <row r="907" spans="3:3">
      <c r="C907" s="468"/>
    </row>
    <row r="908" spans="3:3">
      <c r="C908" s="468"/>
    </row>
    <row r="909" spans="3:3">
      <c r="C909" s="468"/>
    </row>
    <row r="910" spans="3:3">
      <c r="C910" s="468"/>
    </row>
    <row r="911" spans="3:3">
      <c r="C911" s="468"/>
    </row>
    <row r="912" spans="3:3">
      <c r="C912" s="468"/>
    </row>
    <row r="913" spans="3:3">
      <c r="C913" s="468"/>
    </row>
    <row r="914" spans="3:3">
      <c r="C914" s="468"/>
    </row>
    <row r="915" spans="3:3">
      <c r="C915" s="468"/>
    </row>
    <row r="916" spans="3:3">
      <c r="C916" s="468"/>
    </row>
    <row r="917" spans="3:3">
      <c r="C917" s="468"/>
    </row>
    <row r="918" spans="3:3">
      <c r="C918" s="468"/>
    </row>
    <row r="919" spans="3:3">
      <c r="C919" s="468"/>
    </row>
    <row r="920" spans="3:3">
      <c r="C920" s="468"/>
    </row>
    <row r="921" spans="3:3">
      <c r="C921" s="468"/>
    </row>
    <row r="922" spans="3:3">
      <c r="C922" s="468"/>
    </row>
    <row r="923" spans="3:3">
      <c r="C923" s="468"/>
    </row>
    <row r="924" spans="3:3">
      <c r="C924" s="468"/>
    </row>
    <row r="925" spans="3:3">
      <c r="C925" s="468"/>
    </row>
    <row r="926" spans="3:3">
      <c r="C926" s="468"/>
    </row>
    <row r="927" spans="3:3">
      <c r="C927" s="468"/>
    </row>
    <row r="928" spans="3:3">
      <c r="C928" s="468"/>
    </row>
    <row r="929" spans="3:3">
      <c r="C929" s="468"/>
    </row>
    <row r="930" spans="3:3">
      <c r="C930" s="468"/>
    </row>
    <row r="931" spans="3:3">
      <c r="C931" s="468"/>
    </row>
    <row r="932" spans="3:3">
      <c r="C932" s="468"/>
    </row>
    <row r="933" spans="3:3">
      <c r="C933" s="468"/>
    </row>
    <row r="934" spans="3:3">
      <c r="C934" s="468"/>
    </row>
    <row r="935" spans="3:3">
      <c r="C935" s="468"/>
    </row>
    <row r="936" spans="3:3">
      <c r="C936" s="468"/>
    </row>
    <row r="937" spans="3:3">
      <c r="C937" s="468"/>
    </row>
    <row r="938" spans="3:3">
      <c r="C938" s="468"/>
    </row>
    <row r="939" spans="3:3">
      <c r="C939" s="468"/>
    </row>
    <row r="940" spans="3:3">
      <c r="C940" s="468"/>
    </row>
    <row r="941" spans="3:3">
      <c r="C941" s="468"/>
    </row>
    <row r="942" spans="3:3">
      <c r="C942" s="468"/>
    </row>
    <row r="943" spans="3:3">
      <c r="C943" s="468"/>
    </row>
    <row r="944" spans="3:3">
      <c r="C944" s="468"/>
    </row>
    <row r="945" spans="3:3">
      <c r="C945" s="468"/>
    </row>
    <row r="946" spans="3:3">
      <c r="C946" s="468"/>
    </row>
    <row r="947" spans="3:3">
      <c r="C947" s="468"/>
    </row>
    <row r="948" spans="3:3">
      <c r="C948" s="468"/>
    </row>
    <row r="949" spans="3:3">
      <c r="C949" s="468"/>
    </row>
    <row r="950" spans="3:3">
      <c r="C950" s="468"/>
    </row>
    <row r="951" spans="3:3">
      <c r="C951" s="468"/>
    </row>
    <row r="952" spans="3:3">
      <c r="C952" s="468"/>
    </row>
    <row r="953" spans="3:3">
      <c r="C953" s="468"/>
    </row>
    <row r="954" spans="3:3">
      <c r="C954" s="468"/>
    </row>
    <row r="955" spans="3:3">
      <c r="C955" s="468"/>
    </row>
    <row r="956" spans="3:3">
      <c r="C956" s="468"/>
    </row>
    <row r="957" spans="3:3">
      <c r="C957" s="468"/>
    </row>
    <row r="958" spans="3:3">
      <c r="C958" s="468"/>
    </row>
    <row r="959" spans="3:3">
      <c r="C959" s="468"/>
    </row>
    <row r="960" spans="3:3">
      <c r="C960" s="468"/>
    </row>
    <row r="961" spans="3:3">
      <c r="C961" s="468"/>
    </row>
    <row r="962" spans="3:3">
      <c r="C962" s="468"/>
    </row>
    <row r="963" spans="3:3">
      <c r="C963" s="468"/>
    </row>
    <row r="964" spans="3:3">
      <c r="C964" s="468"/>
    </row>
    <row r="965" spans="3:3">
      <c r="C965" s="468"/>
    </row>
    <row r="966" spans="3:3">
      <c r="C966" s="468"/>
    </row>
    <row r="967" spans="3:3">
      <c r="C967" s="468"/>
    </row>
    <row r="968" spans="3:3">
      <c r="C968" s="468"/>
    </row>
    <row r="969" spans="3:3">
      <c r="C969" s="468"/>
    </row>
    <row r="970" spans="3:3">
      <c r="C970" s="468"/>
    </row>
    <row r="971" spans="3:3">
      <c r="C971" s="468"/>
    </row>
    <row r="972" spans="3:3">
      <c r="C972" s="468"/>
    </row>
    <row r="973" spans="3:3">
      <c r="C973" s="468"/>
    </row>
    <row r="974" spans="3:3">
      <c r="C974" s="468"/>
    </row>
    <row r="975" spans="3:3">
      <c r="C975" s="468"/>
    </row>
    <row r="976" spans="3:3">
      <c r="C976" s="468"/>
    </row>
    <row r="977" spans="3:3">
      <c r="C977" s="468"/>
    </row>
    <row r="978" spans="3:3">
      <c r="C978" s="468"/>
    </row>
    <row r="979" spans="3:3">
      <c r="C979" s="468"/>
    </row>
    <row r="980" spans="3:3">
      <c r="C980" s="468"/>
    </row>
    <row r="981" spans="3:3">
      <c r="C981" s="468"/>
    </row>
    <row r="982" spans="3:3">
      <c r="C982" s="468"/>
    </row>
    <row r="983" spans="3:3">
      <c r="C983" s="468"/>
    </row>
    <row r="984" spans="3:3">
      <c r="C984" s="468"/>
    </row>
    <row r="985" spans="3:3">
      <c r="C985" s="468"/>
    </row>
    <row r="986" spans="3:3">
      <c r="C986" s="468"/>
    </row>
    <row r="987" spans="3:3">
      <c r="C987" s="468"/>
    </row>
    <row r="988" spans="3:3">
      <c r="C988" s="468"/>
    </row>
    <row r="989" spans="3:3">
      <c r="C989" s="468"/>
    </row>
    <row r="990" spans="3:3">
      <c r="C990" s="468"/>
    </row>
    <row r="991" spans="3:3">
      <c r="C991" s="468"/>
    </row>
    <row r="992" spans="3:3">
      <c r="C992" s="468"/>
    </row>
    <row r="993" spans="3:3">
      <c r="C993" s="468"/>
    </row>
    <row r="994" spans="3:3">
      <c r="C994" s="468"/>
    </row>
    <row r="995" spans="3:3">
      <c r="C995" s="468"/>
    </row>
    <row r="996" spans="3:3">
      <c r="C996" s="468"/>
    </row>
    <row r="997" spans="3:3">
      <c r="C997" s="468"/>
    </row>
    <row r="998" spans="3:3">
      <c r="C998" s="468"/>
    </row>
    <row r="999" spans="3:3">
      <c r="C999" s="468"/>
    </row>
    <row r="1000" spans="3:3">
      <c r="C1000" s="468"/>
    </row>
    <row r="1001" spans="3:3">
      <c r="C1001" s="468"/>
    </row>
    <row r="1002" spans="3:3">
      <c r="C1002" s="468"/>
    </row>
    <row r="1003" spans="3:3">
      <c r="C1003" s="468"/>
    </row>
    <row r="1004" spans="3:3">
      <c r="C1004" s="468"/>
    </row>
    <row r="1005" spans="3:3">
      <c r="C1005" s="468"/>
    </row>
    <row r="1006" spans="3:3">
      <c r="C1006" s="468"/>
    </row>
    <row r="1007" spans="3:3">
      <c r="C1007" s="468"/>
    </row>
    <row r="1008" spans="3:3">
      <c r="C1008" s="468"/>
    </row>
    <row r="1009" spans="3:3">
      <c r="C1009" s="468"/>
    </row>
    <row r="1010" spans="3:3">
      <c r="C1010" s="468"/>
    </row>
    <row r="1011" spans="3:3">
      <c r="C1011" s="468"/>
    </row>
    <row r="1012" spans="3:3">
      <c r="C1012" s="468"/>
    </row>
    <row r="1013" spans="3:3">
      <c r="C1013" s="468"/>
    </row>
    <row r="1014" spans="3:3">
      <c r="C1014" s="468"/>
    </row>
    <row r="1015" spans="3:3">
      <c r="C1015" s="468"/>
    </row>
    <row r="1016" spans="3:3">
      <c r="C1016" s="468"/>
    </row>
    <row r="1017" spans="3:3">
      <c r="C1017" s="468"/>
    </row>
    <row r="1018" spans="3:3">
      <c r="C1018" s="468"/>
    </row>
    <row r="1019" spans="3:3">
      <c r="C1019" s="468"/>
    </row>
    <row r="1020" spans="3:3">
      <c r="C1020" s="468"/>
    </row>
    <row r="1021" spans="3:3">
      <c r="C1021" s="468"/>
    </row>
    <row r="1022" spans="3:3">
      <c r="C1022" s="468"/>
    </row>
    <row r="1023" spans="3:3">
      <c r="C1023" s="468"/>
    </row>
    <row r="1024" spans="3:3">
      <c r="C1024" s="468"/>
    </row>
    <row r="1025" spans="3:3">
      <c r="C1025" s="468"/>
    </row>
    <row r="1026" spans="3:3">
      <c r="C1026" s="468"/>
    </row>
    <row r="1027" spans="3:3">
      <c r="C1027" s="468"/>
    </row>
    <row r="1028" spans="3:3">
      <c r="C1028" s="468"/>
    </row>
    <row r="1029" spans="3:3">
      <c r="C1029" s="468"/>
    </row>
    <row r="1030" spans="3:3">
      <c r="C1030" s="468"/>
    </row>
    <row r="1031" spans="3:3">
      <c r="C1031" s="468"/>
    </row>
    <row r="1032" spans="3:3">
      <c r="C1032" s="468"/>
    </row>
    <row r="1033" spans="3:3">
      <c r="C1033" s="468"/>
    </row>
    <row r="1034" spans="3:3">
      <c r="C1034" s="468"/>
    </row>
    <row r="1035" spans="3:3">
      <c r="C1035" s="468"/>
    </row>
    <row r="1036" spans="3:3">
      <c r="C1036" s="468"/>
    </row>
    <row r="1037" spans="3:3">
      <c r="C1037" s="468"/>
    </row>
    <row r="1038" spans="3:3">
      <c r="C1038" s="468"/>
    </row>
    <row r="1039" spans="3:3">
      <c r="C1039" s="468"/>
    </row>
    <row r="1040" spans="3:3">
      <c r="C1040" s="468"/>
    </row>
    <row r="1041" spans="3:3">
      <c r="C1041" s="468"/>
    </row>
    <row r="1042" spans="3:3">
      <c r="C1042" s="468"/>
    </row>
    <row r="1043" spans="3:3">
      <c r="C1043" s="468"/>
    </row>
    <row r="1044" spans="3:3">
      <c r="C1044" s="468"/>
    </row>
    <row r="1045" spans="3:3">
      <c r="C1045" s="468"/>
    </row>
    <row r="1046" spans="3:3">
      <c r="C1046" s="468"/>
    </row>
    <row r="1047" spans="3:3">
      <c r="C1047" s="468"/>
    </row>
    <row r="1048" spans="3:3">
      <c r="C1048" s="468"/>
    </row>
    <row r="1049" spans="3:3">
      <c r="C1049" s="468"/>
    </row>
    <row r="1050" spans="3:3">
      <c r="C1050" s="468"/>
    </row>
    <row r="1051" spans="3:3">
      <c r="C1051" s="468"/>
    </row>
    <row r="1052" spans="3:3">
      <c r="C1052" s="468"/>
    </row>
    <row r="1053" spans="3:3">
      <c r="C1053" s="468"/>
    </row>
    <row r="1054" spans="3:3">
      <c r="C1054" s="468"/>
    </row>
    <row r="1055" spans="3:3">
      <c r="C1055" s="468"/>
    </row>
    <row r="1056" spans="3:3">
      <c r="C1056" s="468"/>
    </row>
    <row r="1057" spans="3:3">
      <c r="C1057" s="468"/>
    </row>
    <row r="1058" spans="3:3">
      <c r="C1058" s="468"/>
    </row>
    <row r="1059" spans="3:3">
      <c r="C1059" s="468"/>
    </row>
    <row r="1060" spans="3:3">
      <c r="C1060" s="468"/>
    </row>
    <row r="1061" spans="3:3">
      <c r="C1061" s="468"/>
    </row>
    <row r="1062" spans="3:3">
      <c r="C1062" s="468"/>
    </row>
    <row r="1063" spans="3:3">
      <c r="C1063" s="468"/>
    </row>
    <row r="1064" spans="3:3">
      <c r="C1064" s="468"/>
    </row>
    <row r="1065" spans="3:3">
      <c r="C1065" s="468"/>
    </row>
    <row r="1066" spans="3:3">
      <c r="C1066" s="468"/>
    </row>
    <row r="1067" spans="3:3">
      <c r="C1067" s="468"/>
    </row>
    <row r="1068" spans="3:3">
      <c r="C1068" s="468"/>
    </row>
    <row r="1069" spans="3:3">
      <c r="C1069" s="468"/>
    </row>
    <row r="1070" spans="3:3">
      <c r="C1070" s="468"/>
    </row>
    <row r="1071" spans="3:3">
      <c r="C1071" s="468"/>
    </row>
    <row r="1072" spans="3:3">
      <c r="C1072" s="468"/>
    </row>
    <row r="1073" spans="3:3">
      <c r="C1073" s="468"/>
    </row>
    <row r="1074" spans="3:3">
      <c r="C1074" s="468"/>
    </row>
    <row r="1075" spans="3:3">
      <c r="C1075" s="468"/>
    </row>
    <row r="1076" spans="3:3">
      <c r="C1076" s="468"/>
    </row>
    <row r="1077" spans="3:3">
      <c r="C1077" s="468"/>
    </row>
    <row r="1078" spans="3:3">
      <c r="C1078" s="468"/>
    </row>
    <row r="1079" spans="3:3">
      <c r="C1079" s="468"/>
    </row>
    <row r="1080" spans="3:3">
      <c r="C1080" s="468"/>
    </row>
    <row r="1081" spans="3:3">
      <c r="C1081" s="468"/>
    </row>
    <row r="1082" spans="3:3">
      <c r="C1082" s="468"/>
    </row>
    <row r="1083" spans="3:3">
      <c r="C1083" s="468"/>
    </row>
    <row r="1084" spans="3:3">
      <c r="C1084" s="468"/>
    </row>
    <row r="1085" spans="3:3">
      <c r="C1085" s="468"/>
    </row>
    <row r="1086" spans="3:3">
      <c r="C1086" s="468"/>
    </row>
    <row r="1087" spans="3:3">
      <c r="C1087" s="468"/>
    </row>
    <row r="1088" spans="3:3">
      <c r="C1088" s="468"/>
    </row>
    <row r="1089" spans="3:3">
      <c r="C1089" s="468"/>
    </row>
    <row r="1090" spans="3:3">
      <c r="C1090" s="468"/>
    </row>
    <row r="1091" spans="3:3">
      <c r="C1091" s="468"/>
    </row>
    <row r="1092" spans="3:3">
      <c r="C1092" s="468"/>
    </row>
    <row r="1093" spans="3:3">
      <c r="C1093" s="468"/>
    </row>
    <row r="1094" spans="3:3">
      <c r="C1094" s="468"/>
    </row>
    <row r="1095" spans="3:3">
      <c r="C1095" s="468"/>
    </row>
    <row r="1096" spans="3:3">
      <c r="C1096" s="468"/>
    </row>
    <row r="1097" spans="3:3">
      <c r="C1097" s="468"/>
    </row>
    <row r="1098" spans="3:3">
      <c r="C1098" s="468"/>
    </row>
    <row r="1099" spans="3:3">
      <c r="C1099" s="468"/>
    </row>
    <row r="1100" spans="3:3">
      <c r="C1100" s="468"/>
    </row>
    <row r="1101" spans="3:3">
      <c r="C1101" s="468"/>
    </row>
    <row r="1102" spans="3:3">
      <c r="C1102" s="468"/>
    </row>
    <row r="1103" spans="3:3">
      <c r="C1103" s="468"/>
    </row>
    <row r="1104" spans="3:3">
      <c r="C1104" s="468"/>
    </row>
    <row r="1105" spans="3:3">
      <c r="C1105" s="468"/>
    </row>
    <row r="1106" spans="3:3">
      <c r="C1106" s="468"/>
    </row>
    <row r="1107" spans="3:3">
      <c r="C1107" s="468"/>
    </row>
    <row r="1108" spans="3:3">
      <c r="C1108" s="468"/>
    </row>
    <row r="1109" spans="3:3">
      <c r="C1109" s="468"/>
    </row>
    <row r="1110" spans="3:3">
      <c r="C1110" s="468"/>
    </row>
    <row r="1111" spans="3:3">
      <c r="C1111" s="468"/>
    </row>
    <row r="1112" spans="3:3">
      <c r="C1112" s="468"/>
    </row>
    <row r="1113" spans="3:3">
      <c r="C1113" s="468"/>
    </row>
    <row r="1114" spans="3:3">
      <c r="C1114" s="468"/>
    </row>
    <row r="1115" spans="3:3">
      <c r="C1115" s="468"/>
    </row>
    <row r="1116" spans="3:3">
      <c r="C1116" s="468"/>
    </row>
    <row r="1117" spans="3:3">
      <c r="C1117" s="468"/>
    </row>
    <row r="1118" spans="3:3">
      <c r="C1118" s="468"/>
    </row>
    <row r="1119" spans="3:3">
      <c r="C1119" s="468"/>
    </row>
    <row r="1120" spans="3:3">
      <c r="C1120" s="468"/>
    </row>
    <row r="1121" spans="3:3">
      <c r="C1121" s="468"/>
    </row>
    <row r="1122" spans="3:3">
      <c r="C1122" s="468"/>
    </row>
    <row r="1123" spans="3:3">
      <c r="C1123" s="468"/>
    </row>
    <row r="1124" spans="3:3">
      <c r="C1124" s="468"/>
    </row>
    <row r="1125" spans="3:3">
      <c r="C1125" s="468"/>
    </row>
    <row r="1126" spans="3:3">
      <c r="C1126" s="468"/>
    </row>
    <row r="1127" spans="3:3">
      <c r="C1127" s="468"/>
    </row>
    <row r="1128" spans="3:3">
      <c r="C1128" s="468"/>
    </row>
    <row r="1129" spans="3:3">
      <c r="C1129" s="468"/>
    </row>
    <row r="1130" spans="3:3">
      <c r="C1130" s="468"/>
    </row>
    <row r="1131" spans="3:3">
      <c r="C1131" s="468"/>
    </row>
    <row r="1132" spans="3:3">
      <c r="C1132" s="468"/>
    </row>
    <row r="1133" spans="3:3">
      <c r="C1133" s="468"/>
    </row>
    <row r="1134" spans="3:3">
      <c r="C1134" s="468"/>
    </row>
    <row r="1135" spans="3:3">
      <c r="C1135" s="468"/>
    </row>
    <row r="1136" spans="3:3">
      <c r="C1136" s="468"/>
    </row>
    <row r="1137" spans="3:3">
      <c r="C1137" s="468"/>
    </row>
    <row r="1138" spans="3:3">
      <c r="C1138" s="468"/>
    </row>
    <row r="1139" spans="3:3">
      <c r="C1139" s="468"/>
    </row>
    <row r="1140" spans="3:3">
      <c r="C1140" s="468"/>
    </row>
    <row r="1141" spans="3:3">
      <c r="C1141" s="468"/>
    </row>
    <row r="1142" spans="3:3">
      <c r="C1142" s="468"/>
    </row>
    <row r="1143" spans="3:3">
      <c r="C1143" s="468"/>
    </row>
    <row r="1144" spans="3:3">
      <c r="C1144" s="468"/>
    </row>
    <row r="1145" spans="3:3">
      <c r="C1145" s="468"/>
    </row>
    <row r="1146" spans="3:3">
      <c r="C1146" s="468"/>
    </row>
    <row r="1147" spans="3:3">
      <c r="C1147" s="468"/>
    </row>
    <row r="1148" spans="3:3">
      <c r="C1148" s="468"/>
    </row>
    <row r="1149" spans="3:3">
      <c r="C1149" s="468"/>
    </row>
    <row r="1150" spans="3:3">
      <c r="C1150" s="468"/>
    </row>
    <row r="1151" spans="3:3">
      <c r="C1151" s="468"/>
    </row>
    <row r="1152" spans="3:3">
      <c r="C1152" s="468"/>
    </row>
    <row r="1153" spans="3:3">
      <c r="C1153" s="468"/>
    </row>
    <row r="1154" spans="3:3">
      <c r="C1154" s="468"/>
    </row>
    <row r="1155" spans="3:3">
      <c r="C1155" s="468"/>
    </row>
    <row r="1156" spans="3:3">
      <c r="C1156" s="468"/>
    </row>
    <row r="1157" spans="3:3">
      <c r="C1157" s="468"/>
    </row>
    <row r="1158" spans="3:3">
      <c r="C1158" s="468"/>
    </row>
    <row r="1159" spans="3:3">
      <c r="C1159" s="468"/>
    </row>
    <row r="1160" spans="3:3">
      <c r="C1160" s="468"/>
    </row>
    <row r="1161" spans="3:3">
      <c r="C1161" s="468"/>
    </row>
    <row r="1162" spans="3:3">
      <c r="C1162" s="468"/>
    </row>
    <row r="1163" spans="3:3">
      <c r="C1163" s="468"/>
    </row>
    <row r="1164" spans="3:3">
      <c r="C1164" s="468"/>
    </row>
    <row r="1165" spans="3:3">
      <c r="C1165" s="468"/>
    </row>
    <row r="1166" spans="3:3">
      <c r="C1166" s="468"/>
    </row>
    <row r="1167" spans="3:3">
      <c r="C1167" s="468"/>
    </row>
    <row r="1168" spans="3:3">
      <c r="C1168" s="468"/>
    </row>
    <row r="1169" spans="3:3">
      <c r="C1169" s="468"/>
    </row>
    <row r="1170" spans="3:3">
      <c r="C1170" s="468"/>
    </row>
    <row r="1171" spans="3:3">
      <c r="C1171" s="468"/>
    </row>
    <row r="1172" spans="3:3">
      <c r="C1172" s="468"/>
    </row>
    <row r="1173" spans="3:3">
      <c r="C1173" s="468"/>
    </row>
    <row r="1174" spans="3:3">
      <c r="C1174" s="468"/>
    </row>
    <row r="1175" spans="3:3">
      <c r="C1175" s="468"/>
    </row>
    <row r="1176" spans="3:3">
      <c r="C1176" s="468"/>
    </row>
    <row r="1177" spans="3:3">
      <c r="C1177" s="468"/>
    </row>
    <row r="1178" spans="3:3">
      <c r="C1178" s="468"/>
    </row>
    <row r="1179" spans="3:3">
      <c r="C1179" s="468"/>
    </row>
    <row r="1180" spans="3:3">
      <c r="C1180" s="468"/>
    </row>
    <row r="1181" spans="3:3">
      <c r="C1181" s="468"/>
    </row>
    <row r="1182" spans="3:3">
      <c r="C1182" s="468"/>
    </row>
    <row r="1183" spans="3:3">
      <c r="C1183" s="468"/>
    </row>
    <row r="1184" spans="3:3">
      <c r="C1184" s="468"/>
    </row>
    <row r="1185" spans="3:3">
      <c r="C1185" s="468"/>
    </row>
    <row r="1186" spans="3:3">
      <c r="C1186" s="468"/>
    </row>
    <row r="1187" spans="3:3">
      <c r="C1187" s="468"/>
    </row>
    <row r="1188" spans="3:3">
      <c r="C1188" s="468"/>
    </row>
    <row r="1189" spans="3:3">
      <c r="C1189" s="468"/>
    </row>
    <row r="1190" spans="3:3">
      <c r="C1190" s="468"/>
    </row>
    <row r="1191" spans="3:3">
      <c r="C1191" s="468"/>
    </row>
    <row r="1192" spans="3:3">
      <c r="C1192" s="468"/>
    </row>
    <row r="1193" spans="3:3">
      <c r="C1193" s="468"/>
    </row>
    <row r="1194" spans="3:3">
      <c r="C1194" s="468"/>
    </row>
    <row r="1195" spans="3:3">
      <c r="C1195" s="468"/>
    </row>
    <row r="1196" spans="3:3">
      <c r="C1196" s="468"/>
    </row>
    <row r="1197" spans="3:3">
      <c r="C1197" s="468"/>
    </row>
    <row r="1198" spans="3:3">
      <c r="C1198" s="468"/>
    </row>
    <row r="1199" spans="3:3">
      <c r="C1199" s="468"/>
    </row>
    <row r="1200" spans="3:3">
      <c r="C1200" s="468"/>
    </row>
    <row r="1201" spans="3:3">
      <c r="C1201" s="468"/>
    </row>
    <row r="1202" spans="3:3">
      <c r="C1202" s="468"/>
    </row>
    <row r="1203" spans="3:3">
      <c r="C1203" s="468"/>
    </row>
    <row r="1204" spans="3:3">
      <c r="C1204" s="468"/>
    </row>
    <row r="1205" spans="3:3">
      <c r="C1205" s="468"/>
    </row>
    <row r="1206" spans="3:3">
      <c r="C1206" s="468"/>
    </row>
    <row r="1207" spans="3:3">
      <c r="C1207" s="468"/>
    </row>
    <row r="1208" spans="3:3">
      <c r="C1208" s="468"/>
    </row>
    <row r="1209" spans="3:3">
      <c r="C1209" s="468"/>
    </row>
    <row r="1210" spans="3:3">
      <c r="C1210" s="468"/>
    </row>
    <row r="1211" spans="3:3">
      <c r="C1211" s="468"/>
    </row>
    <row r="1212" spans="3:3">
      <c r="C1212" s="468"/>
    </row>
    <row r="1213" spans="3:3">
      <c r="C1213" s="468"/>
    </row>
    <row r="1214" spans="3:3">
      <c r="C1214" s="468"/>
    </row>
    <row r="1215" spans="3:3">
      <c r="C1215" s="468"/>
    </row>
    <row r="1216" spans="3:3">
      <c r="C1216" s="468"/>
    </row>
    <row r="1217" spans="3:3">
      <c r="C1217" s="468"/>
    </row>
    <row r="1218" spans="3:3">
      <c r="C1218" s="468"/>
    </row>
    <row r="1219" spans="3:3">
      <c r="C1219" s="468"/>
    </row>
    <row r="1220" spans="3:3">
      <c r="C1220" s="468"/>
    </row>
    <row r="1221" spans="3:3">
      <c r="C1221" s="468"/>
    </row>
    <row r="1222" spans="3:3">
      <c r="C1222" s="468"/>
    </row>
    <row r="1223" spans="3:3">
      <c r="C1223" s="468"/>
    </row>
    <row r="1224" spans="3:3">
      <c r="C1224" s="468"/>
    </row>
    <row r="1225" spans="3:3">
      <c r="C1225" s="468"/>
    </row>
    <row r="1226" spans="3:3">
      <c r="C1226" s="468"/>
    </row>
    <row r="1227" spans="3:3">
      <c r="C1227" s="468"/>
    </row>
    <row r="1228" spans="3:3">
      <c r="C1228" s="468"/>
    </row>
    <row r="1229" spans="3:3">
      <c r="C1229" s="468"/>
    </row>
    <row r="1230" spans="3:3">
      <c r="C1230" s="468"/>
    </row>
    <row r="1231" spans="3:3">
      <c r="C1231" s="468"/>
    </row>
    <row r="1232" spans="3:3">
      <c r="C1232" s="468"/>
    </row>
    <row r="1233" spans="3:3">
      <c r="C1233" s="468"/>
    </row>
    <row r="1234" spans="3:3">
      <c r="C1234" s="468"/>
    </row>
    <row r="1235" spans="3:3">
      <c r="C1235" s="468"/>
    </row>
    <row r="1236" spans="3:3">
      <c r="C1236" s="468"/>
    </row>
    <row r="1237" spans="3:3">
      <c r="C1237" s="468"/>
    </row>
    <row r="1238" spans="3:3">
      <c r="C1238" s="468"/>
    </row>
    <row r="1239" spans="3:3">
      <c r="C1239" s="468"/>
    </row>
    <row r="1240" spans="3:3">
      <c r="C1240" s="468"/>
    </row>
    <row r="1241" spans="3:3">
      <c r="C1241" s="468"/>
    </row>
    <row r="1242" spans="3:3">
      <c r="C1242" s="468"/>
    </row>
    <row r="1243" spans="3:3">
      <c r="C1243" s="468"/>
    </row>
    <row r="1244" spans="3:3">
      <c r="C1244" s="468"/>
    </row>
    <row r="1245" spans="3:3">
      <c r="C1245" s="468"/>
    </row>
    <row r="1246" spans="3:3">
      <c r="C1246" s="468"/>
    </row>
    <row r="1247" spans="3:3">
      <c r="C1247" s="468"/>
    </row>
    <row r="1248" spans="3:3">
      <c r="C1248" s="468"/>
    </row>
    <row r="1249" spans="3:3">
      <c r="C1249" s="468"/>
    </row>
    <row r="1250" spans="3:3">
      <c r="C1250" s="468"/>
    </row>
    <row r="1251" spans="3:3">
      <c r="C1251" s="468"/>
    </row>
    <row r="1252" spans="3:3">
      <c r="C1252" s="468"/>
    </row>
    <row r="1253" spans="3:3">
      <c r="C1253" s="468"/>
    </row>
    <row r="1254" spans="3:3">
      <c r="C1254" s="468"/>
    </row>
    <row r="1255" spans="3:3">
      <c r="C1255" s="468"/>
    </row>
    <row r="1256" spans="3:3">
      <c r="C1256" s="468"/>
    </row>
    <row r="1257" spans="3:3">
      <c r="C1257" s="468"/>
    </row>
    <row r="1258" spans="3:3">
      <c r="C1258" s="468"/>
    </row>
    <row r="1259" spans="3:3">
      <c r="C1259" s="468"/>
    </row>
    <row r="1260" spans="3:3">
      <c r="C1260" s="468"/>
    </row>
    <row r="1261" spans="3:3">
      <c r="C1261" s="468"/>
    </row>
    <row r="1262" spans="3:3">
      <c r="C1262" s="468"/>
    </row>
    <row r="1263" spans="3:3">
      <c r="C1263" s="468"/>
    </row>
    <row r="1264" spans="3:3">
      <c r="C1264" s="468"/>
    </row>
    <row r="1265" spans="3:3">
      <c r="C1265" s="468"/>
    </row>
    <row r="1266" spans="3:3">
      <c r="C1266" s="468"/>
    </row>
    <row r="1267" spans="3:3">
      <c r="C1267" s="468"/>
    </row>
    <row r="1268" spans="3:3">
      <c r="C1268" s="468"/>
    </row>
    <row r="1269" spans="3:3">
      <c r="C1269" s="468"/>
    </row>
    <row r="1270" spans="3:3">
      <c r="C1270" s="468"/>
    </row>
    <row r="1271" spans="3:3">
      <c r="C1271" s="468"/>
    </row>
    <row r="1272" spans="3:3">
      <c r="C1272" s="468"/>
    </row>
    <row r="1273" spans="3:3">
      <c r="C1273" s="468"/>
    </row>
    <row r="1274" spans="3:3">
      <c r="C1274" s="468"/>
    </row>
    <row r="1275" spans="3:3">
      <c r="C1275" s="468"/>
    </row>
    <row r="1276" spans="3:3">
      <c r="C1276" s="468"/>
    </row>
    <row r="1277" spans="3:3">
      <c r="C1277" s="468"/>
    </row>
    <row r="1278" spans="3:3">
      <c r="C1278" s="468"/>
    </row>
    <row r="1279" spans="3:3">
      <c r="C1279" s="468"/>
    </row>
    <row r="1280" spans="3:3">
      <c r="C1280" s="468"/>
    </row>
    <row r="1281" spans="3:3">
      <c r="C1281" s="468"/>
    </row>
    <row r="1282" spans="3:3">
      <c r="C1282" s="468"/>
    </row>
    <row r="1283" spans="3:3">
      <c r="C1283" s="468"/>
    </row>
    <row r="1284" spans="3:3">
      <c r="C1284" s="468"/>
    </row>
    <row r="1285" spans="3:3">
      <c r="C1285" s="468"/>
    </row>
    <row r="1286" spans="3:3">
      <c r="C1286" s="468"/>
    </row>
    <row r="1287" spans="3:3">
      <c r="C1287" s="468"/>
    </row>
    <row r="1288" spans="3:3">
      <c r="C1288" s="468"/>
    </row>
    <row r="1289" spans="3:3">
      <c r="C1289" s="468"/>
    </row>
    <row r="1290" spans="3:3">
      <c r="C1290" s="468"/>
    </row>
    <row r="1291" spans="3:3">
      <c r="C1291" s="468"/>
    </row>
    <row r="1292" spans="3:3">
      <c r="C1292" s="468"/>
    </row>
    <row r="1293" spans="3:3">
      <c r="C1293" s="468"/>
    </row>
    <row r="1294" spans="3:3">
      <c r="C1294" s="468"/>
    </row>
    <row r="1295" spans="3:3">
      <c r="C1295" s="468"/>
    </row>
    <row r="1296" spans="3:3">
      <c r="C1296" s="468"/>
    </row>
    <row r="1297" spans="3:3">
      <c r="C1297" s="468"/>
    </row>
    <row r="1298" spans="3:3">
      <c r="C1298" s="468"/>
    </row>
    <row r="1299" spans="3:3">
      <c r="C1299" s="468"/>
    </row>
    <row r="1300" spans="3:3">
      <c r="C1300" s="468"/>
    </row>
    <row r="1301" spans="3:3">
      <c r="C1301" s="468"/>
    </row>
    <row r="1302" spans="3:3">
      <c r="C1302" s="468"/>
    </row>
    <row r="1303" spans="3:3">
      <c r="C1303" s="468"/>
    </row>
    <row r="1304" spans="3:3">
      <c r="C1304" s="468"/>
    </row>
    <row r="1305" spans="3:3">
      <c r="C1305" s="468"/>
    </row>
    <row r="1306" spans="3:3">
      <c r="C1306" s="468"/>
    </row>
    <row r="1307" spans="3:3">
      <c r="C1307" s="468"/>
    </row>
    <row r="1308" spans="3:3">
      <c r="C1308" s="468"/>
    </row>
    <row r="1309" spans="3:3">
      <c r="C1309" s="468"/>
    </row>
    <row r="1310" spans="3:3">
      <c r="C1310" s="468"/>
    </row>
    <row r="1311" spans="3:3">
      <c r="C1311" s="468"/>
    </row>
    <row r="1312" spans="3:3">
      <c r="C1312" s="468"/>
    </row>
    <row r="1313" spans="3:3">
      <c r="C1313" s="468"/>
    </row>
    <row r="1314" spans="3:3">
      <c r="C1314" s="468"/>
    </row>
    <row r="1315" spans="3:3">
      <c r="C1315" s="468"/>
    </row>
    <row r="1316" spans="3:3">
      <c r="C1316" s="468"/>
    </row>
    <row r="1317" spans="3:3">
      <c r="C1317" s="468"/>
    </row>
    <row r="1318" spans="3:3">
      <c r="C1318" s="468"/>
    </row>
    <row r="1319" spans="3:3">
      <c r="C1319" s="468"/>
    </row>
    <row r="1320" spans="3:3">
      <c r="C1320" s="468"/>
    </row>
    <row r="1321" spans="3:3">
      <c r="C1321" s="468"/>
    </row>
    <row r="1322" spans="3:3">
      <c r="C1322" s="468"/>
    </row>
    <row r="1323" spans="3:3">
      <c r="C1323" s="468"/>
    </row>
    <row r="1324" spans="3:3">
      <c r="C1324" s="468"/>
    </row>
    <row r="1325" spans="3:3">
      <c r="C1325" s="468"/>
    </row>
    <row r="1326" spans="3:3">
      <c r="C1326" s="468"/>
    </row>
    <row r="1327" spans="3:3">
      <c r="C1327" s="468"/>
    </row>
    <row r="1328" spans="3:3">
      <c r="C1328" s="468"/>
    </row>
    <row r="1329" spans="3:3">
      <c r="C1329" s="468"/>
    </row>
    <row r="1330" spans="3:3">
      <c r="C1330" s="468"/>
    </row>
    <row r="1331" spans="3:3">
      <c r="C1331" s="468"/>
    </row>
    <row r="1332" spans="3:3">
      <c r="C1332" s="468"/>
    </row>
    <row r="1333" spans="3:3">
      <c r="C1333" s="468"/>
    </row>
    <row r="1334" spans="3:3">
      <c r="C1334" s="468"/>
    </row>
    <row r="1335" spans="3:3">
      <c r="C1335" s="468"/>
    </row>
    <row r="1336" spans="3:3">
      <c r="C1336" s="468"/>
    </row>
    <row r="1337" spans="3:3">
      <c r="C1337" s="468"/>
    </row>
    <row r="1338" spans="3:3">
      <c r="C1338" s="468"/>
    </row>
    <row r="1339" spans="3:3">
      <c r="C1339" s="468"/>
    </row>
    <row r="1340" spans="3:3">
      <c r="C1340" s="468"/>
    </row>
    <row r="1341" spans="3:3">
      <c r="C1341" s="468"/>
    </row>
    <row r="1342" spans="3:3">
      <c r="C1342" s="468"/>
    </row>
    <row r="1343" spans="3:3">
      <c r="C1343" s="468"/>
    </row>
    <row r="1344" spans="3:3">
      <c r="C1344" s="468"/>
    </row>
    <row r="1345" spans="3:3">
      <c r="C1345" s="468"/>
    </row>
    <row r="1346" spans="3:3">
      <c r="C1346" s="468"/>
    </row>
    <row r="1347" spans="3:3">
      <c r="C1347" s="468"/>
    </row>
    <row r="1348" spans="3:3">
      <c r="C1348" s="468"/>
    </row>
    <row r="1349" spans="3:3">
      <c r="C1349" s="468"/>
    </row>
    <row r="1350" spans="3:3">
      <c r="C1350" s="468"/>
    </row>
    <row r="1351" spans="3:3">
      <c r="C1351" s="468"/>
    </row>
    <row r="1352" spans="3:3">
      <c r="C1352" s="468"/>
    </row>
    <row r="1353" spans="3:3">
      <c r="C1353" s="468"/>
    </row>
    <row r="1354" spans="3:3">
      <c r="C1354" s="468"/>
    </row>
    <row r="1355" spans="3:3">
      <c r="C1355" s="468"/>
    </row>
    <row r="1356" spans="3:3">
      <c r="C1356" s="468"/>
    </row>
    <row r="1357" spans="3:3">
      <c r="C1357" s="468"/>
    </row>
    <row r="1358" spans="3:3">
      <c r="C1358" s="468"/>
    </row>
    <row r="1359" spans="3:3">
      <c r="C1359" s="468"/>
    </row>
    <row r="1360" spans="3:3">
      <c r="C1360" s="468"/>
    </row>
    <row r="1361" spans="3:3">
      <c r="C1361" s="468"/>
    </row>
    <row r="1362" spans="3:3">
      <c r="C1362" s="468"/>
    </row>
    <row r="1363" spans="3:3">
      <c r="C1363" s="468"/>
    </row>
    <row r="1364" spans="3:3">
      <c r="C1364" s="468"/>
    </row>
    <row r="1365" spans="3:3">
      <c r="C1365" s="468"/>
    </row>
    <row r="1366" spans="3:3">
      <c r="C1366" s="468"/>
    </row>
    <row r="1367" spans="3:3">
      <c r="C1367" s="468"/>
    </row>
    <row r="1368" spans="3:3">
      <c r="C1368" s="468"/>
    </row>
    <row r="1369" spans="3:3">
      <c r="C1369" s="468"/>
    </row>
    <row r="1370" spans="3:3">
      <c r="C1370" s="468"/>
    </row>
    <row r="1371" spans="3:3">
      <c r="C1371" s="468"/>
    </row>
    <row r="1372" spans="3:3">
      <c r="C1372" s="468"/>
    </row>
    <row r="1373" spans="3:3">
      <c r="C1373" s="468"/>
    </row>
    <row r="1374" spans="3:3">
      <c r="C1374" s="468"/>
    </row>
    <row r="1375" spans="3:3">
      <c r="C1375" s="468"/>
    </row>
    <row r="1376" spans="3:3">
      <c r="C1376" s="468"/>
    </row>
    <row r="1377" spans="3:3">
      <c r="C1377" s="468"/>
    </row>
    <row r="1378" spans="3:3">
      <c r="C1378" s="468"/>
    </row>
    <row r="1379" spans="3:3">
      <c r="C1379" s="468"/>
    </row>
    <row r="1380" spans="3:3">
      <c r="C1380" s="468"/>
    </row>
    <row r="1381" spans="3:3">
      <c r="C1381" s="468"/>
    </row>
    <row r="1382" spans="3:3">
      <c r="C1382" s="468"/>
    </row>
    <row r="1383" spans="3:3">
      <c r="C1383" s="468"/>
    </row>
    <row r="1384" spans="3:3">
      <c r="C1384" s="468"/>
    </row>
    <row r="1385" spans="3:3">
      <c r="C1385" s="468"/>
    </row>
    <row r="1386" spans="3:3">
      <c r="C1386" s="468"/>
    </row>
    <row r="1387" spans="3:3">
      <c r="C1387" s="468"/>
    </row>
    <row r="1388" spans="3:3">
      <c r="C1388" s="468"/>
    </row>
    <row r="1389" spans="3:3">
      <c r="C1389" s="468"/>
    </row>
    <row r="1390" spans="3:3">
      <c r="C1390" s="468"/>
    </row>
    <row r="1391" spans="3:3">
      <c r="C1391" s="468"/>
    </row>
    <row r="1392" spans="3:3">
      <c r="C1392" s="468"/>
    </row>
    <row r="1393" spans="3:3">
      <c r="C1393" s="468"/>
    </row>
    <row r="1394" spans="3:3">
      <c r="C1394" s="468"/>
    </row>
    <row r="1395" spans="3:3">
      <c r="C1395" s="468"/>
    </row>
    <row r="1396" spans="3:3">
      <c r="C1396" s="468"/>
    </row>
    <row r="1397" spans="3:3">
      <c r="C1397" s="468"/>
    </row>
    <row r="1398" spans="3:3">
      <c r="C1398" s="468"/>
    </row>
    <row r="1399" spans="3:3">
      <c r="C1399" s="468"/>
    </row>
    <row r="1400" spans="3:3">
      <c r="C1400" s="468"/>
    </row>
    <row r="1401" spans="3:3">
      <c r="C1401" s="468"/>
    </row>
    <row r="1402" spans="3:3">
      <c r="C1402" s="468"/>
    </row>
    <row r="1403" spans="3:3">
      <c r="C1403" s="468"/>
    </row>
    <row r="1404" spans="3:3">
      <c r="C1404" s="468"/>
    </row>
    <row r="1405" spans="3:3">
      <c r="C1405" s="468"/>
    </row>
    <row r="1406" spans="3:3">
      <c r="C1406" s="468"/>
    </row>
    <row r="1407" spans="3:3">
      <c r="C1407" s="468"/>
    </row>
    <row r="1408" spans="3:3">
      <c r="C1408" s="468"/>
    </row>
    <row r="1409" spans="3:3">
      <c r="C1409" s="468"/>
    </row>
    <row r="1410" spans="3:3">
      <c r="C1410" s="468"/>
    </row>
    <row r="1411" spans="3:3">
      <c r="C1411" s="468"/>
    </row>
    <row r="1412" spans="3:3">
      <c r="C1412" s="468"/>
    </row>
    <row r="1413" spans="3:3">
      <c r="C1413" s="468"/>
    </row>
    <row r="1414" spans="3:3">
      <c r="C1414" s="468"/>
    </row>
    <row r="1415" spans="3:3">
      <c r="C1415" s="468"/>
    </row>
    <row r="1416" spans="3:3">
      <c r="C1416" s="468"/>
    </row>
    <row r="1417" spans="3:3">
      <c r="C1417" s="468"/>
    </row>
    <row r="1418" spans="3:3">
      <c r="C1418" s="468"/>
    </row>
    <row r="1419" spans="3:3">
      <c r="C1419" s="468"/>
    </row>
    <row r="1420" spans="3:3">
      <c r="C1420" s="468"/>
    </row>
    <row r="1421" spans="3:3">
      <c r="C1421" s="468"/>
    </row>
    <row r="1422" spans="3:3">
      <c r="C1422" s="468"/>
    </row>
    <row r="1423" spans="3:3">
      <c r="C1423" s="468"/>
    </row>
    <row r="1424" spans="3:3">
      <c r="C1424" s="468"/>
    </row>
    <row r="1425" spans="3:3">
      <c r="C1425" s="468"/>
    </row>
    <row r="1426" spans="3:3">
      <c r="C1426" s="468"/>
    </row>
    <row r="1427" spans="3:3">
      <c r="C1427" s="468"/>
    </row>
    <row r="1428" spans="3:3">
      <c r="C1428" s="468"/>
    </row>
    <row r="1429" spans="3:3">
      <c r="C1429" s="468"/>
    </row>
    <row r="1430" spans="3:3">
      <c r="C1430" s="468"/>
    </row>
    <row r="1431" spans="3:3">
      <c r="C1431" s="468"/>
    </row>
    <row r="1432" spans="3:3">
      <c r="C1432" s="468"/>
    </row>
    <row r="1433" spans="3:3">
      <c r="C1433" s="468"/>
    </row>
    <row r="1434" spans="3:3">
      <c r="C1434" s="468"/>
    </row>
    <row r="1435" spans="3:3">
      <c r="C1435" s="468"/>
    </row>
    <row r="1436" spans="3:3">
      <c r="C1436" s="468"/>
    </row>
    <row r="1437" spans="3:3">
      <c r="C1437" s="468"/>
    </row>
    <row r="1438" spans="3:3">
      <c r="C1438" s="468"/>
    </row>
    <row r="1439" spans="3:3">
      <c r="C1439" s="468"/>
    </row>
    <row r="1440" spans="3:3">
      <c r="C1440" s="468"/>
    </row>
    <row r="1441" spans="3:3">
      <c r="C1441" s="468"/>
    </row>
    <row r="1442" spans="3:3">
      <c r="C1442" s="468"/>
    </row>
    <row r="1443" spans="3:3">
      <c r="C1443" s="468"/>
    </row>
    <row r="1444" spans="3:3">
      <c r="C1444" s="468"/>
    </row>
    <row r="1445" spans="3:3">
      <c r="C1445" s="468"/>
    </row>
    <row r="1446" spans="3:3">
      <c r="C1446" s="468"/>
    </row>
    <row r="1447" spans="3:3">
      <c r="C1447" s="468"/>
    </row>
    <row r="1448" spans="3:3">
      <c r="C1448" s="468"/>
    </row>
    <row r="1449" spans="3:3">
      <c r="C1449" s="468"/>
    </row>
    <row r="1450" spans="3:3">
      <c r="C1450" s="468"/>
    </row>
    <row r="1451" spans="3:3">
      <c r="C1451" s="468"/>
    </row>
    <row r="1452" spans="3:3">
      <c r="C1452" s="468"/>
    </row>
    <row r="1453" spans="3:3">
      <c r="C1453" s="468"/>
    </row>
    <row r="1454" spans="3:3">
      <c r="C1454" s="468"/>
    </row>
    <row r="1455" spans="3:3">
      <c r="C1455" s="468"/>
    </row>
    <row r="1456" spans="3:3">
      <c r="C1456" s="468"/>
    </row>
    <row r="1457" spans="3:3">
      <c r="C1457" s="468"/>
    </row>
    <row r="1458" spans="3:3">
      <c r="C1458" s="468"/>
    </row>
    <row r="1459" spans="3:3">
      <c r="C1459" s="468"/>
    </row>
    <row r="1460" spans="3:3">
      <c r="C1460" s="468"/>
    </row>
    <row r="1461" spans="3:3">
      <c r="C1461" s="468"/>
    </row>
    <row r="1462" spans="3:3">
      <c r="C1462" s="468"/>
    </row>
    <row r="1463" spans="3:3">
      <c r="C1463" s="468"/>
    </row>
    <row r="1464" spans="3:3">
      <c r="C1464" s="468"/>
    </row>
    <row r="1465" spans="3:3">
      <c r="C1465" s="468"/>
    </row>
    <row r="1466" spans="3:3">
      <c r="C1466" s="468"/>
    </row>
    <row r="1467" spans="3:3">
      <c r="C1467" s="468"/>
    </row>
    <row r="1468" spans="3:3">
      <c r="C1468" s="468"/>
    </row>
    <row r="1469" spans="3:3">
      <c r="C1469" s="468"/>
    </row>
    <row r="1470" spans="3:3">
      <c r="C1470" s="468"/>
    </row>
    <row r="1471" spans="3:3">
      <c r="C1471" s="468"/>
    </row>
    <row r="1472" spans="3:3">
      <c r="C1472" s="468"/>
    </row>
    <row r="1473" spans="3:3">
      <c r="C1473" s="468"/>
    </row>
    <row r="1474" spans="3:3">
      <c r="C1474" s="468"/>
    </row>
    <row r="1475" spans="3:3">
      <c r="C1475" s="468"/>
    </row>
    <row r="1476" spans="3:3">
      <c r="C1476" s="468"/>
    </row>
    <row r="1477" spans="3:3">
      <c r="C1477" s="468"/>
    </row>
    <row r="1478" spans="3:3">
      <c r="C1478" s="468"/>
    </row>
    <row r="1479" spans="3:3">
      <c r="C1479" s="468"/>
    </row>
    <row r="1480" spans="3:3">
      <c r="C1480" s="468"/>
    </row>
    <row r="1481" spans="3:3">
      <c r="C1481" s="468"/>
    </row>
    <row r="1482" spans="3:3">
      <c r="C1482" s="468"/>
    </row>
    <row r="1483" spans="3:3">
      <c r="C1483" s="468"/>
    </row>
    <row r="1484" spans="3:3">
      <c r="C1484" s="468"/>
    </row>
    <row r="1485" spans="3:3">
      <c r="C1485" s="468"/>
    </row>
    <row r="1486" spans="3:3">
      <c r="C1486" s="468"/>
    </row>
    <row r="1487" spans="3:3">
      <c r="C1487" s="468"/>
    </row>
    <row r="1488" spans="3:3">
      <c r="C1488" s="468"/>
    </row>
    <row r="1489" spans="3:3">
      <c r="C1489" s="468"/>
    </row>
    <row r="1490" spans="3:3">
      <c r="C1490" s="468"/>
    </row>
    <row r="1491" spans="3:3">
      <c r="C1491" s="468"/>
    </row>
    <row r="1492" spans="3:3">
      <c r="C1492" s="468"/>
    </row>
    <row r="1493" spans="3:3">
      <c r="C1493" s="468"/>
    </row>
    <row r="1494" spans="3:3">
      <c r="C1494" s="468"/>
    </row>
    <row r="1495" spans="3:3">
      <c r="C1495" s="468"/>
    </row>
    <row r="1496" spans="3:3">
      <c r="C1496" s="468"/>
    </row>
    <row r="1497" spans="3:3">
      <c r="C1497" s="468"/>
    </row>
    <row r="1498" spans="3:3">
      <c r="C1498" s="468"/>
    </row>
    <row r="1499" spans="3:3">
      <c r="C1499" s="468"/>
    </row>
    <row r="1500" spans="3:3">
      <c r="C1500" s="468"/>
    </row>
    <row r="1501" spans="3:3">
      <c r="C1501" s="468"/>
    </row>
    <row r="1502" spans="3:3">
      <c r="C1502" s="468"/>
    </row>
    <row r="1503" spans="3:3">
      <c r="C1503" s="468"/>
    </row>
    <row r="1504" spans="3:3">
      <c r="C1504" s="468"/>
    </row>
    <row r="1505" spans="3:3">
      <c r="C1505" s="468"/>
    </row>
    <row r="1506" spans="3:3">
      <c r="C1506" s="468"/>
    </row>
    <row r="1507" spans="3:3">
      <c r="C1507" s="468"/>
    </row>
    <row r="1508" spans="3:3">
      <c r="C1508" s="468"/>
    </row>
    <row r="1509" spans="3:3">
      <c r="C1509" s="468"/>
    </row>
    <row r="1510" spans="3:3">
      <c r="C1510" s="468"/>
    </row>
    <row r="1511" spans="3:3">
      <c r="C1511" s="468"/>
    </row>
    <row r="1512" spans="3:3">
      <c r="C1512" s="468"/>
    </row>
    <row r="1513" spans="3:3">
      <c r="C1513" s="468"/>
    </row>
    <row r="1514" spans="3:3">
      <c r="C1514" s="468"/>
    </row>
    <row r="1515" spans="3:3">
      <c r="C1515" s="468"/>
    </row>
    <row r="1516" spans="3:3">
      <c r="C1516" s="468"/>
    </row>
    <row r="1517" spans="3:3">
      <c r="C1517" s="468"/>
    </row>
    <row r="1518" spans="3:3">
      <c r="C1518" s="468"/>
    </row>
    <row r="1519" spans="3:3">
      <c r="C1519" s="468"/>
    </row>
    <row r="1520" spans="3:3">
      <c r="C1520" s="468"/>
    </row>
    <row r="1521" spans="3:3">
      <c r="C1521" s="468"/>
    </row>
    <row r="1522" spans="3:3">
      <c r="C1522" s="468"/>
    </row>
    <row r="1523" spans="3:3">
      <c r="C1523" s="468"/>
    </row>
    <row r="1524" spans="3:3">
      <c r="C1524" s="468"/>
    </row>
    <row r="1525" spans="3:3">
      <c r="C1525" s="468"/>
    </row>
    <row r="1526" spans="3:3">
      <c r="C1526" s="468"/>
    </row>
    <row r="1527" spans="3:3">
      <c r="C1527" s="468"/>
    </row>
    <row r="1528" spans="3:3">
      <c r="C1528" s="468"/>
    </row>
    <row r="1529" spans="3:3">
      <c r="C1529" s="468"/>
    </row>
    <row r="1530" spans="3:3">
      <c r="C1530" s="468"/>
    </row>
    <row r="1531" spans="3:3">
      <c r="C1531" s="468"/>
    </row>
    <row r="1532" spans="3:3">
      <c r="C1532" s="468"/>
    </row>
    <row r="1533" spans="3:3">
      <c r="C1533" s="468"/>
    </row>
    <row r="1534" spans="3:3">
      <c r="C1534" s="468"/>
    </row>
    <row r="1535" spans="3:3">
      <c r="C1535" s="468"/>
    </row>
    <row r="1536" spans="3:3">
      <c r="C1536" s="468"/>
    </row>
    <row r="1537" spans="3:3">
      <c r="C1537" s="468"/>
    </row>
    <row r="1538" spans="3:3">
      <c r="C1538" s="468"/>
    </row>
    <row r="1539" spans="3:3">
      <c r="C1539" s="468"/>
    </row>
    <row r="1540" spans="3:3">
      <c r="C1540" s="468"/>
    </row>
    <row r="1541" spans="3:3">
      <c r="C1541" s="468"/>
    </row>
    <row r="1542" spans="3:3">
      <c r="C1542" s="468"/>
    </row>
    <row r="1543" spans="3:3">
      <c r="C1543" s="468"/>
    </row>
    <row r="1544" spans="3:3">
      <c r="C1544" s="468"/>
    </row>
    <row r="1545" spans="3:3">
      <c r="C1545" s="468"/>
    </row>
    <row r="1546" spans="3:3">
      <c r="C1546" s="468"/>
    </row>
    <row r="1547" spans="3:3">
      <c r="C1547" s="468"/>
    </row>
    <row r="1548" spans="3:3">
      <c r="C1548" s="468"/>
    </row>
    <row r="1549" spans="3:3">
      <c r="C1549" s="468"/>
    </row>
    <row r="1550" spans="3:3">
      <c r="C1550" s="468"/>
    </row>
    <row r="1551" spans="3:3">
      <c r="C1551" s="468"/>
    </row>
    <row r="1552" spans="3:3">
      <c r="C1552" s="468"/>
    </row>
    <row r="1553" spans="3:3">
      <c r="C1553" s="468"/>
    </row>
    <row r="1554" spans="3:3">
      <c r="C1554" s="468"/>
    </row>
    <row r="1555" spans="3:3">
      <c r="C1555" s="468"/>
    </row>
    <row r="1556" spans="3:3">
      <c r="C1556" s="468"/>
    </row>
    <row r="1557" spans="3:3">
      <c r="C1557" s="468"/>
    </row>
    <row r="1558" spans="3:3">
      <c r="C1558" s="468"/>
    </row>
    <row r="1559" spans="3:3">
      <c r="C1559" s="468"/>
    </row>
    <row r="1560" spans="3:3">
      <c r="C1560" s="468"/>
    </row>
    <row r="1561" spans="3:3">
      <c r="C1561" s="468"/>
    </row>
    <row r="1562" spans="3:3">
      <c r="C1562" s="468"/>
    </row>
    <row r="1563" spans="3:3">
      <c r="C1563" s="468"/>
    </row>
    <row r="1564" spans="3:3">
      <c r="C1564" s="468"/>
    </row>
    <row r="1565" spans="3:3">
      <c r="C1565" s="468"/>
    </row>
    <row r="1566" spans="3:3">
      <c r="C1566" s="468"/>
    </row>
    <row r="1567" spans="3:3">
      <c r="C1567" s="468"/>
    </row>
    <row r="1568" spans="3:3">
      <c r="C1568" s="468"/>
    </row>
    <row r="1569" spans="3:3">
      <c r="C1569" s="468"/>
    </row>
    <row r="1570" spans="3:3">
      <c r="C1570" s="468"/>
    </row>
    <row r="1571" spans="3:3">
      <c r="C1571" s="468"/>
    </row>
    <row r="1572" spans="3:3">
      <c r="C1572" s="468"/>
    </row>
    <row r="1573" spans="3:3">
      <c r="C1573" s="468"/>
    </row>
    <row r="1574" spans="3:3">
      <c r="C1574" s="468"/>
    </row>
    <row r="1575" spans="3:3">
      <c r="C1575" s="468"/>
    </row>
    <row r="1576" spans="3:3">
      <c r="C1576" s="468"/>
    </row>
    <row r="1577" spans="3:3">
      <c r="C1577" s="468"/>
    </row>
    <row r="1578" spans="3:3">
      <c r="C1578" s="468"/>
    </row>
    <row r="1579" spans="3:3">
      <c r="C1579" s="468"/>
    </row>
    <row r="1580" spans="3:3">
      <c r="C1580" s="468"/>
    </row>
    <row r="1581" spans="3:3">
      <c r="C1581" s="468"/>
    </row>
    <row r="1582" spans="3:3">
      <c r="C1582" s="468"/>
    </row>
    <row r="1583" spans="3:3">
      <c r="C1583" s="468"/>
    </row>
    <row r="1584" spans="3:3">
      <c r="C1584" s="468"/>
    </row>
    <row r="1585" spans="3:3">
      <c r="C1585" s="468"/>
    </row>
    <row r="1586" spans="3:3">
      <c r="C1586" s="468"/>
    </row>
    <row r="1587" spans="3:3">
      <c r="C1587" s="468"/>
    </row>
    <row r="1588" spans="3:3">
      <c r="C1588" s="468"/>
    </row>
    <row r="1589" spans="3:3">
      <c r="C1589" s="468"/>
    </row>
    <row r="1590" spans="3:3">
      <c r="C1590" s="468"/>
    </row>
    <row r="1591" spans="3:3">
      <c r="C1591" s="468"/>
    </row>
    <row r="1592" spans="3:3">
      <c r="C1592" s="468"/>
    </row>
    <row r="1593" spans="3:3">
      <c r="C1593" s="468"/>
    </row>
    <row r="1594" spans="3:3">
      <c r="C1594" s="468"/>
    </row>
    <row r="1595" spans="3:3">
      <c r="C1595" s="468"/>
    </row>
    <row r="1596" spans="3:3">
      <c r="C1596" s="468"/>
    </row>
    <row r="1597" spans="3:3">
      <c r="C1597" s="468"/>
    </row>
    <row r="1598" spans="3:3">
      <c r="C1598" s="468"/>
    </row>
    <row r="1599" spans="3:3">
      <c r="C1599" s="468"/>
    </row>
    <row r="1600" spans="3:3">
      <c r="C1600" s="468"/>
    </row>
    <row r="1601" spans="3:3">
      <c r="C1601" s="468"/>
    </row>
    <row r="1602" spans="3:3">
      <c r="C1602" s="468"/>
    </row>
    <row r="1603" spans="3:3">
      <c r="C1603" s="468"/>
    </row>
    <row r="1604" spans="3:3">
      <c r="C1604" s="468"/>
    </row>
    <row r="1605" spans="3:3">
      <c r="C1605" s="468"/>
    </row>
    <row r="1606" spans="3:3">
      <c r="C1606" s="468"/>
    </row>
    <row r="1607" spans="3:3">
      <c r="C1607" s="468"/>
    </row>
    <row r="1608" spans="3:3">
      <c r="C1608" s="468"/>
    </row>
    <row r="1609" spans="3:3">
      <c r="C1609" s="468"/>
    </row>
    <row r="1610" spans="3:3">
      <c r="C1610" s="468"/>
    </row>
    <row r="1611" spans="3:3">
      <c r="C1611" s="468"/>
    </row>
    <row r="1612" spans="3:3">
      <c r="C1612" s="468"/>
    </row>
    <row r="1613" spans="3:3">
      <c r="C1613" s="468"/>
    </row>
    <row r="1614" spans="3:3">
      <c r="C1614" s="468"/>
    </row>
    <row r="1615" spans="3:3">
      <c r="C1615" s="468"/>
    </row>
    <row r="1616" spans="3:3">
      <c r="C1616" s="468"/>
    </row>
    <row r="1617" spans="3:3">
      <c r="C1617" s="468"/>
    </row>
    <row r="1618" spans="3:3">
      <c r="C1618" s="468"/>
    </row>
    <row r="1619" spans="3:3">
      <c r="C1619" s="468"/>
    </row>
    <row r="1620" spans="3:3">
      <c r="C1620" s="468"/>
    </row>
    <row r="1621" spans="3:3">
      <c r="C1621" s="468"/>
    </row>
    <row r="1622" spans="3:3">
      <c r="C1622" s="468"/>
    </row>
    <row r="1623" spans="3:3">
      <c r="C1623" s="468"/>
    </row>
    <row r="1624" spans="3:3">
      <c r="C1624" s="468"/>
    </row>
    <row r="1625" spans="3:3">
      <c r="C1625" s="468"/>
    </row>
    <row r="1626" spans="3:3">
      <c r="C1626" s="468"/>
    </row>
    <row r="1627" spans="3:3">
      <c r="C1627" s="468"/>
    </row>
    <row r="1628" spans="3:3">
      <c r="C1628" s="468"/>
    </row>
    <row r="1629" spans="3:3">
      <c r="C1629" s="468"/>
    </row>
    <row r="1630" spans="3:3">
      <c r="C1630" s="468"/>
    </row>
    <row r="1631" spans="3:3">
      <c r="C1631" s="468"/>
    </row>
    <row r="1632" spans="3:3">
      <c r="C1632" s="468"/>
    </row>
    <row r="1633" spans="3:3">
      <c r="C1633" s="468"/>
    </row>
    <row r="1634" spans="3:3">
      <c r="C1634" s="468"/>
    </row>
    <row r="1635" spans="3:3">
      <c r="C1635" s="468"/>
    </row>
    <row r="1636" spans="3:3">
      <c r="C1636" s="468"/>
    </row>
    <row r="1637" spans="3:3">
      <c r="C1637" s="468"/>
    </row>
    <row r="1638" spans="3:3">
      <c r="C1638" s="468"/>
    </row>
    <row r="1639" spans="3:3">
      <c r="C1639" s="468"/>
    </row>
    <row r="1640" spans="3:3">
      <c r="C1640" s="468"/>
    </row>
    <row r="1641" spans="3:3">
      <c r="C1641" s="468"/>
    </row>
    <row r="1642" spans="3:3">
      <c r="C1642" s="468"/>
    </row>
    <row r="1643" spans="3:3">
      <c r="C1643" s="468"/>
    </row>
    <row r="1644" spans="3:3">
      <c r="C1644" s="468"/>
    </row>
    <row r="1645" spans="3:3">
      <c r="C1645" s="468"/>
    </row>
    <row r="1646" spans="3:3">
      <c r="C1646" s="468"/>
    </row>
    <row r="1647" spans="3:3">
      <c r="C1647" s="468"/>
    </row>
    <row r="1648" spans="3:3">
      <c r="C1648" s="468"/>
    </row>
    <row r="1649" spans="3:3">
      <c r="C1649" s="468"/>
    </row>
    <row r="1650" spans="3:3">
      <c r="C1650" s="468"/>
    </row>
    <row r="1651" spans="3:3">
      <c r="C1651" s="468"/>
    </row>
    <row r="1652" spans="3:3">
      <c r="C1652" s="468"/>
    </row>
    <row r="1653" spans="3:3">
      <c r="C1653" s="468"/>
    </row>
    <row r="1654" spans="3:3">
      <c r="C1654" s="468"/>
    </row>
    <row r="1655" spans="3:3">
      <c r="C1655" s="468"/>
    </row>
    <row r="1656" spans="3:3">
      <c r="C1656" s="468"/>
    </row>
    <row r="1657" spans="3:3">
      <c r="C1657" s="468"/>
    </row>
    <row r="1658" spans="3:3">
      <c r="C1658" s="468"/>
    </row>
    <row r="1659" spans="3:3">
      <c r="C1659" s="468"/>
    </row>
    <row r="1660" spans="3:3">
      <c r="C1660" s="468"/>
    </row>
    <row r="1661" spans="3:3">
      <c r="C1661" s="468"/>
    </row>
    <row r="1662" spans="3:3">
      <c r="C1662" s="468"/>
    </row>
    <row r="1663" spans="3:3">
      <c r="C1663" s="468"/>
    </row>
    <row r="1664" spans="3:3">
      <c r="C1664" s="468"/>
    </row>
    <row r="1665" spans="3:3">
      <c r="C1665" s="468"/>
    </row>
    <row r="1666" spans="3:3">
      <c r="C1666" s="468"/>
    </row>
    <row r="1667" spans="3:3">
      <c r="C1667" s="468"/>
    </row>
    <row r="1668" spans="3:3">
      <c r="C1668" s="468"/>
    </row>
    <row r="1669" spans="3:3">
      <c r="C1669" s="468"/>
    </row>
    <row r="1670" spans="3:3">
      <c r="C1670" s="468"/>
    </row>
    <row r="1671" spans="3:3">
      <c r="C1671" s="468"/>
    </row>
    <row r="1672" spans="3:3">
      <c r="C1672" s="468"/>
    </row>
    <row r="1673" spans="3:3">
      <c r="C1673" s="468"/>
    </row>
    <row r="1674" spans="3:3">
      <c r="C1674" s="468"/>
    </row>
    <row r="1675" spans="3:3">
      <c r="C1675" s="468"/>
    </row>
    <row r="1676" spans="3:3">
      <c r="C1676" s="468"/>
    </row>
    <row r="1677" spans="3:3">
      <c r="C1677" s="468"/>
    </row>
    <row r="1678" spans="3:3">
      <c r="C1678" s="468"/>
    </row>
    <row r="1679" spans="3:3">
      <c r="C1679" s="468"/>
    </row>
    <row r="1680" spans="3:3">
      <c r="C1680" s="468"/>
    </row>
    <row r="1681" spans="3:3">
      <c r="C1681" s="468"/>
    </row>
    <row r="1682" spans="3:3">
      <c r="C1682" s="468"/>
    </row>
    <row r="1683" spans="3:3">
      <c r="C1683" s="468"/>
    </row>
    <row r="1684" spans="3:3">
      <c r="C1684" s="468"/>
    </row>
    <row r="1685" spans="3:3">
      <c r="C1685" s="468"/>
    </row>
    <row r="1686" spans="3:3">
      <c r="C1686" s="468"/>
    </row>
    <row r="1687" spans="3:3">
      <c r="C1687" s="468"/>
    </row>
    <row r="1688" spans="3:3">
      <c r="C1688" s="468"/>
    </row>
    <row r="1689" spans="3:3">
      <c r="C1689" s="468"/>
    </row>
    <row r="1690" spans="3:3">
      <c r="C1690" s="468"/>
    </row>
    <row r="1691" spans="3:3">
      <c r="C1691" s="468"/>
    </row>
    <row r="1692" spans="3:3">
      <c r="C1692" s="468"/>
    </row>
    <row r="1693" spans="3:3">
      <c r="C1693" s="468"/>
    </row>
    <row r="1694" spans="3:3">
      <c r="C1694" s="468"/>
    </row>
    <row r="1695" spans="3:3">
      <c r="C1695" s="468"/>
    </row>
    <row r="1696" spans="3:3">
      <c r="C1696" s="468"/>
    </row>
    <row r="1697" spans="3:3">
      <c r="C1697" s="468"/>
    </row>
    <row r="1698" spans="3:3">
      <c r="C1698" s="468"/>
    </row>
    <row r="1699" spans="3:3">
      <c r="C1699" s="468"/>
    </row>
    <row r="1700" spans="3:3">
      <c r="C1700" s="468"/>
    </row>
    <row r="1701" spans="3:3">
      <c r="C1701" s="468"/>
    </row>
    <row r="1702" spans="3:3">
      <c r="C1702" s="468"/>
    </row>
    <row r="1703" spans="3:3">
      <c r="C1703" s="468"/>
    </row>
    <row r="1704" spans="3:3">
      <c r="C1704" s="468"/>
    </row>
    <row r="1705" spans="3:3">
      <c r="C1705" s="468"/>
    </row>
    <row r="1706" spans="3:3">
      <c r="C1706" s="468"/>
    </row>
    <row r="1707" spans="3:3">
      <c r="C1707" s="468"/>
    </row>
    <row r="1708" spans="3:3">
      <c r="C1708" s="468"/>
    </row>
    <row r="1709" spans="3:3">
      <c r="C1709" s="468"/>
    </row>
    <row r="1710" spans="3:3">
      <c r="C1710" s="468"/>
    </row>
    <row r="1711" spans="3:3">
      <c r="C1711" s="468"/>
    </row>
    <row r="1712" spans="3:3">
      <c r="C1712" s="468"/>
    </row>
    <row r="1713" spans="3:3">
      <c r="C1713" s="468"/>
    </row>
    <row r="1714" spans="3:3">
      <c r="C1714" s="468"/>
    </row>
    <row r="1715" spans="3:3">
      <c r="C1715" s="468"/>
    </row>
    <row r="1716" spans="3:3">
      <c r="C1716" s="468"/>
    </row>
    <row r="1717" spans="3:3">
      <c r="C1717" s="468"/>
    </row>
    <row r="1718" spans="3:3">
      <c r="C1718" s="468"/>
    </row>
    <row r="1719" spans="3:3">
      <c r="C1719" s="468"/>
    </row>
    <row r="1720" spans="3:3">
      <c r="C1720" s="468"/>
    </row>
    <row r="1721" spans="3:3">
      <c r="C1721" s="468"/>
    </row>
    <row r="1722" spans="3:3">
      <c r="C1722" s="468"/>
    </row>
    <row r="1723" spans="3:3">
      <c r="C1723" s="468"/>
    </row>
    <row r="1724" spans="3:3">
      <c r="C1724" s="468"/>
    </row>
    <row r="1725" spans="3:3">
      <c r="C1725" s="468"/>
    </row>
    <row r="1726" spans="3:3">
      <c r="C1726" s="468"/>
    </row>
    <row r="1727" spans="3:3">
      <c r="C1727" s="468"/>
    </row>
    <row r="1728" spans="3:3">
      <c r="C1728" s="468"/>
    </row>
    <row r="1729" spans="3:3">
      <c r="C1729" s="468"/>
    </row>
    <row r="1730" spans="3:3">
      <c r="C1730" s="468"/>
    </row>
    <row r="1731" spans="3:3">
      <c r="C1731" s="468"/>
    </row>
    <row r="1732" spans="3:3">
      <c r="C1732" s="468"/>
    </row>
    <row r="1733" spans="3:3">
      <c r="C1733" s="468"/>
    </row>
    <row r="1734" spans="3:3">
      <c r="C1734" s="468"/>
    </row>
    <row r="1735" spans="3:3">
      <c r="C1735" s="468"/>
    </row>
    <row r="1736" spans="3:3">
      <c r="C1736" s="468"/>
    </row>
    <row r="1737" spans="3:3">
      <c r="C1737" s="468"/>
    </row>
    <row r="1738" spans="3:3">
      <c r="C1738" s="468"/>
    </row>
    <row r="1739" spans="3:3">
      <c r="C1739" s="468"/>
    </row>
    <row r="1740" spans="3:3">
      <c r="C1740" s="468"/>
    </row>
    <row r="1741" spans="3:3">
      <c r="C1741" s="468"/>
    </row>
    <row r="1742" spans="3:3">
      <c r="C1742" s="468"/>
    </row>
    <row r="1743" spans="3:3">
      <c r="C1743" s="468"/>
    </row>
    <row r="1744" spans="3:3">
      <c r="C1744" s="468"/>
    </row>
    <row r="1745" spans="3:3">
      <c r="C1745" s="468"/>
    </row>
    <row r="1746" spans="3:3">
      <c r="C1746" s="468"/>
    </row>
    <row r="1747" spans="3:3">
      <c r="C1747" s="468"/>
    </row>
    <row r="1748" spans="3:3">
      <c r="C1748" s="468"/>
    </row>
    <row r="1749" spans="3:3">
      <c r="C1749" s="468"/>
    </row>
    <row r="1750" spans="3:3">
      <c r="C1750" s="468"/>
    </row>
    <row r="1751" spans="3:3">
      <c r="C1751" s="468"/>
    </row>
    <row r="1752" spans="3:3">
      <c r="C1752" s="468"/>
    </row>
    <row r="1753" spans="3:3">
      <c r="C1753" s="468"/>
    </row>
    <row r="1754" spans="3:3">
      <c r="C1754" s="468"/>
    </row>
    <row r="1755" spans="3:3">
      <c r="C1755" s="468"/>
    </row>
    <row r="1756" spans="3:3">
      <c r="C1756" s="468"/>
    </row>
    <row r="1757" spans="3:3">
      <c r="C1757" s="468"/>
    </row>
    <row r="1758" spans="3:3">
      <c r="C1758" s="468"/>
    </row>
    <row r="1759" spans="3:3">
      <c r="C1759" s="468"/>
    </row>
    <row r="1760" spans="3:3">
      <c r="C1760" s="468"/>
    </row>
    <row r="1761" spans="3:3">
      <c r="C1761" s="468"/>
    </row>
    <row r="1762" spans="3:3">
      <c r="C1762" s="468"/>
    </row>
    <row r="1763" spans="3:3">
      <c r="C1763" s="468"/>
    </row>
    <row r="1764" spans="3:3">
      <c r="C1764" s="468"/>
    </row>
    <row r="1765" spans="3:3">
      <c r="C1765" s="468"/>
    </row>
    <row r="1766" spans="3:3">
      <c r="C1766" s="468"/>
    </row>
    <row r="1767" spans="3:3">
      <c r="C1767" s="468"/>
    </row>
    <row r="1768" spans="3:3">
      <c r="C1768" s="468"/>
    </row>
    <row r="1769" spans="3:3">
      <c r="C1769" s="468"/>
    </row>
    <row r="1770" spans="3:3">
      <c r="C1770" s="468"/>
    </row>
    <row r="1771" spans="3:3">
      <c r="C1771" s="468"/>
    </row>
    <row r="1772" spans="3:3">
      <c r="C1772" s="468"/>
    </row>
    <row r="1773" spans="3:3">
      <c r="C1773" s="468"/>
    </row>
    <row r="1774" spans="3:3">
      <c r="C1774" s="468"/>
    </row>
    <row r="1775" spans="3:3">
      <c r="C1775" s="468"/>
    </row>
    <row r="1776" spans="3:3">
      <c r="C1776" s="468"/>
    </row>
    <row r="1777" spans="3:3">
      <c r="C1777" s="468"/>
    </row>
    <row r="1778" spans="3:3">
      <c r="C1778" s="468"/>
    </row>
    <row r="1779" spans="3:3">
      <c r="C1779" s="468"/>
    </row>
    <row r="1780" spans="3:3">
      <c r="C1780" s="468"/>
    </row>
    <row r="1781" spans="3:3">
      <c r="C1781" s="468"/>
    </row>
    <row r="1782" spans="3:3">
      <c r="C1782" s="468"/>
    </row>
    <row r="1783" spans="3:3">
      <c r="C1783" s="468"/>
    </row>
    <row r="1784" spans="3:3">
      <c r="C1784" s="468"/>
    </row>
    <row r="1785" spans="3:3">
      <c r="C1785" s="468"/>
    </row>
    <row r="1786" spans="3:3">
      <c r="C1786" s="468"/>
    </row>
    <row r="1787" spans="3:3">
      <c r="C1787" s="468"/>
    </row>
    <row r="1788" spans="3:3">
      <c r="C1788" s="468"/>
    </row>
    <row r="1789" spans="3:3">
      <c r="C1789" s="468"/>
    </row>
    <row r="1790" spans="3:3">
      <c r="C1790" s="468"/>
    </row>
    <row r="1791" spans="3:3">
      <c r="C1791" s="468"/>
    </row>
    <row r="1792" spans="3:3">
      <c r="C1792" s="468"/>
    </row>
    <row r="1793" spans="3:3">
      <c r="C1793" s="468"/>
    </row>
    <row r="1794" spans="3:3">
      <c r="C1794" s="468"/>
    </row>
    <row r="1795" spans="3:3">
      <c r="C1795" s="468"/>
    </row>
    <row r="1796" spans="3:3">
      <c r="C1796" s="468"/>
    </row>
    <row r="1797" spans="3:3">
      <c r="C1797" s="468"/>
    </row>
    <row r="1798" spans="3:3">
      <c r="C1798" s="468"/>
    </row>
    <row r="1799" spans="3:3">
      <c r="C1799" s="468"/>
    </row>
    <row r="1800" spans="3:3">
      <c r="C1800" s="468"/>
    </row>
    <row r="1801" spans="3:3">
      <c r="C1801" s="468"/>
    </row>
    <row r="1802" spans="3:3">
      <c r="C1802" s="468"/>
    </row>
    <row r="1803" spans="3:3">
      <c r="C1803" s="468"/>
    </row>
    <row r="1804" spans="3:3">
      <c r="C1804" s="468"/>
    </row>
    <row r="1805" spans="3:3">
      <c r="C1805" s="468"/>
    </row>
    <row r="1806" spans="3:3">
      <c r="C1806" s="468"/>
    </row>
    <row r="1807" spans="3:3">
      <c r="C1807" s="468"/>
    </row>
    <row r="1808" spans="3:3">
      <c r="C1808" s="468"/>
    </row>
    <row r="1809" spans="3:3">
      <c r="C1809" s="468"/>
    </row>
    <row r="1810" spans="3:3">
      <c r="C1810" s="468"/>
    </row>
    <row r="1811" spans="3:3">
      <c r="C1811" s="468"/>
    </row>
    <row r="1812" spans="3:3">
      <c r="C1812" s="468"/>
    </row>
    <row r="1813" spans="3:3">
      <c r="C1813" s="468"/>
    </row>
    <row r="1814" spans="3:3">
      <c r="C1814" s="468"/>
    </row>
    <row r="1815" spans="3:3">
      <c r="C1815" s="468"/>
    </row>
    <row r="1816" spans="3:3">
      <c r="C1816" s="468"/>
    </row>
    <row r="1817" spans="3:3">
      <c r="C1817" s="468"/>
    </row>
    <row r="1818" spans="3:3">
      <c r="C1818" s="468"/>
    </row>
    <row r="1819" spans="3:3">
      <c r="C1819" s="468"/>
    </row>
    <row r="1820" spans="3:3">
      <c r="C1820" s="468"/>
    </row>
    <row r="1821" spans="3:3">
      <c r="C1821" s="468"/>
    </row>
    <row r="1822" spans="3:3">
      <c r="C1822" s="468"/>
    </row>
    <row r="1823" spans="3:3">
      <c r="C1823" s="468"/>
    </row>
    <row r="1824" spans="3:3">
      <c r="C1824" s="468"/>
    </row>
    <row r="1825" spans="3:3">
      <c r="C1825" s="468"/>
    </row>
    <row r="1826" spans="3:3">
      <c r="C1826" s="468"/>
    </row>
    <row r="1827" spans="3:3">
      <c r="C1827" s="468"/>
    </row>
    <row r="1828" spans="3:3">
      <c r="C1828" s="468"/>
    </row>
    <row r="1829" spans="3:3">
      <c r="C1829" s="468"/>
    </row>
    <row r="1830" spans="3:3">
      <c r="C1830" s="468"/>
    </row>
    <row r="1831" spans="3:3">
      <c r="C1831" s="468"/>
    </row>
    <row r="1832" spans="3:3">
      <c r="C1832" s="468"/>
    </row>
    <row r="1833" spans="3:3">
      <c r="C1833" s="468"/>
    </row>
    <row r="1834" spans="3:3">
      <c r="C1834" s="468"/>
    </row>
    <row r="1835" spans="3:3">
      <c r="C1835" s="468"/>
    </row>
    <row r="1836" spans="3:3">
      <c r="C1836" s="468"/>
    </row>
    <row r="1837" spans="3:3">
      <c r="C1837" s="468"/>
    </row>
    <row r="1838" spans="3:3">
      <c r="C1838" s="468"/>
    </row>
    <row r="1839" spans="3:3">
      <c r="C1839" s="468"/>
    </row>
    <row r="1840" spans="3:3">
      <c r="C1840" s="468"/>
    </row>
    <row r="1841" spans="3:3">
      <c r="C1841" s="468"/>
    </row>
    <row r="1842" spans="3:3">
      <c r="C1842" s="468"/>
    </row>
    <row r="1843" spans="3:3">
      <c r="C1843" s="468"/>
    </row>
    <row r="1844" spans="3:3">
      <c r="C1844" s="468"/>
    </row>
    <row r="1845" spans="3:3">
      <c r="C1845" s="468"/>
    </row>
    <row r="1846" spans="3:3">
      <c r="C1846" s="468"/>
    </row>
    <row r="1847" spans="3:3">
      <c r="C1847" s="468"/>
    </row>
    <row r="1848" spans="3:3">
      <c r="C1848" s="468"/>
    </row>
    <row r="1849" spans="3:3">
      <c r="C1849" s="468"/>
    </row>
    <row r="1850" spans="3:3">
      <c r="C1850" s="468"/>
    </row>
    <row r="1851" spans="3:3">
      <c r="C1851" s="468"/>
    </row>
    <row r="1852" spans="3:3">
      <c r="C1852" s="468"/>
    </row>
    <row r="1853" spans="3:3">
      <c r="C1853" s="468"/>
    </row>
    <row r="1854" spans="3:3">
      <c r="C1854" s="468"/>
    </row>
    <row r="1855" spans="3:3">
      <c r="C1855" s="468"/>
    </row>
    <row r="1856" spans="3:3">
      <c r="C1856" s="468"/>
    </row>
    <row r="1857" spans="3:3">
      <c r="C1857" s="468"/>
    </row>
    <row r="1858" spans="3:3">
      <c r="C1858" s="468"/>
    </row>
    <row r="1859" spans="3:3">
      <c r="C1859" s="468"/>
    </row>
    <row r="1860" spans="3:3">
      <c r="C1860" s="468"/>
    </row>
    <row r="1861" spans="3:3">
      <c r="C1861" s="468"/>
    </row>
    <row r="1862" spans="3:3">
      <c r="C1862" s="468"/>
    </row>
    <row r="1863" spans="3:3">
      <c r="C1863" s="468"/>
    </row>
    <row r="1864" spans="3:3">
      <c r="C1864" s="468"/>
    </row>
    <row r="1865" spans="3:3">
      <c r="C1865" s="468"/>
    </row>
    <row r="1866" spans="3:3">
      <c r="C1866" s="468"/>
    </row>
    <row r="1867" spans="3:3">
      <c r="C1867" s="468"/>
    </row>
    <row r="1868" spans="3:3">
      <c r="C1868" s="468"/>
    </row>
    <row r="1869" spans="3:3">
      <c r="C1869" s="468"/>
    </row>
    <row r="1870" spans="3:3">
      <c r="C1870" s="468"/>
    </row>
    <row r="1871" spans="3:3">
      <c r="C1871" s="468"/>
    </row>
    <row r="1872" spans="3:3">
      <c r="C1872" s="468"/>
    </row>
    <row r="1873" spans="3:3">
      <c r="C1873" s="468"/>
    </row>
    <row r="1874" spans="3:3">
      <c r="C1874" s="468"/>
    </row>
    <row r="1875" spans="3:3">
      <c r="C1875" s="468"/>
    </row>
    <row r="1876" spans="3:3">
      <c r="C1876" s="468"/>
    </row>
    <row r="1877" spans="3:3">
      <c r="C1877" s="468"/>
    </row>
    <row r="1878" spans="3:3">
      <c r="C1878" s="468"/>
    </row>
    <row r="1879" spans="3:3">
      <c r="C1879" s="468"/>
    </row>
    <row r="1880" spans="3:3">
      <c r="C1880" s="468"/>
    </row>
    <row r="1881" spans="3:3">
      <c r="C1881" s="468"/>
    </row>
    <row r="1882" spans="3:3">
      <c r="C1882" s="468"/>
    </row>
    <row r="1883" spans="3:3">
      <c r="C1883" s="468"/>
    </row>
    <row r="1884" spans="3:3">
      <c r="C1884" s="468"/>
    </row>
    <row r="1885" spans="3:3">
      <c r="C1885" s="468"/>
    </row>
    <row r="1886" spans="3:3">
      <c r="C1886" s="468"/>
    </row>
    <row r="1887" spans="3:3">
      <c r="C1887" s="468"/>
    </row>
    <row r="1888" spans="3:3">
      <c r="C1888" s="468"/>
    </row>
    <row r="1889" spans="3:3">
      <c r="C1889" s="468"/>
    </row>
    <row r="1890" spans="3:3">
      <c r="C1890" s="468"/>
    </row>
    <row r="1891" spans="3:3">
      <c r="C1891" s="468"/>
    </row>
    <row r="1892" spans="3:3">
      <c r="C1892" s="468"/>
    </row>
    <row r="1893" spans="3:3">
      <c r="C1893" s="468"/>
    </row>
    <row r="1894" spans="3:3">
      <c r="C1894" s="468"/>
    </row>
    <row r="1895" spans="3:3">
      <c r="C1895" s="468"/>
    </row>
    <row r="1896" spans="3:3">
      <c r="C1896" s="468"/>
    </row>
    <row r="1897" spans="3:3">
      <c r="C1897" s="468"/>
    </row>
    <row r="1898" spans="3:3">
      <c r="C1898" s="468"/>
    </row>
    <row r="1899" spans="3:3">
      <c r="C1899" s="468"/>
    </row>
    <row r="1900" spans="3:3">
      <c r="C1900" s="468"/>
    </row>
    <row r="1901" spans="3:3">
      <c r="C1901" s="468"/>
    </row>
    <row r="1902" spans="3:3">
      <c r="C1902" s="468"/>
    </row>
    <row r="1903" spans="3:3">
      <c r="C1903" s="468"/>
    </row>
    <row r="1904" spans="3:3">
      <c r="C1904" s="468"/>
    </row>
    <row r="1905" spans="3:3">
      <c r="C1905" s="468"/>
    </row>
    <row r="1906" spans="3:3">
      <c r="C1906" s="468"/>
    </row>
    <row r="1907" spans="3:3">
      <c r="C1907" s="468"/>
    </row>
    <row r="1908" spans="3:3">
      <c r="C1908" s="468"/>
    </row>
    <row r="1909" spans="3:3">
      <c r="C1909" s="468"/>
    </row>
    <row r="1910" spans="3:3">
      <c r="C1910" s="468"/>
    </row>
    <row r="1911" spans="3:3">
      <c r="C1911" s="468"/>
    </row>
    <row r="1912" spans="3:3">
      <c r="C1912" s="468"/>
    </row>
    <row r="1913" spans="3:3">
      <c r="C1913" s="468"/>
    </row>
    <row r="1914" spans="3:3">
      <c r="C1914" s="468"/>
    </row>
    <row r="1915" spans="3:3">
      <c r="C1915" s="468"/>
    </row>
    <row r="1916" spans="3:3">
      <c r="C1916" s="468"/>
    </row>
    <row r="1917" spans="3:3">
      <c r="C1917" s="468"/>
    </row>
    <row r="1918" spans="3:3">
      <c r="C1918" s="468"/>
    </row>
    <row r="1919" spans="3:3">
      <c r="C1919" s="468"/>
    </row>
    <row r="1920" spans="3:3">
      <c r="C1920" s="468"/>
    </row>
    <row r="1921" spans="3:3">
      <c r="C1921" s="468"/>
    </row>
    <row r="1922" spans="3:3">
      <c r="C1922" s="468"/>
    </row>
    <row r="1923" spans="3:3">
      <c r="C1923" s="468"/>
    </row>
    <row r="1924" spans="3:3">
      <c r="C1924" s="468"/>
    </row>
    <row r="1925" spans="3:3">
      <c r="C1925" s="468"/>
    </row>
    <row r="1926" spans="3:3">
      <c r="C1926" s="468"/>
    </row>
    <row r="1927" spans="3:3">
      <c r="C1927" s="468"/>
    </row>
    <row r="1928" spans="3:3">
      <c r="C1928" s="468"/>
    </row>
    <row r="1929" spans="3:3">
      <c r="C1929" s="468"/>
    </row>
    <row r="1930" spans="3:3">
      <c r="C1930" s="468"/>
    </row>
    <row r="1931" spans="3:3">
      <c r="C1931" s="468"/>
    </row>
    <row r="1932" spans="3:3">
      <c r="C1932" s="468"/>
    </row>
    <row r="1933" spans="3:3">
      <c r="C1933" s="468"/>
    </row>
    <row r="1934" spans="3:3">
      <c r="C1934" s="468"/>
    </row>
    <row r="1935" spans="3:3">
      <c r="C1935" s="468"/>
    </row>
    <row r="1936" spans="3:3">
      <c r="C1936" s="468"/>
    </row>
    <row r="1937" spans="3:3">
      <c r="C1937" s="468"/>
    </row>
    <row r="1938" spans="3:3">
      <c r="C1938" s="468"/>
    </row>
    <row r="1939" spans="3:3">
      <c r="C1939" s="468"/>
    </row>
    <row r="1940" spans="3:3">
      <c r="C1940" s="468"/>
    </row>
    <row r="1941" spans="3:3">
      <c r="C1941" s="468"/>
    </row>
    <row r="1942" spans="3:3">
      <c r="C1942" s="468"/>
    </row>
    <row r="1943" spans="3:3">
      <c r="C1943" s="468"/>
    </row>
    <row r="1944" spans="3:3">
      <c r="C1944" s="468"/>
    </row>
    <row r="1945" spans="3:3">
      <c r="C1945" s="468"/>
    </row>
    <row r="1946" spans="3:3">
      <c r="C1946" s="468"/>
    </row>
    <row r="1947" spans="3:3">
      <c r="C1947" s="468"/>
    </row>
    <row r="1948" spans="3:3">
      <c r="C1948" s="468"/>
    </row>
    <row r="1949" spans="3:3">
      <c r="C1949" s="468"/>
    </row>
    <row r="1950" spans="3:3">
      <c r="C1950" s="468"/>
    </row>
    <row r="1951" spans="3:3">
      <c r="C1951" s="468"/>
    </row>
    <row r="1952" spans="3:3">
      <c r="C1952" s="468"/>
    </row>
    <row r="1953" spans="3:3">
      <c r="C1953" s="468"/>
    </row>
    <row r="1954" spans="3:3">
      <c r="C1954" s="468"/>
    </row>
    <row r="1955" spans="3:3">
      <c r="C1955" s="468"/>
    </row>
    <row r="1956" spans="3:3">
      <c r="C1956" s="468"/>
    </row>
    <row r="1957" spans="3:3">
      <c r="C1957" s="468"/>
    </row>
    <row r="1958" spans="3:3">
      <c r="C1958" s="468"/>
    </row>
    <row r="1959" spans="3:3">
      <c r="C1959" s="468"/>
    </row>
    <row r="1960" spans="3:3">
      <c r="C1960" s="468"/>
    </row>
    <row r="1961" spans="3:3">
      <c r="C1961" s="468"/>
    </row>
    <row r="1962" spans="3:3">
      <c r="C1962" s="468"/>
    </row>
    <row r="1963" spans="3:3">
      <c r="C1963" s="468"/>
    </row>
    <row r="1964" spans="3:3">
      <c r="C1964" s="468"/>
    </row>
    <row r="1965" spans="3:3">
      <c r="C1965" s="468"/>
    </row>
    <row r="1966" spans="3:3">
      <c r="C1966" s="468"/>
    </row>
    <row r="1967" spans="3:3">
      <c r="C1967" s="468"/>
    </row>
    <row r="1968" spans="3:3">
      <c r="C1968" s="468"/>
    </row>
    <row r="1969" spans="3:3">
      <c r="C1969" s="468"/>
    </row>
    <row r="1970" spans="3:3">
      <c r="C1970" s="468"/>
    </row>
    <row r="1971" spans="3:3">
      <c r="C1971" s="468"/>
    </row>
    <row r="1972" spans="3:3">
      <c r="C1972" s="468"/>
    </row>
    <row r="1973" spans="3:3">
      <c r="C1973" s="468"/>
    </row>
    <row r="1974" spans="3:3">
      <c r="C1974" s="468"/>
    </row>
    <row r="1975" spans="3:3">
      <c r="C1975" s="468"/>
    </row>
    <row r="1976" spans="3:3">
      <c r="C1976" s="468"/>
    </row>
    <row r="1977" spans="3:3">
      <c r="C1977" s="468"/>
    </row>
    <row r="1978" spans="3:3">
      <c r="C1978" s="468"/>
    </row>
    <row r="1979" spans="3:3">
      <c r="C1979" s="468"/>
    </row>
    <row r="1980" spans="3:3">
      <c r="C1980" s="468"/>
    </row>
    <row r="1981" spans="3:3">
      <c r="C1981" s="468"/>
    </row>
    <row r="1982" spans="3:3">
      <c r="C1982" s="468"/>
    </row>
    <row r="1983" spans="3:3">
      <c r="C1983" s="468"/>
    </row>
    <row r="1984" spans="3:3">
      <c r="C1984" s="468"/>
    </row>
    <row r="1985" spans="3:3">
      <c r="C1985" s="468"/>
    </row>
    <row r="1986" spans="3:3">
      <c r="C1986" s="468"/>
    </row>
    <row r="1987" spans="3:3">
      <c r="C1987" s="468"/>
    </row>
    <row r="1988" spans="3:3">
      <c r="C1988" s="468"/>
    </row>
    <row r="1989" spans="3:3">
      <c r="C1989" s="468"/>
    </row>
    <row r="1990" spans="3:3">
      <c r="C1990" s="468"/>
    </row>
    <row r="1991" spans="3:3">
      <c r="C1991" s="468"/>
    </row>
    <row r="1992" spans="3:3">
      <c r="C1992" s="468"/>
    </row>
    <row r="1993" spans="3:3">
      <c r="C1993" s="468"/>
    </row>
    <row r="1994" spans="3:3">
      <c r="C1994" s="468"/>
    </row>
    <row r="1995" spans="3:3">
      <c r="C1995" s="468"/>
    </row>
    <row r="1996" spans="3:3">
      <c r="C1996" s="468"/>
    </row>
    <row r="1997" spans="3:3">
      <c r="C1997" s="468"/>
    </row>
    <row r="1998" spans="3:3">
      <c r="C1998" s="468"/>
    </row>
    <row r="1999" spans="3:3">
      <c r="C1999" s="468"/>
    </row>
    <row r="2000" spans="3:3">
      <c r="C2000" s="468"/>
    </row>
    <row r="2001" spans="3:3">
      <c r="C2001" s="468"/>
    </row>
    <row r="2002" spans="3:3">
      <c r="C2002" s="468"/>
    </row>
    <row r="2003" spans="3:3">
      <c r="C2003" s="468"/>
    </row>
    <row r="2004" spans="3:3">
      <c r="C2004" s="468"/>
    </row>
    <row r="2005" spans="3:3">
      <c r="C2005" s="468"/>
    </row>
    <row r="2006" spans="3:3">
      <c r="C2006" s="468"/>
    </row>
    <row r="2007" spans="3:3">
      <c r="C2007" s="468"/>
    </row>
    <row r="2008" spans="3:3">
      <c r="C2008" s="468"/>
    </row>
    <row r="2009" spans="3:3">
      <c r="C2009" s="468"/>
    </row>
    <row r="2010" spans="3:3">
      <c r="C2010" s="468"/>
    </row>
    <row r="2011" spans="3:3">
      <c r="C2011" s="468"/>
    </row>
    <row r="2012" spans="3:3">
      <c r="C2012" s="468"/>
    </row>
    <row r="2013" spans="3:3">
      <c r="C2013" s="468"/>
    </row>
    <row r="2014" spans="3:3">
      <c r="C2014" s="468"/>
    </row>
    <row r="2015" spans="3:3">
      <c r="C2015" s="468"/>
    </row>
    <row r="2016" spans="3:3">
      <c r="C2016" s="468"/>
    </row>
    <row r="2017" spans="3:3">
      <c r="C2017" s="468"/>
    </row>
    <row r="2018" spans="3:3">
      <c r="C2018" s="468"/>
    </row>
    <row r="2019" spans="3:3">
      <c r="C2019" s="468"/>
    </row>
    <row r="2020" spans="3:3">
      <c r="C2020" s="468"/>
    </row>
    <row r="2021" spans="3:3">
      <c r="C2021" s="468"/>
    </row>
    <row r="2022" spans="3:3">
      <c r="C2022" s="468"/>
    </row>
    <row r="2023" spans="3:3">
      <c r="C2023" s="468"/>
    </row>
    <row r="2024" spans="3:3">
      <c r="C2024" s="468"/>
    </row>
    <row r="2025" spans="3:3">
      <c r="C2025" s="468"/>
    </row>
    <row r="2026" spans="3:3">
      <c r="C2026" s="468"/>
    </row>
    <row r="2027" spans="3:3">
      <c r="C2027" s="468"/>
    </row>
    <row r="2028" spans="3:3">
      <c r="C2028" s="468"/>
    </row>
    <row r="2029" spans="3:3">
      <c r="C2029" s="468"/>
    </row>
    <row r="2030" spans="3:3">
      <c r="C2030" s="468"/>
    </row>
    <row r="2031" spans="3:3">
      <c r="C2031" s="468"/>
    </row>
    <row r="2032" spans="3:3">
      <c r="C2032" s="468"/>
    </row>
    <row r="2033" spans="3:3">
      <c r="C2033" s="468"/>
    </row>
    <row r="2034" spans="3:3">
      <c r="C2034" s="468"/>
    </row>
    <row r="2035" spans="3:3">
      <c r="C2035" s="468"/>
    </row>
    <row r="2036" spans="3:3">
      <c r="C2036" s="468"/>
    </row>
    <row r="2037" spans="3:3">
      <c r="C2037" s="468"/>
    </row>
    <row r="2038" spans="3:3">
      <c r="C2038" s="468"/>
    </row>
    <row r="2039" spans="3:3">
      <c r="C2039" s="468"/>
    </row>
    <row r="2040" spans="3:3">
      <c r="C2040" s="468"/>
    </row>
    <row r="2041" spans="3:3">
      <c r="C2041" s="468"/>
    </row>
    <row r="2042" spans="3:3">
      <c r="C2042" s="468"/>
    </row>
    <row r="2043" spans="3:3">
      <c r="C2043" s="468"/>
    </row>
    <row r="2044" spans="3:3">
      <c r="C2044" s="468"/>
    </row>
    <row r="2045" spans="3:3">
      <c r="C2045" s="468"/>
    </row>
    <row r="2046" spans="3:3">
      <c r="C2046" s="468"/>
    </row>
    <row r="2047" spans="3:3">
      <c r="C2047" s="468"/>
    </row>
    <row r="2048" spans="3:3">
      <c r="C2048" s="468"/>
    </row>
    <row r="2049" spans="3:3">
      <c r="C2049" s="468"/>
    </row>
    <row r="2050" spans="3:3">
      <c r="C2050" s="468"/>
    </row>
    <row r="2051" spans="3:3">
      <c r="C2051" s="468"/>
    </row>
    <row r="2052" spans="3:3">
      <c r="C2052" s="468"/>
    </row>
    <row r="2053" spans="3:3">
      <c r="C2053" s="468"/>
    </row>
    <row r="2054" spans="3:3">
      <c r="C2054" s="468"/>
    </row>
    <row r="2055" spans="3:3">
      <c r="C2055" s="468"/>
    </row>
    <row r="2056" spans="3:3">
      <c r="C2056" s="468"/>
    </row>
    <row r="2057" spans="3:3">
      <c r="C2057" s="468"/>
    </row>
    <row r="2058" spans="3:3">
      <c r="C2058" s="468"/>
    </row>
    <row r="2059" spans="3:3">
      <c r="C2059" s="468"/>
    </row>
    <row r="2060" spans="3:3">
      <c r="C2060" s="468"/>
    </row>
    <row r="2061" spans="3:3">
      <c r="C2061" s="468"/>
    </row>
    <row r="2062" spans="3:3">
      <c r="C2062" s="468"/>
    </row>
    <row r="2063" spans="3:3">
      <c r="C2063" s="468"/>
    </row>
    <row r="2064" spans="3:3">
      <c r="C2064" s="468"/>
    </row>
    <row r="2065" spans="3:3">
      <c r="C2065" s="468"/>
    </row>
    <row r="2066" spans="3:3">
      <c r="C2066" s="468"/>
    </row>
    <row r="2067" spans="3:3">
      <c r="C2067" s="468"/>
    </row>
    <row r="2068" spans="3:3">
      <c r="C2068" s="468"/>
    </row>
    <row r="2069" spans="3:3">
      <c r="C2069" s="468"/>
    </row>
    <row r="2070" spans="3:3">
      <c r="C2070" s="468"/>
    </row>
    <row r="2071" spans="3:3">
      <c r="C2071" s="468"/>
    </row>
    <row r="2072" spans="3:3">
      <c r="C2072" s="468"/>
    </row>
    <row r="2073" spans="3:3">
      <c r="C2073" s="468"/>
    </row>
    <row r="2074" spans="3:3">
      <c r="C2074" s="468"/>
    </row>
    <row r="2075" spans="3:3">
      <c r="C2075" s="468"/>
    </row>
    <row r="2076" spans="3:3">
      <c r="C2076" s="468"/>
    </row>
    <row r="2077" spans="3:3">
      <c r="C2077" s="468"/>
    </row>
    <row r="2078" spans="3:3">
      <c r="C2078" s="468"/>
    </row>
    <row r="2079" spans="3:3">
      <c r="C2079" s="468"/>
    </row>
    <row r="2080" spans="3:3">
      <c r="C2080" s="468"/>
    </row>
    <row r="2081" spans="3:3">
      <c r="C2081" s="468"/>
    </row>
    <row r="2082" spans="3:3">
      <c r="C2082" s="468"/>
    </row>
    <row r="2083" spans="3:3">
      <c r="C2083" s="468"/>
    </row>
    <row r="2084" spans="3:3">
      <c r="C2084" s="468"/>
    </row>
    <row r="2085" spans="3:3">
      <c r="C2085" s="468"/>
    </row>
    <row r="2086" spans="3:3">
      <c r="C2086" s="468"/>
    </row>
    <row r="2087" spans="3:3">
      <c r="C2087" s="468"/>
    </row>
    <row r="2088" spans="3:3">
      <c r="C2088" s="468"/>
    </row>
    <row r="2089" spans="3:3">
      <c r="C2089" s="468"/>
    </row>
    <row r="2090" spans="3:3">
      <c r="C2090" s="468"/>
    </row>
    <row r="2091" spans="3:3">
      <c r="C2091" s="468"/>
    </row>
    <row r="2092" spans="3:3">
      <c r="C2092" s="468"/>
    </row>
    <row r="2093" spans="3:3">
      <c r="C2093" s="468"/>
    </row>
    <row r="2094" spans="3:3">
      <c r="C2094" s="468"/>
    </row>
    <row r="2095" spans="3:3">
      <c r="C2095" s="468"/>
    </row>
    <row r="2096" spans="3:3">
      <c r="C2096" s="468"/>
    </row>
    <row r="2097" spans="3:3">
      <c r="C2097" s="468"/>
    </row>
    <row r="2098" spans="3:3">
      <c r="C2098" s="468"/>
    </row>
    <row r="2099" spans="3:3">
      <c r="C2099" s="468"/>
    </row>
    <row r="2100" spans="3:3">
      <c r="C2100" s="468"/>
    </row>
    <row r="2101" spans="3:3">
      <c r="C2101" s="468"/>
    </row>
    <row r="2102" spans="3:3">
      <c r="C2102" s="468"/>
    </row>
    <row r="2103" spans="3:3">
      <c r="C2103" s="468"/>
    </row>
    <row r="2104" spans="3:3">
      <c r="C2104" s="468"/>
    </row>
    <row r="2105" spans="3:3">
      <c r="C2105" s="468"/>
    </row>
    <row r="2106" spans="3:3">
      <c r="C2106" s="468"/>
    </row>
    <row r="2107" spans="3:3">
      <c r="C2107" s="468"/>
    </row>
    <row r="2108" spans="3:3">
      <c r="C2108" s="468"/>
    </row>
    <row r="2109" spans="3:3">
      <c r="C2109" s="468"/>
    </row>
    <row r="2110" spans="3:3">
      <c r="C2110" s="468"/>
    </row>
    <row r="2111" spans="3:3">
      <c r="C2111" s="468"/>
    </row>
    <row r="2112" spans="3:3">
      <c r="C2112" s="468"/>
    </row>
    <row r="2113" spans="3:3">
      <c r="C2113" s="468"/>
    </row>
    <row r="2114" spans="3:3">
      <c r="C2114" s="468"/>
    </row>
    <row r="2115" spans="3:3">
      <c r="C2115" s="468"/>
    </row>
    <row r="2116" spans="3:3">
      <c r="C2116" s="468"/>
    </row>
    <row r="2117" spans="3:3">
      <c r="C2117" s="468"/>
    </row>
    <row r="2118" spans="3:3">
      <c r="C2118" s="468"/>
    </row>
    <row r="2119" spans="3:3">
      <c r="C2119" s="468"/>
    </row>
    <row r="2120" spans="3:3">
      <c r="C2120" s="468"/>
    </row>
    <row r="2121" spans="3:3">
      <c r="C2121" s="468"/>
    </row>
    <row r="2122" spans="3:3">
      <c r="C2122" s="468"/>
    </row>
    <row r="2123" spans="3:3">
      <c r="C2123" s="468"/>
    </row>
    <row r="2124" spans="3:3">
      <c r="C2124" s="468"/>
    </row>
    <row r="2125" spans="3:3">
      <c r="C2125" s="468"/>
    </row>
    <row r="2126" spans="3:3">
      <c r="C2126" s="468"/>
    </row>
    <row r="2127" spans="3:3">
      <c r="C2127" s="468"/>
    </row>
    <row r="2128" spans="3:3">
      <c r="C2128" s="468"/>
    </row>
    <row r="2129" spans="3:3">
      <c r="C2129" s="468"/>
    </row>
    <row r="2130" spans="3:3">
      <c r="C2130" s="468"/>
    </row>
    <row r="2131" spans="3:3">
      <c r="C2131" s="468"/>
    </row>
    <row r="2132" spans="3:3">
      <c r="C2132" s="468"/>
    </row>
    <row r="2133" spans="3:3">
      <c r="C2133" s="468"/>
    </row>
    <row r="2134" spans="3:3">
      <c r="C2134" s="468"/>
    </row>
    <row r="2135" spans="3:3">
      <c r="C2135" s="468"/>
    </row>
    <row r="2136" spans="3:3">
      <c r="C2136" s="468"/>
    </row>
    <row r="2137" spans="3:3">
      <c r="C2137" s="468"/>
    </row>
    <row r="2138" spans="3:3">
      <c r="C2138" s="468"/>
    </row>
    <row r="2139" spans="3:3">
      <c r="C2139" s="468"/>
    </row>
    <row r="2140" spans="3:3">
      <c r="C2140" s="468"/>
    </row>
    <row r="2141" spans="3:3">
      <c r="C2141" s="468"/>
    </row>
    <row r="2142" spans="3:3">
      <c r="C2142" s="468"/>
    </row>
    <row r="2143" spans="3:3">
      <c r="C2143" s="468"/>
    </row>
    <row r="2144" spans="3:3">
      <c r="C2144" s="468"/>
    </row>
    <row r="2145" spans="3:3">
      <c r="C2145" s="468"/>
    </row>
    <row r="2146" spans="3:3">
      <c r="C2146" s="468"/>
    </row>
    <row r="2147" spans="3:3">
      <c r="C2147" s="468"/>
    </row>
    <row r="2148" spans="3:3">
      <c r="C2148" s="468"/>
    </row>
    <row r="2149" spans="3:3">
      <c r="C2149" s="468"/>
    </row>
    <row r="2150" spans="3:3">
      <c r="C2150" s="468"/>
    </row>
    <row r="2151" spans="3:3">
      <c r="C2151" s="468"/>
    </row>
    <row r="2152" spans="3:3">
      <c r="C2152" s="468"/>
    </row>
    <row r="2153" spans="3:3">
      <c r="C2153" s="468"/>
    </row>
    <row r="2154" spans="3:3">
      <c r="C2154" s="468"/>
    </row>
    <row r="2155" spans="3:3">
      <c r="C2155" s="468"/>
    </row>
    <row r="2156" spans="3:3">
      <c r="C2156" s="468"/>
    </row>
    <row r="2157" spans="3:3">
      <c r="C2157" s="468"/>
    </row>
    <row r="2158" spans="3:3">
      <c r="C2158" s="468"/>
    </row>
    <row r="2159" spans="3:3">
      <c r="C2159" s="468"/>
    </row>
    <row r="2160" spans="3:3">
      <c r="C2160" s="468"/>
    </row>
    <row r="2161" spans="3:3">
      <c r="C2161" s="468"/>
    </row>
    <row r="2162" spans="3:3">
      <c r="C2162" s="468"/>
    </row>
    <row r="2163" spans="3:3">
      <c r="C2163" s="468"/>
    </row>
    <row r="2164" spans="3:3">
      <c r="C2164" s="468"/>
    </row>
    <row r="2165" spans="3:3">
      <c r="C2165" s="468"/>
    </row>
    <row r="2166" spans="3:3">
      <c r="C2166" s="468"/>
    </row>
    <row r="2167" spans="3:3">
      <c r="C2167" s="468"/>
    </row>
    <row r="2168" spans="3:3">
      <c r="C2168" s="468"/>
    </row>
    <row r="2169" spans="3:3">
      <c r="C2169" s="468"/>
    </row>
    <row r="2170" spans="3:3">
      <c r="C2170" s="468"/>
    </row>
    <row r="2171" spans="3:3">
      <c r="C2171" s="468"/>
    </row>
    <row r="2172" spans="3:3">
      <c r="C2172" s="468"/>
    </row>
    <row r="2173" spans="3:3">
      <c r="C2173" s="468"/>
    </row>
    <row r="2174" spans="3:3">
      <c r="C2174" s="468"/>
    </row>
    <row r="2175" spans="3:3">
      <c r="C2175" s="468"/>
    </row>
    <row r="2176" spans="3:3">
      <c r="C2176" s="468"/>
    </row>
    <row r="2177" spans="3:3">
      <c r="C2177" s="468"/>
    </row>
    <row r="2178" spans="3:3">
      <c r="C2178" s="468"/>
    </row>
    <row r="2179" spans="3:3">
      <c r="C2179" s="468"/>
    </row>
    <row r="2180" spans="3:3">
      <c r="C2180" s="468"/>
    </row>
    <row r="2181" spans="3:3">
      <c r="C2181" s="468"/>
    </row>
    <row r="2182" spans="3:3">
      <c r="C2182" s="468"/>
    </row>
    <row r="2183" spans="3:3">
      <c r="C2183" s="468"/>
    </row>
    <row r="2184" spans="3:3">
      <c r="C2184" s="468"/>
    </row>
    <row r="2185" spans="3:3">
      <c r="C2185" s="468"/>
    </row>
    <row r="2186" spans="3:3">
      <c r="C2186" s="468"/>
    </row>
    <row r="2187" spans="3:3">
      <c r="C2187" s="468"/>
    </row>
    <row r="2188" spans="3:3">
      <c r="C2188" s="468"/>
    </row>
    <row r="2189" spans="3:3">
      <c r="C2189" s="468"/>
    </row>
    <row r="2190" spans="3:3">
      <c r="C2190" s="468"/>
    </row>
    <row r="2191" spans="3:3">
      <c r="C2191" s="468"/>
    </row>
    <row r="2192" spans="3:3">
      <c r="C2192" s="468"/>
    </row>
    <row r="2193" spans="3:3">
      <c r="C2193" s="468"/>
    </row>
    <row r="2194" spans="3:3">
      <c r="C2194" s="468"/>
    </row>
    <row r="2195" spans="3:3">
      <c r="C2195" s="468"/>
    </row>
    <row r="2196" spans="3:3">
      <c r="C2196" s="468"/>
    </row>
    <row r="2197" spans="3:3">
      <c r="C2197" s="468"/>
    </row>
    <row r="2198" spans="3:3">
      <c r="C2198" s="468"/>
    </row>
    <row r="2199" spans="3:3">
      <c r="C2199" s="468"/>
    </row>
    <row r="2200" spans="3:3">
      <c r="C2200" s="468"/>
    </row>
    <row r="2201" spans="3:3">
      <c r="C2201" s="468"/>
    </row>
    <row r="2202" spans="3:3">
      <c r="C2202" s="468"/>
    </row>
    <row r="2203" spans="3:3">
      <c r="C2203" s="468"/>
    </row>
    <row r="2204" spans="3:3">
      <c r="C2204" s="468"/>
    </row>
    <row r="2205" spans="3:3">
      <c r="C2205" s="468"/>
    </row>
    <row r="2206" spans="3:3">
      <c r="C2206" s="468"/>
    </row>
    <row r="2207" spans="3:3">
      <c r="C2207" s="468"/>
    </row>
    <row r="2208" spans="3:3">
      <c r="C2208" s="468"/>
    </row>
    <row r="2209" spans="3:3">
      <c r="C2209" s="468"/>
    </row>
    <row r="2210" spans="3:3">
      <c r="C2210" s="468"/>
    </row>
    <row r="2211" spans="3:3">
      <c r="C2211" s="468"/>
    </row>
    <row r="2212" spans="3:3">
      <c r="C2212" s="468"/>
    </row>
    <row r="2213" spans="3:3">
      <c r="C2213" s="468"/>
    </row>
    <row r="2214" spans="3:3">
      <c r="C2214" s="468"/>
    </row>
    <row r="2215" spans="3:3">
      <c r="C2215" s="468"/>
    </row>
    <row r="2216" spans="3:3">
      <c r="C2216" s="468"/>
    </row>
    <row r="2217" spans="3:3">
      <c r="C2217" s="468"/>
    </row>
    <row r="2218" spans="3:3">
      <c r="C2218" s="468"/>
    </row>
    <row r="2219" spans="3:3">
      <c r="C2219" s="468"/>
    </row>
    <row r="2220" spans="3:3">
      <c r="C2220" s="468"/>
    </row>
    <row r="2221" spans="3:3">
      <c r="C2221" s="468"/>
    </row>
    <row r="2222" spans="3:3">
      <c r="C2222" s="468"/>
    </row>
    <row r="2223" spans="3:3">
      <c r="C2223" s="468"/>
    </row>
    <row r="2224" spans="3:3">
      <c r="C2224" s="468"/>
    </row>
    <row r="2225" spans="3:3">
      <c r="C2225" s="468"/>
    </row>
    <row r="2226" spans="3:3">
      <c r="C2226" s="468"/>
    </row>
    <row r="2227" spans="3:3">
      <c r="C2227" s="468"/>
    </row>
    <row r="2228" spans="3:3">
      <c r="C2228" s="468"/>
    </row>
    <row r="2229" spans="3:3">
      <c r="C2229" s="468"/>
    </row>
    <row r="2230" spans="3:3">
      <c r="C2230" s="468"/>
    </row>
    <row r="2231" spans="3:3">
      <c r="C2231" s="468"/>
    </row>
    <row r="2232" spans="3:3">
      <c r="C2232" s="468"/>
    </row>
    <row r="2233" spans="3:3">
      <c r="C2233" s="468"/>
    </row>
    <row r="2234" spans="3:3">
      <c r="C2234" s="468"/>
    </row>
    <row r="2235" spans="3:3">
      <c r="C2235" s="468"/>
    </row>
    <row r="2236" spans="3:3">
      <c r="C2236" s="468"/>
    </row>
    <row r="2237" spans="3:3">
      <c r="C2237" s="468"/>
    </row>
    <row r="2238" spans="3:3">
      <c r="C2238" s="468"/>
    </row>
    <row r="2239" spans="3:3">
      <c r="C2239" s="468"/>
    </row>
    <row r="2240" spans="3:3">
      <c r="C2240" s="468"/>
    </row>
    <row r="2241" spans="3:3">
      <c r="C2241" s="468"/>
    </row>
    <row r="2242" spans="3:3">
      <c r="C2242" s="468"/>
    </row>
    <row r="2243" spans="3:3">
      <c r="C2243" s="468"/>
    </row>
    <row r="2244" spans="3:3">
      <c r="C2244" s="468"/>
    </row>
    <row r="2245" spans="3:3">
      <c r="C2245" s="468"/>
    </row>
    <row r="2246" spans="3:3">
      <c r="C2246" s="468"/>
    </row>
    <row r="2247" spans="3:3">
      <c r="C2247" s="468"/>
    </row>
    <row r="2248" spans="3:3">
      <c r="C2248" s="468"/>
    </row>
    <row r="2249" spans="3:3">
      <c r="C2249" s="468"/>
    </row>
    <row r="2250" spans="3:3">
      <c r="C2250" s="468"/>
    </row>
    <row r="2251" spans="3:3">
      <c r="C2251" s="468"/>
    </row>
    <row r="2252" spans="3:3">
      <c r="C2252" s="468"/>
    </row>
    <row r="2253" spans="3:3">
      <c r="C2253" s="468"/>
    </row>
    <row r="2254" spans="3:3">
      <c r="C2254" s="468"/>
    </row>
    <row r="2255" spans="3:3">
      <c r="C2255" s="468"/>
    </row>
    <row r="2256" spans="3:3">
      <c r="C2256" s="468"/>
    </row>
    <row r="2257" spans="3:3">
      <c r="C2257" s="468"/>
    </row>
    <row r="2258" spans="3:3">
      <c r="C2258" s="468"/>
    </row>
    <row r="2259" spans="3:3">
      <c r="C2259" s="468"/>
    </row>
    <row r="2260" spans="3:3">
      <c r="C2260" s="468"/>
    </row>
    <row r="2261" spans="3:3">
      <c r="C2261" s="468"/>
    </row>
    <row r="2262" spans="3:3">
      <c r="C2262" s="468"/>
    </row>
    <row r="2263" spans="3:3">
      <c r="C2263" s="468"/>
    </row>
    <row r="2264" spans="3:3">
      <c r="C2264" s="468"/>
    </row>
    <row r="2265" spans="3:3">
      <c r="C2265" s="468"/>
    </row>
    <row r="2266" spans="3:3">
      <c r="C2266" s="468"/>
    </row>
    <row r="2267" spans="3:3">
      <c r="C2267" s="468"/>
    </row>
    <row r="2268" spans="3:3">
      <c r="C2268" s="468"/>
    </row>
    <row r="2269" spans="3:3">
      <c r="C2269" s="468"/>
    </row>
    <row r="2270" spans="3:3">
      <c r="C2270" s="468"/>
    </row>
    <row r="2271" spans="3:3">
      <c r="C2271" s="468"/>
    </row>
    <row r="2272" spans="3:3">
      <c r="C2272" s="468"/>
    </row>
    <row r="2273" spans="3:3">
      <c r="C2273" s="468"/>
    </row>
    <row r="2274" spans="3:3">
      <c r="C2274" s="468"/>
    </row>
    <row r="2275" spans="3:3">
      <c r="C2275" s="468"/>
    </row>
    <row r="2276" spans="3:3">
      <c r="C2276" s="468"/>
    </row>
    <row r="2277" spans="3:3">
      <c r="C2277" s="468"/>
    </row>
    <row r="2278" spans="3:3">
      <c r="C2278" s="468"/>
    </row>
    <row r="2279" spans="3:3">
      <c r="C2279" s="468"/>
    </row>
    <row r="2280" spans="3:3">
      <c r="C2280" s="468"/>
    </row>
    <row r="2281" spans="3:3">
      <c r="C2281" s="468"/>
    </row>
    <row r="2282" spans="3:3">
      <c r="C2282" s="468"/>
    </row>
    <row r="2283" spans="3:3">
      <c r="C2283" s="468"/>
    </row>
    <row r="2284" spans="3:3">
      <c r="C2284" s="468"/>
    </row>
    <row r="2285" spans="3:3">
      <c r="C2285" s="468"/>
    </row>
    <row r="2286" spans="3:3">
      <c r="C2286" s="468"/>
    </row>
    <row r="2287" spans="3:3">
      <c r="C2287" s="468"/>
    </row>
    <row r="2288" spans="3:3">
      <c r="C2288" s="468"/>
    </row>
    <row r="2289" spans="3:3">
      <c r="C2289" s="468"/>
    </row>
    <row r="2290" spans="3:3">
      <c r="C2290" s="468"/>
    </row>
    <row r="2291" spans="3:3">
      <c r="C2291" s="468"/>
    </row>
    <row r="2292" spans="3:3">
      <c r="C2292" s="468"/>
    </row>
    <row r="2293" spans="3:3">
      <c r="C2293" s="468"/>
    </row>
    <row r="2294" spans="3:3">
      <c r="C2294" s="468"/>
    </row>
    <row r="2295" spans="3:3">
      <c r="C2295" s="468"/>
    </row>
    <row r="2296" spans="3:3">
      <c r="C2296" s="468"/>
    </row>
    <row r="2297" spans="3:3">
      <c r="C2297" s="468"/>
    </row>
    <row r="2298" spans="3:3">
      <c r="C2298" s="468"/>
    </row>
    <row r="2299" spans="3:3">
      <c r="C2299" s="468"/>
    </row>
    <row r="2300" spans="3:3">
      <c r="C2300" s="468"/>
    </row>
    <row r="2301" spans="3:3">
      <c r="C2301" s="468"/>
    </row>
    <row r="2302" spans="3:3">
      <c r="C2302" s="468"/>
    </row>
    <row r="2303" spans="3:3">
      <c r="C2303" s="468"/>
    </row>
    <row r="2304" spans="3:3">
      <c r="C2304" s="468"/>
    </row>
    <row r="2305" spans="3:3">
      <c r="C2305" s="468"/>
    </row>
    <row r="2306" spans="3:3">
      <c r="C2306" s="468"/>
    </row>
    <row r="2307" spans="3:3">
      <c r="C2307" s="468"/>
    </row>
    <row r="2308" spans="3:3">
      <c r="C2308" s="468"/>
    </row>
    <row r="2309" spans="3:3">
      <c r="C2309" s="468"/>
    </row>
    <row r="2310" spans="3:3">
      <c r="C2310" s="468"/>
    </row>
    <row r="2311" spans="3:3">
      <c r="C2311" s="468"/>
    </row>
    <row r="2312" spans="3:3">
      <c r="C2312" s="468"/>
    </row>
    <row r="2313" spans="3:3">
      <c r="C2313" s="468"/>
    </row>
    <row r="2314" spans="3:3">
      <c r="C2314" s="468"/>
    </row>
    <row r="2315" spans="3:3">
      <c r="C2315" s="468"/>
    </row>
    <row r="2316" spans="3:3">
      <c r="C2316" s="468"/>
    </row>
    <row r="2317" spans="3:3">
      <c r="C2317" s="468"/>
    </row>
    <row r="2318" spans="3:3">
      <c r="C2318" s="468"/>
    </row>
    <row r="2319" spans="3:3">
      <c r="C2319" s="468"/>
    </row>
    <row r="2320" spans="3:3">
      <c r="C2320" s="468"/>
    </row>
    <row r="2321" spans="3:3">
      <c r="C2321" s="468"/>
    </row>
    <row r="2322" spans="3:3">
      <c r="C2322" s="468"/>
    </row>
    <row r="2323" spans="3:3">
      <c r="C2323" s="468"/>
    </row>
    <row r="2324" spans="3:3">
      <c r="C2324" s="468"/>
    </row>
    <row r="2325" spans="3:3">
      <c r="C2325" s="468"/>
    </row>
    <row r="2326" spans="3:3">
      <c r="C2326" s="468"/>
    </row>
    <row r="2327" spans="3:3">
      <c r="C2327" s="468"/>
    </row>
    <row r="2328" spans="3:3">
      <c r="C2328" s="468"/>
    </row>
    <row r="2329" spans="3:3">
      <c r="C2329" s="468"/>
    </row>
    <row r="2330" spans="3:3">
      <c r="C2330" s="468"/>
    </row>
    <row r="2331" spans="3:3">
      <c r="C2331" s="468"/>
    </row>
    <row r="2332" spans="3:3">
      <c r="C2332" s="468"/>
    </row>
    <row r="2333" spans="3:3">
      <c r="C2333" s="468"/>
    </row>
    <row r="2334" spans="3:3">
      <c r="C2334" s="468"/>
    </row>
    <row r="2335" spans="3:3">
      <c r="C2335" s="468"/>
    </row>
    <row r="2336" spans="3:3">
      <c r="C2336" s="468"/>
    </row>
    <row r="2337" spans="3:3">
      <c r="C2337" s="468"/>
    </row>
    <row r="2338" spans="3:3">
      <c r="C2338" s="468"/>
    </row>
    <row r="2339" spans="3:3">
      <c r="C2339" s="468"/>
    </row>
    <row r="2340" spans="3:3">
      <c r="C2340" s="468"/>
    </row>
    <row r="2341" spans="3:3">
      <c r="C2341" s="468"/>
    </row>
    <row r="2342" spans="3:3">
      <c r="C2342" s="468"/>
    </row>
    <row r="2343" spans="3:3">
      <c r="C2343" s="468"/>
    </row>
    <row r="2344" spans="3:3">
      <c r="C2344" s="468"/>
    </row>
    <row r="2345" spans="3:3">
      <c r="C2345" s="468"/>
    </row>
    <row r="2346" spans="3:3">
      <c r="C2346" s="468"/>
    </row>
    <row r="2347" spans="3:3">
      <c r="C2347" s="468"/>
    </row>
    <row r="2348" spans="3:3">
      <c r="C2348" s="468"/>
    </row>
    <row r="2349" spans="3:3">
      <c r="C2349" s="468"/>
    </row>
    <row r="2350" spans="3:3">
      <c r="C2350" s="468"/>
    </row>
    <row r="2351" spans="3:3">
      <c r="C2351" s="468"/>
    </row>
    <row r="2352" spans="3:3">
      <c r="C2352" s="468"/>
    </row>
    <row r="2353" spans="3:3">
      <c r="C2353" s="468"/>
    </row>
    <row r="2354" spans="3:3">
      <c r="C2354" s="468"/>
    </row>
    <row r="2355" spans="3:3">
      <c r="C2355" s="468"/>
    </row>
    <row r="2356" spans="3:3">
      <c r="C2356" s="468"/>
    </row>
    <row r="2357" spans="3:3">
      <c r="C2357" s="468"/>
    </row>
    <row r="2358" spans="3:3">
      <c r="C2358" s="468"/>
    </row>
    <row r="2359" spans="3:3">
      <c r="C2359" s="468"/>
    </row>
    <row r="2360" spans="3:3">
      <c r="C2360" s="468"/>
    </row>
    <row r="2361" spans="3:3">
      <c r="C2361" s="468"/>
    </row>
    <row r="2362" spans="3:3">
      <c r="C2362" s="468"/>
    </row>
    <row r="2363" spans="3:3">
      <c r="C2363" s="468"/>
    </row>
    <row r="2364" spans="3:3">
      <c r="C2364" s="468"/>
    </row>
    <row r="2365" spans="3:3">
      <c r="C2365" s="468"/>
    </row>
    <row r="2366" spans="3:3">
      <c r="C2366" s="468"/>
    </row>
    <row r="2367" spans="3:3">
      <c r="C2367" s="468"/>
    </row>
    <row r="2368" spans="3:3">
      <c r="C2368" s="468"/>
    </row>
    <row r="2369" spans="3:3">
      <c r="C2369" s="468"/>
    </row>
    <row r="2370" spans="3:3">
      <c r="C2370" s="468"/>
    </row>
    <row r="2371" spans="3:3">
      <c r="C2371" s="468"/>
    </row>
    <row r="2372" spans="3:3">
      <c r="C2372" s="468"/>
    </row>
    <row r="2373" spans="3:3">
      <c r="C2373" s="468"/>
    </row>
    <row r="2374" spans="3:3">
      <c r="C2374" s="468"/>
    </row>
    <row r="2375" spans="3:3">
      <c r="C2375" s="468"/>
    </row>
    <row r="2376" spans="3:3">
      <c r="C2376" s="468"/>
    </row>
    <row r="2377" spans="3:3">
      <c r="C2377" s="468"/>
    </row>
    <row r="2378" spans="3:3">
      <c r="C2378" s="468"/>
    </row>
    <row r="2379" spans="3:3">
      <c r="C2379" s="468"/>
    </row>
    <row r="2380" spans="3:3">
      <c r="C2380" s="468"/>
    </row>
    <row r="2381" spans="3:3">
      <c r="C2381" s="468"/>
    </row>
    <row r="2382" spans="3:3">
      <c r="C2382" s="468"/>
    </row>
    <row r="2383" spans="3:3">
      <c r="C2383" s="468"/>
    </row>
    <row r="2384" spans="3:3">
      <c r="C2384" s="468"/>
    </row>
    <row r="2385" spans="3:3">
      <c r="C2385" s="468"/>
    </row>
    <row r="2386" spans="3:3">
      <c r="C2386" s="468"/>
    </row>
    <row r="2387" spans="3:3">
      <c r="C2387" s="468"/>
    </row>
    <row r="2388" spans="3:3">
      <c r="C2388" s="468"/>
    </row>
    <row r="2389" spans="3:3">
      <c r="C2389" s="468"/>
    </row>
    <row r="2390" spans="3:3">
      <c r="C2390" s="468"/>
    </row>
    <row r="2391" spans="3:3">
      <c r="C2391" s="468"/>
    </row>
    <row r="2392" spans="3:3">
      <c r="C2392" s="468"/>
    </row>
    <row r="2393" spans="3:3">
      <c r="C2393" s="468"/>
    </row>
    <row r="2394" spans="3:3">
      <c r="C2394" s="468"/>
    </row>
    <row r="2395" spans="3:3">
      <c r="C2395" s="468"/>
    </row>
    <row r="2396" spans="3:3">
      <c r="C2396" s="468"/>
    </row>
    <row r="2397" spans="3:3">
      <c r="C2397" s="468"/>
    </row>
    <row r="2398" spans="3:3">
      <c r="C2398" s="468"/>
    </row>
    <row r="2399" spans="3:3">
      <c r="C2399" s="468"/>
    </row>
    <row r="2400" spans="3:3">
      <c r="C2400" s="468"/>
    </row>
    <row r="2401" spans="3:3">
      <c r="C2401" s="468"/>
    </row>
    <row r="2402" spans="3:3">
      <c r="C2402" s="468"/>
    </row>
    <row r="2403" spans="3:3">
      <c r="C2403" s="468"/>
    </row>
    <row r="2404" spans="3:3">
      <c r="C2404" s="468"/>
    </row>
    <row r="2405" spans="3:3">
      <c r="C2405" s="468"/>
    </row>
    <row r="2406" spans="3:3">
      <c r="C2406" s="468"/>
    </row>
    <row r="2407" spans="3:3">
      <c r="C2407" s="468"/>
    </row>
    <row r="2408" spans="3:3">
      <c r="C2408" s="468"/>
    </row>
    <row r="2409" spans="3:3">
      <c r="C2409" s="468"/>
    </row>
    <row r="2410" spans="3:3">
      <c r="C2410" s="468"/>
    </row>
    <row r="2411" spans="3:3">
      <c r="C2411" s="468"/>
    </row>
    <row r="2412" spans="3:3">
      <c r="C2412" s="468"/>
    </row>
    <row r="2413" spans="3:3">
      <c r="C2413" s="468"/>
    </row>
    <row r="2414" spans="3:3">
      <c r="C2414" s="468"/>
    </row>
    <row r="2415" spans="3:3">
      <c r="C2415" s="468"/>
    </row>
    <row r="2416" spans="3:3">
      <c r="C2416" s="468"/>
    </row>
    <row r="2417" spans="3:3">
      <c r="C2417" s="468"/>
    </row>
    <row r="2418" spans="3:3">
      <c r="C2418" s="468"/>
    </row>
    <row r="2419" spans="3:3">
      <c r="C2419" s="468"/>
    </row>
    <row r="2420" spans="3:3">
      <c r="C2420" s="468"/>
    </row>
    <row r="2421" spans="3:3">
      <c r="C2421" s="468"/>
    </row>
    <row r="2422" spans="3:3">
      <c r="C2422" s="468"/>
    </row>
    <row r="2423" spans="3:3">
      <c r="C2423" s="468"/>
    </row>
    <row r="2424" spans="3:3">
      <c r="C2424" s="468"/>
    </row>
    <row r="2425" spans="3:3">
      <c r="C2425" s="468"/>
    </row>
    <row r="2426" spans="3:3">
      <c r="C2426" s="468"/>
    </row>
    <row r="2427" spans="3:3">
      <c r="C2427" s="468"/>
    </row>
    <row r="2428" spans="3:3">
      <c r="C2428" s="468"/>
    </row>
    <row r="2429" spans="3:3">
      <c r="C2429" s="468"/>
    </row>
    <row r="2430" spans="3:3">
      <c r="C2430" s="468"/>
    </row>
    <row r="2431" spans="3:3">
      <c r="C2431" s="468"/>
    </row>
    <row r="2432" spans="3:3">
      <c r="C2432" s="468"/>
    </row>
    <row r="2433" spans="3:3">
      <c r="C2433" s="468"/>
    </row>
    <row r="2434" spans="3:3">
      <c r="C2434" s="468"/>
    </row>
    <row r="2435" spans="3:3">
      <c r="C2435" s="468"/>
    </row>
    <row r="2436" spans="3:3">
      <c r="C2436" s="468"/>
    </row>
    <row r="2437" spans="3:3">
      <c r="C2437" s="468"/>
    </row>
    <row r="2438" spans="3:3">
      <c r="C2438" s="468"/>
    </row>
    <row r="2439" spans="3:3">
      <c r="C2439" s="468"/>
    </row>
    <row r="2440" spans="3:3">
      <c r="C2440" s="468"/>
    </row>
    <row r="2441" spans="3:3">
      <c r="C2441" s="468"/>
    </row>
    <row r="2442" spans="3:3">
      <c r="C2442" s="468"/>
    </row>
    <row r="2443" spans="3:3">
      <c r="C2443" s="468"/>
    </row>
    <row r="2444" spans="3:3">
      <c r="C2444" s="468"/>
    </row>
    <row r="2445" spans="3:3">
      <c r="C2445" s="468"/>
    </row>
    <row r="2446" spans="3:3">
      <c r="C2446" s="468"/>
    </row>
    <row r="2447" spans="3:3">
      <c r="C2447" s="468"/>
    </row>
    <row r="2448" spans="3:3">
      <c r="C2448" s="468"/>
    </row>
    <row r="2449" spans="3:3">
      <c r="C2449" s="468"/>
    </row>
    <row r="2450" spans="3:3">
      <c r="C2450" s="468"/>
    </row>
    <row r="2451" spans="3:3">
      <c r="C2451" s="468"/>
    </row>
    <row r="2452" spans="3:3">
      <c r="C2452" s="468"/>
    </row>
    <row r="2453" spans="3:3">
      <c r="C2453" s="468"/>
    </row>
    <row r="2454" spans="3:3">
      <c r="C2454" s="468"/>
    </row>
    <row r="2455" spans="3:3">
      <c r="C2455" s="468"/>
    </row>
    <row r="2456" spans="3:3">
      <c r="C2456" s="468"/>
    </row>
    <row r="2457" spans="3:3">
      <c r="C2457" s="468"/>
    </row>
    <row r="2458" spans="3:3">
      <c r="C2458" s="468"/>
    </row>
    <row r="2459" spans="3:3">
      <c r="C2459" s="468"/>
    </row>
    <row r="2460" spans="3:3">
      <c r="C2460" s="468"/>
    </row>
    <row r="2461" spans="3:3">
      <c r="C2461" s="468"/>
    </row>
    <row r="2462" spans="3:3">
      <c r="C2462" s="468"/>
    </row>
    <row r="2463" spans="3:3">
      <c r="C2463" s="468"/>
    </row>
    <row r="2464" spans="3:3">
      <c r="C2464" s="468"/>
    </row>
    <row r="2465" spans="3:3">
      <c r="C2465" s="468"/>
    </row>
    <row r="2466" spans="3:3">
      <c r="C2466" s="468"/>
    </row>
    <row r="2467" spans="3:3">
      <c r="C2467" s="468"/>
    </row>
    <row r="2468" spans="3:3">
      <c r="C2468" s="468"/>
    </row>
    <row r="2469" spans="3:3">
      <c r="C2469" s="468"/>
    </row>
    <row r="2470" spans="3:3">
      <c r="C2470" s="468"/>
    </row>
    <row r="2471" spans="3:3">
      <c r="C2471" s="468"/>
    </row>
    <row r="2472" spans="3:3">
      <c r="C2472" s="468"/>
    </row>
    <row r="2473" spans="3:3">
      <c r="C2473" s="468"/>
    </row>
    <row r="2474" spans="3:3">
      <c r="C2474" s="468"/>
    </row>
    <row r="2475" spans="3:3">
      <c r="C2475" s="468"/>
    </row>
    <row r="2476" spans="3:3">
      <c r="C2476" s="468"/>
    </row>
    <row r="2477" spans="3:3">
      <c r="C2477" s="468"/>
    </row>
    <row r="2478" spans="3:3">
      <c r="C2478" s="468"/>
    </row>
    <row r="2479" spans="3:3">
      <c r="C2479" s="468"/>
    </row>
    <row r="2480" spans="3:3">
      <c r="C2480" s="468"/>
    </row>
    <row r="2481" spans="3:3">
      <c r="C2481" s="468"/>
    </row>
    <row r="2482" spans="3:3">
      <c r="C2482" s="468"/>
    </row>
    <row r="2483" spans="3:3">
      <c r="C2483" s="468"/>
    </row>
    <row r="2484" spans="3:3">
      <c r="C2484" s="468"/>
    </row>
    <row r="2485" spans="3:3">
      <c r="C2485" s="468"/>
    </row>
    <row r="2486" spans="3:3">
      <c r="C2486" s="468"/>
    </row>
    <row r="2487" spans="3:3">
      <c r="C2487" s="468"/>
    </row>
    <row r="2488" spans="3:3">
      <c r="C2488" s="468"/>
    </row>
    <row r="2489" spans="3:3">
      <c r="C2489" s="468"/>
    </row>
    <row r="2490" spans="3:3">
      <c r="C2490" s="468"/>
    </row>
    <row r="2491" spans="3:3">
      <c r="C2491" s="468"/>
    </row>
    <row r="2492" spans="3:3">
      <c r="C2492" s="468"/>
    </row>
    <row r="2493" spans="3:3">
      <c r="C2493" s="468"/>
    </row>
    <row r="2494" spans="3:3">
      <c r="C2494" s="468"/>
    </row>
    <row r="2495" spans="3:3">
      <c r="C2495" s="468"/>
    </row>
    <row r="2496" spans="3:3">
      <c r="C2496" s="468"/>
    </row>
    <row r="2497" spans="3:3">
      <c r="C2497" s="468"/>
    </row>
    <row r="2498" spans="3:3">
      <c r="C2498" s="468"/>
    </row>
    <row r="2499" spans="3:3">
      <c r="C2499" s="468"/>
    </row>
    <row r="2500" spans="3:3">
      <c r="C2500" s="468"/>
    </row>
    <row r="2501" spans="3:3">
      <c r="C2501" s="468"/>
    </row>
    <row r="2502" spans="3:3">
      <c r="C2502" s="468"/>
    </row>
    <row r="2503" spans="3:3">
      <c r="C2503" s="468"/>
    </row>
    <row r="2504" spans="3:3">
      <c r="C2504" s="468"/>
    </row>
    <row r="2505" spans="3:3">
      <c r="C2505" s="468"/>
    </row>
    <row r="2506" spans="3:3">
      <c r="C2506" s="468"/>
    </row>
    <row r="2507" spans="3:3">
      <c r="C2507" s="468"/>
    </row>
    <row r="2508" spans="3:3">
      <c r="C2508" s="468"/>
    </row>
    <row r="2509" spans="3:3">
      <c r="C2509" s="468"/>
    </row>
    <row r="2510" spans="3:3">
      <c r="C2510" s="468"/>
    </row>
    <row r="2511" spans="3:3">
      <c r="C2511" s="468"/>
    </row>
    <row r="2512" spans="3:3">
      <c r="C2512" s="468"/>
    </row>
    <row r="2513" spans="3:3">
      <c r="C2513" s="468"/>
    </row>
    <row r="2514" spans="3:3">
      <c r="C2514" s="468"/>
    </row>
    <row r="2515" spans="3:3">
      <c r="C2515" s="468"/>
    </row>
    <row r="2516" spans="3:3">
      <c r="C2516" s="468"/>
    </row>
    <row r="2517" spans="3:3">
      <c r="C2517" s="468"/>
    </row>
    <row r="2518" spans="3:3">
      <c r="C2518" s="468"/>
    </row>
    <row r="2519" spans="3:3">
      <c r="C2519" s="468"/>
    </row>
    <row r="2520" spans="3:3">
      <c r="C2520" s="468"/>
    </row>
    <row r="2521" spans="3:3">
      <c r="C2521" s="468"/>
    </row>
    <row r="2522" spans="3:3">
      <c r="C2522" s="468"/>
    </row>
    <row r="2523" spans="3:3">
      <c r="C2523" s="468"/>
    </row>
    <row r="2524" spans="3:3">
      <c r="C2524" s="468"/>
    </row>
    <row r="2525" spans="3:3">
      <c r="C2525" s="468"/>
    </row>
    <row r="2526" spans="3:3">
      <c r="C2526" s="468"/>
    </row>
    <row r="2527" spans="3:3">
      <c r="C2527" s="468"/>
    </row>
    <row r="2528" spans="3:3">
      <c r="C2528" s="468"/>
    </row>
    <row r="2529" spans="3:3">
      <c r="C2529" s="468"/>
    </row>
    <row r="2530" spans="3:3">
      <c r="C2530" s="468"/>
    </row>
    <row r="2531" spans="3:3">
      <c r="C2531" s="468"/>
    </row>
    <row r="2532" spans="3:3">
      <c r="C2532" s="468"/>
    </row>
    <row r="2533" spans="3:3">
      <c r="C2533" s="468"/>
    </row>
    <row r="2534" spans="3:3">
      <c r="C2534" s="468"/>
    </row>
    <row r="2535" spans="3:3">
      <c r="C2535" s="468"/>
    </row>
    <row r="2536" spans="3:3">
      <c r="C2536" s="468"/>
    </row>
    <row r="2537" spans="3:3">
      <c r="C2537" s="468"/>
    </row>
    <row r="2538" spans="3:3">
      <c r="C2538" s="468"/>
    </row>
    <row r="2539" spans="3:3">
      <c r="C2539" s="468"/>
    </row>
    <row r="2540" spans="3:3">
      <c r="C2540" s="468"/>
    </row>
    <row r="2541" spans="3:3">
      <c r="C2541" s="468"/>
    </row>
    <row r="2542" spans="3:3">
      <c r="C2542" s="468"/>
    </row>
    <row r="2543" spans="3:3">
      <c r="C2543" s="468"/>
    </row>
    <row r="2544" spans="3:3">
      <c r="C2544" s="468"/>
    </row>
    <row r="2545" spans="3:3">
      <c r="C2545" s="468"/>
    </row>
    <row r="2546" spans="3:3">
      <c r="C2546" s="468"/>
    </row>
    <row r="2547" spans="3:3">
      <c r="C2547" s="468"/>
    </row>
    <row r="2548" spans="3:3">
      <c r="C2548" s="468"/>
    </row>
    <row r="2549" spans="3:3">
      <c r="C2549" s="468"/>
    </row>
    <row r="2550" spans="3:3">
      <c r="C2550" s="468"/>
    </row>
    <row r="2551" spans="3:3">
      <c r="C2551" s="468"/>
    </row>
    <row r="2552" spans="3:3">
      <c r="C2552" s="468"/>
    </row>
    <row r="2553" spans="3:3">
      <c r="C2553" s="468"/>
    </row>
    <row r="2554" spans="3:3">
      <c r="C2554" s="468"/>
    </row>
    <row r="2555" spans="3:3">
      <c r="C2555" s="468"/>
    </row>
    <row r="2556" spans="3:3">
      <c r="C2556" s="468"/>
    </row>
    <row r="2557" spans="3:3">
      <c r="C2557" s="468"/>
    </row>
    <row r="2558" spans="3:3">
      <c r="C2558" s="468"/>
    </row>
    <row r="2559" spans="3:3">
      <c r="C2559" s="468"/>
    </row>
    <row r="2560" spans="3:3">
      <c r="C2560" s="468"/>
    </row>
    <row r="2561" spans="3:3">
      <c r="C2561" s="468"/>
    </row>
    <row r="2562" spans="3:3">
      <c r="C2562" s="468"/>
    </row>
    <row r="2563" spans="3:3">
      <c r="C2563" s="468"/>
    </row>
    <row r="2564" spans="3:3">
      <c r="C2564" s="468"/>
    </row>
    <row r="2565" spans="3:3">
      <c r="C2565" s="468"/>
    </row>
    <row r="2566" spans="3:3">
      <c r="C2566" s="468"/>
    </row>
    <row r="2567" spans="3:3">
      <c r="C2567" s="468"/>
    </row>
    <row r="2568" spans="3:3">
      <c r="C2568" s="468"/>
    </row>
    <row r="2569" spans="3:3">
      <c r="C2569" s="468"/>
    </row>
    <row r="2570" spans="3:3">
      <c r="C2570" s="468"/>
    </row>
    <row r="2571" spans="3:3">
      <c r="C2571" s="468"/>
    </row>
    <row r="2572" spans="3:3">
      <c r="C2572" s="468"/>
    </row>
    <row r="2573" spans="3:3">
      <c r="C2573" s="468"/>
    </row>
    <row r="2574" spans="3:3">
      <c r="C2574" s="468"/>
    </row>
    <row r="2575" spans="3:3">
      <c r="C2575" s="468"/>
    </row>
    <row r="2576" spans="3:3">
      <c r="C2576" s="468"/>
    </row>
    <row r="2577" spans="3:3">
      <c r="C2577" s="468"/>
    </row>
    <row r="2578" spans="3:3">
      <c r="C2578" s="468"/>
    </row>
    <row r="2579" spans="3:3">
      <c r="C2579" s="468"/>
    </row>
    <row r="2580" spans="3:3">
      <c r="C2580" s="468"/>
    </row>
    <row r="2581" spans="3:3">
      <c r="C2581" s="468"/>
    </row>
    <row r="2582" spans="3:3">
      <c r="C2582" s="468"/>
    </row>
    <row r="2583" spans="3:3">
      <c r="C2583" s="468"/>
    </row>
    <row r="2584" spans="3:3">
      <c r="C2584" s="468"/>
    </row>
    <row r="2585" spans="3:3">
      <c r="C2585" s="468"/>
    </row>
    <row r="2586" spans="3:3">
      <c r="C2586" s="468"/>
    </row>
    <row r="2587" spans="3:3">
      <c r="C2587" s="468"/>
    </row>
    <row r="2588" spans="3:3">
      <c r="C2588" s="468"/>
    </row>
    <row r="2589" spans="3:3">
      <c r="C2589" s="468"/>
    </row>
    <row r="2590" spans="3:3">
      <c r="C2590" s="468"/>
    </row>
    <row r="2591" spans="3:3">
      <c r="C2591" s="468"/>
    </row>
    <row r="2592" spans="3:3">
      <c r="C2592" s="468"/>
    </row>
    <row r="2593" spans="3:3">
      <c r="C2593" s="468"/>
    </row>
    <row r="2594" spans="3:3">
      <c r="C2594" s="468"/>
    </row>
    <row r="2595" spans="3:3">
      <c r="C2595" s="468"/>
    </row>
    <row r="2596" spans="3:3">
      <c r="C2596" s="468"/>
    </row>
    <row r="2597" spans="3:3">
      <c r="C2597" s="468"/>
    </row>
    <row r="2598" spans="3:3">
      <c r="C2598" s="468"/>
    </row>
    <row r="2599" spans="3:3">
      <c r="C2599" s="468"/>
    </row>
    <row r="2600" spans="3:3">
      <c r="C2600" s="468"/>
    </row>
    <row r="2601" spans="3:3">
      <c r="C2601" s="468"/>
    </row>
    <row r="2602" spans="3:3">
      <c r="C2602" s="468"/>
    </row>
    <row r="2603" spans="3:3">
      <c r="C2603" s="468"/>
    </row>
    <row r="2604" spans="3:3">
      <c r="C2604" s="468"/>
    </row>
    <row r="2605" spans="3:3">
      <c r="C2605" s="468"/>
    </row>
    <row r="2606" spans="3:3">
      <c r="C2606" s="468"/>
    </row>
    <row r="2607" spans="3:3">
      <c r="C2607" s="468"/>
    </row>
    <row r="2608" spans="3:3">
      <c r="C2608" s="468"/>
    </row>
    <row r="2609" spans="3:3">
      <c r="C2609" s="468"/>
    </row>
    <row r="2610" spans="3:3">
      <c r="C2610" s="468"/>
    </row>
    <row r="2611" spans="3:3">
      <c r="C2611" s="468"/>
    </row>
    <row r="2612" spans="3:3">
      <c r="C2612" s="468"/>
    </row>
    <row r="2613" spans="3:3">
      <c r="C2613" s="468"/>
    </row>
    <row r="2614" spans="3:3">
      <c r="C2614" s="468"/>
    </row>
    <row r="2615" spans="3:3">
      <c r="C2615" s="468"/>
    </row>
    <row r="2616" spans="3:3">
      <c r="C2616" s="468"/>
    </row>
    <row r="2617" spans="3:3">
      <c r="C2617" s="468"/>
    </row>
    <row r="2618" spans="3:3">
      <c r="C2618" s="468"/>
    </row>
    <row r="2619" spans="3:3">
      <c r="C2619" s="468"/>
    </row>
    <row r="2620" spans="3:3">
      <c r="C2620" s="468"/>
    </row>
    <row r="2621" spans="3:3">
      <c r="C2621" s="468"/>
    </row>
    <row r="2622" spans="3:3">
      <c r="C2622" s="468"/>
    </row>
    <row r="2623" spans="3:3">
      <c r="C2623" s="468"/>
    </row>
    <row r="2624" spans="3:3">
      <c r="C2624" s="468"/>
    </row>
    <row r="2625" spans="3:3">
      <c r="C2625" s="468"/>
    </row>
    <row r="2626" spans="3:3">
      <c r="C2626" s="468"/>
    </row>
    <row r="2627" spans="3:3">
      <c r="C2627" s="468"/>
    </row>
    <row r="2628" spans="3:3">
      <c r="C2628" s="468"/>
    </row>
    <row r="2629" spans="3:3">
      <c r="C2629" s="468"/>
    </row>
    <row r="2630" spans="3:3">
      <c r="C2630" s="468"/>
    </row>
    <row r="2631" spans="3:3">
      <c r="C2631" s="468"/>
    </row>
    <row r="2632" spans="3:3">
      <c r="C2632" s="468"/>
    </row>
    <row r="2633" spans="3:3">
      <c r="C2633" s="468"/>
    </row>
    <row r="2634" spans="3:3">
      <c r="C2634" s="468"/>
    </row>
    <row r="2635" spans="3:3">
      <c r="C2635" s="468"/>
    </row>
    <row r="2636" spans="3:3">
      <c r="C2636" s="468"/>
    </row>
    <row r="2637" spans="3:3">
      <c r="C2637" s="468"/>
    </row>
    <row r="2638" spans="3:3">
      <c r="C2638" s="468"/>
    </row>
    <row r="2639" spans="3:3">
      <c r="C2639" s="468"/>
    </row>
    <row r="2640" spans="3:3">
      <c r="C2640" s="468"/>
    </row>
    <row r="2641" spans="3:3">
      <c r="C2641" s="468"/>
    </row>
    <row r="2642" spans="3:3">
      <c r="C2642" s="468"/>
    </row>
    <row r="2643" spans="3:3">
      <c r="C2643" s="468"/>
    </row>
    <row r="2644" spans="3:3">
      <c r="C2644" s="468"/>
    </row>
    <row r="2645" spans="3:3">
      <c r="C2645" s="468"/>
    </row>
    <row r="2646" spans="3:3">
      <c r="C2646" s="468"/>
    </row>
    <row r="2647" spans="3:3">
      <c r="C2647" s="468"/>
    </row>
    <row r="2648" spans="3:3">
      <c r="C2648" s="468"/>
    </row>
    <row r="2649" spans="3:3">
      <c r="C2649" s="468"/>
    </row>
    <row r="2650" spans="3:3">
      <c r="C2650" s="468"/>
    </row>
    <row r="2651" spans="3:3">
      <c r="C2651" s="468"/>
    </row>
    <row r="2652" spans="3:3">
      <c r="C2652" s="468"/>
    </row>
    <row r="2653" spans="3:3">
      <c r="C2653" s="468"/>
    </row>
    <row r="2654" spans="3:3">
      <c r="C2654" s="468"/>
    </row>
    <row r="2655" spans="3:3">
      <c r="C2655" s="468"/>
    </row>
    <row r="2656" spans="3:3">
      <c r="C2656" s="468"/>
    </row>
    <row r="2657" spans="3:3">
      <c r="C2657" s="468"/>
    </row>
    <row r="2658" spans="3:3">
      <c r="C2658" s="468"/>
    </row>
    <row r="2659" spans="3:3">
      <c r="C2659" s="468"/>
    </row>
    <row r="2660" spans="3:3">
      <c r="C2660" s="468"/>
    </row>
    <row r="2661" spans="3:3">
      <c r="C2661" s="468"/>
    </row>
    <row r="2662" spans="3:3">
      <c r="C2662" s="468"/>
    </row>
    <row r="2663" spans="3:3">
      <c r="C2663" s="468"/>
    </row>
    <row r="2664" spans="3:3">
      <c r="C2664" s="468"/>
    </row>
    <row r="2665" spans="3:3">
      <c r="C2665" s="468"/>
    </row>
    <row r="2666" spans="3:3">
      <c r="C2666" s="468"/>
    </row>
    <row r="2667" spans="3:3">
      <c r="C2667" s="468"/>
    </row>
    <row r="2668" spans="3:3">
      <c r="C2668" s="468"/>
    </row>
    <row r="2669" spans="3:3">
      <c r="C2669" s="468"/>
    </row>
    <row r="2670" spans="3:3">
      <c r="C2670" s="468"/>
    </row>
    <row r="2671" spans="3:3">
      <c r="C2671" s="468"/>
    </row>
    <row r="2672" spans="3:3">
      <c r="C2672" s="468"/>
    </row>
    <row r="2673" spans="3:3">
      <c r="C2673" s="468"/>
    </row>
    <row r="2674" spans="3:3">
      <c r="C2674" s="468"/>
    </row>
    <row r="2675" spans="3:3">
      <c r="C2675" s="468"/>
    </row>
    <row r="2676" spans="3:3">
      <c r="C2676" s="468"/>
    </row>
    <row r="2677" spans="3:3">
      <c r="C2677" s="468"/>
    </row>
    <row r="2678" spans="3:3">
      <c r="C2678" s="468"/>
    </row>
    <row r="2679" spans="3:3">
      <c r="C2679" s="468"/>
    </row>
    <row r="2680" spans="3:3">
      <c r="C2680" s="468"/>
    </row>
    <row r="2681" spans="3:3">
      <c r="C2681" s="468"/>
    </row>
    <row r="2682" spans="3:3">
      <c r="C2682" s="468"/>
    </row>
    <row r="2683" spans="3:3">
      <c r="C2683" s="468"/>
    </row>
    <row r="2684" spans="3:3">
      <c r="C2684" s="468"/>
    </row>
    <row r="2685" spans="3:3">
      <c r="C2685" s="468"/>
    </row>
    <row r="2686" spans="3:3">
      <c r="C2686" s="468"/>
    </row>
    <row r="2687" spans="3:3">
      <c r="C2687" s="468"/>
    </row>
    <row r="2688" spans="3:3">
      <c r="C2688" s="468"/>
    </row>
    <row r="2689" spans="3:3">
      <c r="C2689" s="468"/>
    </row>
    <row r="2690" spans="3:3">
      <c r="C2690" s="468"/>
    </row>
    <row r="2691" spans="3:3">
      <c r="C2691" s="468"/>
    </row>
    <row r="2692" spans="3:3">
      <c r="C2692" s="468"/>
    </row>
    <row r="2693" spans="3:3">
      <c r="C2693" s="468"/>
    </row>
    <row r="2694" spans="3:3">
      <c r="C2694" s="468"/>
    </row>
    <row r="2695" spans="3:3">
      <c r="C2695" s="468"/>
    </row>
    <row r="2696" spans="3:3">
      <c r="C2696" s="468"/>
    </row>
    <row r="2697" spans="3:3">
      <c r="C2697" s="468"/>
    </row>
    <row r="2698" spans="3:3">
      <c r="C2698" s="468"/>
    </row>
    <row r="2699" spans="3:3">
      <c r="C2699" s="468"/>
    </row>
    <row r="2700" spans="3:3">
      <c r="C2700" s="468"/>
    </row>
    <row r="2701" spans="3:3">
      <c r="C2701" s="468"/>
    </row>
    <row r="2702" spans="3:3">
      <c r="C2702" s="468"/>
    </row>
    <row r="2703" spans="3:3">
      <c r="C2703" s="468"/>
    </row>
    <row r="2704" spans="3:3">
      <c r="C2704" s="468"/>
    </row>
    <row r="2705" spans="3:3">
      <c r="C2705" s="468"/>
    </row>
    <row r="2706" spans="3:3">
      <c r="C2706" s="468"/>
    </row>
    <row r="2707" spans="3:3">
      <c r="C2707" s="468"/>
    </row>
    <row r="2708" spans="3:3">
      <c r="C2708" s="468"/>
    </row>
    <row r="2709" spans="3:3">
      <c r="C2709" s="468"/>
    </row>
    <row r="2710" spans="3:3">
      <c r="C2710" s="468"/>
    </row>
    <row r="2711" spans="3:3">
      <c r="C2711" s="468"/>
    </row>
    <row r="2712" spans="3:3">
      <c r="C2712" s="468"/>
    </row>
    <row r="2713" spans="3:3">
      <c r="C2713" s="468"/>
    </row>
    <row r="2714" spans="3:3">
      <c r="C2714" s="468"/>
    </row>
    <row r="2715" spans="3:3">
      <c r="C2715" s="468"/>
    </row>
    <row r="2716" spans="3:3">
      <c r="C2716" s="468"/>
    </row>
    <row r="2717" spans="3:3">
      <c r="C2717" s="468"/>
    </row>
    <row r="2718" spans="3:3">
      <c r="C2718" s="468"/>
    </row>
    <row r="2719" spans="3:3">
      <c r="C2719" s="468"/>
    </row>
    <row r="2720" spans="3:3">
      <c r="C2720" s="468"/>
    </row>
    <row r="2721" spans="3:3">
      <c r="C2721" s="468"/>
    </row>
    <row r="2722" spans="3:3">
      <c r="C2722" s="468"/>
    </row>
    <row r="2723" spans="3:3">
      <c r="C2723" s="468"/>
    </row>
    <row r="2724" spans="3:3">
      <c r="C2724" s="468"/>
    </row>
    <row r="2725" spans="3:3">
      <c r="C2725" s="468"/>
    </row>
    <row r="2726" spans="3:3">
      <c r="C2726" s="468"/>
    </row>
    <row r="2727" spans="3:3">
      <c r="C2727" s="468"/>
    </row>
    <row r="2728" spans="3:3">
      <c r="C2728" s="468"/>
    </row>
    <row r="2729" spans="3:3">
      <c r="C2729" s="468"/>
    </row>
    <row r="2730" spans="3:3">
      <c r="C2730" s="468"/>
    </row>
    <row r="2731" spans="3:3">
      <c r="C2731" s="468"/>
    </row>
    <row r="2732" spans="3:3">
      <c r="C2732" s="468"/>
    </row>
    <row r="2733" spans="3:3">
      <c r="C2733" s="468"/>
    </row>
    <row r="2734" spans="3:3">
      <c r="C2734" s="468"/>
    </row>
    <row r="2735" spans="3:3">
      <c r="C2735" s="468"/>
    </row>
    <row r="2736" spans="3:3">
      <c r="C2736" s="468"/>
    </row>
    <row r="2737" spans="3:3">
      <c r="C2737" s="468"/>
    </row>
    <row r="2738" spans="3:3">
      <c r="C2738" s="468"/>
    </row>
    <row r="2739" spans="3:3">
      <c r="C2739" s="468"/>
    </row>
    <row r="2740" spans="3:3">
      <c r="C2740" s="468"/>
    </row>
    <row r="2741" spans="3:3">
      <c r="C2741" s="468"/>
    </row>
    <row r="2742" spans="3:3">
      <c r="C2742" s="468"/>
    </row>
    <row r="2743" spans="3:3">
      <c r="C2743" s="468"/>
    </row>
    <row r="2744" spans="3:3">
      <c r="C2744" s="468"/>
    </row>
    <row r="2745" spans="3:3">
      <c r="C2745" s="468"/>
    </row>
    <row r="2746" spans="3:3">
      <c r="C2746" s="468"/>
    </row>
    <row r="2747" spans="3:3">
      <c r="C2747" s="468"/>
    </row>
    <row r="2748" spans="3:3">
      <c r="C2748" s="468"/>
    </row>
    <row r="2749" spans="3:3">
      <c r="C2749" s="468"/>
    </row>
    <row r="2750" spans="3:3">
      <c r="C2750" s="468"/>
    </row>
    <row r="2751" spans="3:3">
      <c r="C2751" s="468"/>
    </row>
    <row r="2752" spans="3:3">
      <c r="C2752" s="468"/>
    </row>
    <row r="2753" spans="3:3">
      <c r="C2753" s="468"/>
    </row>
    <row r="2754" spans="3:3">
      <c r="C2754" s="468"/>
    </row>
    <row r="2755" spans="3:3">
      <c r="C2755" s="468"/>
    </row>
    <row r="2756" spans="3:3">
      <c r="C2756" s="468"/>
    </row>
    <row r="2757" spans="3:3">
      <c r="C2757" s="468"/>
    </row>
    <row r="2758" spans="3:3">
      <c r="C2758" s="468"/>
    </row>
    <row r="2759" spans="3:3">
      <c r="C2759" s="468"/>
    </row>
    <row r="2760" spans="3:3">
      <c r="C2760" s="468"/>
    </row>
    <row r="2761" spans="3:3">
      <c r="C2761" s="468"/>
    </row>
    <row r="2762" spans="3:3">
      <c r="C2762" s="468"/>
    </row>
    <row r="2763" spans="3:3">
      <c r="C2763" s="468"/>
    </row>
    <row r="2764" spans="3:3">
      <c r="C2764" s="468"/>
    </row>
    <row r="2765" spans="3:3">
      <c r="C2765" s="468"/>
    </row>
    <row r="2766" spans="3:3">
      <c r="C2766" s="468"/>
    </row>
    <row r="2767" spans="3:3">
      <c r="C2767" s="468"/>
    </row>
    <row r="2768" spans="3:3">
      <c r="C2768" s="468"/>
    </row>
    <row r="2769" spans="3:3">
      <c r="C2769" s="468"/>
    </row>
    <row r="2770" spans="3:3">
      <c r="C2770" s="468"/>
    </row>
    <row r="2771" spans="3:3">
      <c r="C2771" s="468"/>
    </row>
    <row r="2772" spans="3:3">
      <c r="C2772" s="468"/>
    </row>
    <row r="2773" spans="3:3">
      <c r="C2773" s="468"/>
    </row>
    <row r="2774" spans="3:3">
      <c r="C2774" s="468"/>
    </row>
    <row r="2775" spans="3:3">
      <c r="C2775" s="468"/>
    </row>
    <row r="2776" spans="3:3">
      <c r="C2776" s="468"/>
    </row>
    <row r="2777" spans="3:3">
      <c r="C2777" s="468"/>
    </row>
    <row r="2778" spans="3:3">
      <c r="C2778" s="468"/>
    </row>
    <row r="2779" spans="3:3">
      <c r="C2779" s="468"/>
    </row>
    <row r="2780" spans="3:3">
      <c r="C2780" s="468"/>
    </row>
    <row r="2781" spans="3:3">
      <c r="C2781" s="468"/>
    </row>
    <row r="2782" spans="3:3">
      <c r="C2782" s="468"/>
    </row>
    <row r="2783" spans="3:3">
      <c r="C2783" s="468"/>
    </row>
    <row r="2784" spans="3:3">
      <c r="C2784" s="468"/>
    </row>
    <row r="2785" spans="3:3">
      <c r="C2785" s="468"/>
    </row>
    <row r="2786" spans="3:3">
      <c r="C2786" s="468"/>
    </row>
    <row r="2787" spans="3:3">
      <c r="C2787" s="468"/>
    </row>
    <row r="2788" spans="3:3">
      <c r="C2788" s="468"/>
    </row>
    <row r="2789" spans="3:3">
      <c r="C2789" s="468"/>
    </row>
    <row r="2790" spans="3:3">
      <c r="C2790" s="468"/>
    </row>
    <row r="2791" spans="3:3">
      <c r="C2791" s="468"/>
    </row>
    <row r="2792" spans="3:3">
      <c r="C2792" s="468"/>
    </row>
    <row r="2793" spans="3:3">
      <c r="C2793" s="468"/>
    </row>
    <row r="2794" spans="3:3">
      <c r="C2794" s="468"/>
    </row>
    <row r="2795" spans="3:3">
      <c r="C2795" s="468"/>
    </row>
    <row r="2796" spans="3:3">
      <c r="C2796" s="468"/>
    </row>
    <row r="2797" spans="3:3">
      <c r="C2797" s="468"/>
    </row>
    <row r="2798" spans="3:3">
      <c r="C2798" s="468"/>
    </row>
    <row r="2799" spans="3:3">
      <c r="C2799" s="468"/>
    </row>
    <row r="2800" spans="3:3">
      <c r="C2800" s="468"/>
    </row>
    <row r="2801" spans="3:3">
      <c r="C2801" s="468"/>
    </row>
    <row r="2802" spans="3:3">
      <c r="C2802" s="468"/>
    </row>
    <row r="2803" spans="3:3">
      <c r="C2803" s="468"/>
    </row>
    <row r="2804" spans="3:3">
      <c r="C2804" s="468"/>
    </row>
    <row r="2805" spans="3:3">
      <c r="C2805" s="468"/>
    </row>
    <row r="2806" spans="3:3">
      <c r="C2806" s="468"/>
    </row>
    <row r="2807" spans="3:3">
      <c r="C2807" s="468"/>
    </row>
    <row r="2808" spans="3:3">
      <c r="C2808" s="468"/>
    </row>
    <row r="2809" spans="3:3">
      <c r="C2809" s="468"/>
    </row>
    <row r="2810" spans="3:3">
      <c r="C2810" s="468"/>
    </row>
    <row r="2811" spans="3:3">
      <c r="C2811" s="468"/>
    </row>
    <row r="2812" spans="3:3">
      <c r="C2812" s="468"/>
    </row>
    <row r="2813" spans="3:3">
      <c r="C2813" s="468"/>
    </row>
    <row r="2814" spans="3:3">
      <c r="C2814" s="468"/>
    </row>
    <row r="2815" spans="3:3">
      <c r="C2815" s="468"/>
    </row>
    <row r="2816" spans="3:3">
      <c r="C2816" s="468"/>
    </row>
    <row r="2817" spans="3:3">
      <c r="C2817" s="468"/>
    </row>
    <row r="2818" spans="3:3">
      <c r="C2818" s="468"/>
    </row>
    <row r="2819" spans="3:3">
      <c r="C2819" s="468"/>
    </row>
    <row r="2820" spans="3:3">
      <c r="C2820" s="468"/>
    </row>
    <row r="2821" spans="3:3">
      <c r="C2821" s="468"/>
    </row>
    <row r="2822" spans="3:3">
      <c r="C2822" s="468"/>
    </row>
    <row r="2823" spans="3:3">
      <c r="C2823" s="468"/>
    </row>
    <row r="2824" spans="3:3">
      <c r="C2824" s="468"/>
    </row>
    <row r="2825" spans="3:3">
      <c r="C2825" s="468"/>
    </row>
    <row r="2826" spans="3:3">
      <c r="C2826" s="468"/>
    </row>
    <row r="2827" spans="3:3">
      <c r="C2827" s="468"/>
    </row>
    <row r="2828" spans="3:3">
      <c r="C2828" s="468"/>
    </row>
    <row r="2829" spans="3:3">
      <c r="C2829" s="468"/>
    </row>
    <row r="2830" spans="3:3">
      <c r="C2830" s="468"/>
    </row>
    <row r="2831" spans="3:3">
      <c r="C2831" s="468"/>
    </row>
    <row r="2832" spans="3:3">
      <c r="C2832" s="468"/>
    </row>
    <row r="2833" spans="3:3">
      <c r="C2833" s="468"/>
    </row>
    <row r="2834" spans="3:3">
      <c r="C2834" s="468"/>
    </row>
    <row r="2835" spans="3:3">
      <c r="C2835" s="468"/>
    </row>
    <row r="2836" spans="3:3">
      <c r="C2836" s="468"/>
    </row>
    <row r="2837" spans="3:3">
      <c r="C2837" s="468"/>
    </row>
    <row r="2838" spans="3:3">
      <c r="C2838" s="468"/>
    </row>
    <row r="2839" spans="3:3">
      <c r="C2839" s="468"/>
    </row>
    <row r="2840" spans="3:3">
      <c r="C2840" s="468"/>
    </row>
    <row r="2841" spans="3:3">
      <c r="C2841" s="468"/>
    </row>
    <row r="2842" spans="3:3">
      <c r="C2842" s="468"/>
    </row>
    <row r="2843" spans="3:3">
      <c r="C2843" s="468"/>
    </row>
    <row r="2844" spans="3:3">
      <c r="C2844" s="468"/>
    </row>
    <row r="2845" spans="3:3">
      <c r="C2845" s="468"/>
    </row>
    <row r="2846" spans="3:3">
      <c r="C2846" s="468"/>
    </row>
    <row r="2847" spans="3:3">
      <c r="C2847" s="468"/>
    </row>
    <row r="2848" spans="3:3">
      <c r="C2848" s="468"/>
    </row>
    <row r="2849" spans="3:3">
      <c r="C2849" s="468"/>
    </row>
    <row r="2850" spans="3:3">
      <c r="C2850" s="468"/>
    </row>
    <row r="2851" spans="3:3">
      <c r="C2851" s="468"/>
    </row>
    <row r="2852" spans="3:3">
      <c r="C2852" s="468"/>
    </row>
    <row r="2853" spans="3:3">
      <c r="C2853" s="468"/>
    </row>
    <row r="2854" spans="3:3">
      <c r="C2854" s="468"/>
    </row>
    <row r="2855" spans="3:3">
      <c r="C2855" s="468"/>
    </row>
    <row r="2856" spans="3:3">
      <c r="C2856" s="468"/>
    </row>
    <row r="2857" spans="3:3">
      <c r="C2857" s="468"/>
    </row>
    <row r="2858" spans="3:3">
      <c r="C2858" s="468"/>
    </row>
    <row r="2859" spans="3:3">
      <c r="C2859" s="468"/>
    </row>
    <row r="2860" spans="3:3">
      <c r="C2860" s="468"/>
    </row>
    <row r="2861" spans="3:3">
      <c r="C2861" s="468"/>
    </row>
    <row r="2862" spans="3:3">
      <c r="C2862" s="468"/>
    </row>
    <row r="2863" spans="3:3">
      <c r="C2863" s="468"/>
    </row>
    <row r="2864" spans="3:3">
      <c r="C2864" s="468"/>
    </row>
    <row r="2865" spans="3:3">
      <c r="C2865" s="468"/>
    </row>
    <row r="2866" spans="3:3">
      <c r="C2866" s="468"/>
    </row>
    <row r="2867" spans="3:3">
      <c r="C2867" s="468"/>
    </row>
    <row r="2868" spans="3:3">
      <c r="C2868" s="468"/>
    </row>
    <row r="2869" spans="3:3">
      <c r="C2869" s="468"/>
    </row>
    <row r="2870" spans="3:3">
      <c r="C2870" s="468"/>
    </row>
    <row r="2871" spans="3:3">
      <c r="C2871" s="468"/>
    </row>
    <row r="2872" spans="3:3">
      <c r="C2872" s="468"/>
    </row>
    <row r="2873" spans="3:3">
      <c r="C2873" s="468"/>
    </row>
    <row r="2874" spans="3:3">
      <c r="C2874" s="468"/>
    </row>
    <row r="2875" spans="3:3">
      <c r="C2875" s="468"/>
    </row>
    <row r="2876" spans="3:3">
      <c r="C2876" s="468"/>
    </row>
    <row r="2877" spans="3:3">
      <c r="C2877" s="468"/>
    </row>
    <row r="2878" spans="3:3">
      <c r="C2878" s="468"/>
    </row>
    <row r="2879" spans="3:3">
      <c r="C2879" s="468"/>
    </row>
    <row r="2880" spans="3:3">
      <c r="C2880" s="468"/>
    </row>
    <row r="2881" spans="3:3">
      <c r="C2881" s="468"/>
    </row>
    <row r="2882" spans="3:3">
      <c r="C2882" s="468"/>
    </row>
    <row r="2883" spans="3:3">
      <c r="C2883" s="468"/>
    </row>
    <row r="2884" spans="3:3">
      <c r="C2884" s="468"/>
    </row>
    <row r="2885" spans="3:3">
      <c r="C2885" s="468"/>
    </row>
    <row r="2886" spans="3:3">
      <c r="C2886" s="468"/>
    </row>
    <row r="2887" spans="3:3">
      <c r="C2887" s="468"/>
    </row>
    <row r="2888" spans="3:3">
      <c r="C2888" s="468"/>
    </row>
    <row r="2889" spans="3:3">
      <c r="C2889" s="468"/>
    </row>
    <row r="2890" spans="3:3">
      <c r="C2890" s="468"/>
    </row>
    <row r="2891" spans="3:3">
      <c r="C2891" s="468"/>
    </row>
    <row r="2892" spans="3:3">
      <c r="C2892" s="468"/>
    </row>
    <row r="2893" spans="3:3">
      <c r="C2893" s="468"/>
    </row>
    <row r="2894" spans="3:3">
      <c r="C2894" s="468"/>
    </row>
    <row r="2895" spans="3:3">
      <c r="C2895" s="468"/>
    </row>
    <row r="2896" spans="3:3">
      <c r="C2896" s="468"/>
    </row>
    <row r="2897" spans="3:3">
      <c r="C2897" s="468"/>
    </row>
    <row r="2898" spans="3:3">
      <c r="C2898" s="468"/>
    </row>
    <row r="2899" spans="3:3">
      <c r="C2899" s="468"/>
    </row>
    <row r="2900" spans="3:3">
      <c r="C2900" s="468"/>
    </row>
    <row r="2901" spans="3:3">
      <c r="C2901" s="468"/>
    </row>
    <row r="2902" spans="3:3">
      <c r="C2902" s="468"/>
    </row>
    <row r="2903" spans="3:3">
      <c r="C2903" s="468"/>
    </row>
    <row r="2904" spans="3:3">
      <c r="C2904" s="468"/>
    </row>
    <row r="2905" spans="3:3">
      <c r="C2905" s="468"/>
    </row>
    <row r="2906" spans="3:3">
      <c r="C2906" s="468"/>
    </row>
    <row r="2907" spans="3:3">
      <c r="C2907" s="468"/>
    </row>
    <row r="2908" spans="3:3">
      <c r="C2908" s="468"/>
    </row>
    <row r="2909" spans="3:3">
      <c r="C2909" s="468"/>
    </row>
    <row r="2910" spans="3:3">
      <c r="C2910" s="468"/>
    </row>
    <row r="2911" spans="3:3">
      <c r="C2911" s="468"/>
    </row>
    <row r="2912" spans="3:3">
      <c r="C2912" s="468"/>
    </row>
    <row r="2913" spans="3:3">
      <c r="C2913" s="468"/>
    </row>
    <row r="2914" spans="3:3">
      <c r="C2914" s="468"/>
    </row>
    <row r="2915" spans="3:3">
      <c r="C2915" s="468"/>
    </row>
    <row r="2916" spans="3:3">
      <c r="C2916" s="468"/>
    </row>
    <row r="2917" spans="3:3">
      <c r="C2917" s="468"/>
    </row>
    <row r="2918" spans="3:3">
      <c r="C2918" s="468"/>
    </row>
    <row r="2919" spans="3:3">
      <c r="C2919" s="468"/>
    </row>
    <row r="2920" spans="3:3">
      <c r="C2920" s="468"/>
    </row>
    <row r="2921" spans="3:3">
      <c r="C2921" s="468"/>
    </row>
    <row r="2922" spans="3:3">
      <c r="C2922" s="468"/>
    </row>
    <row r="2923" spans="3:3">
      <c r="C2923" s="468"/>
    </row>
    <row r="2924" spans="3:3">
      <c r="C2924" s="468"/>
    </row>
    <row r="2925" spans="3:3">
      <c r="C2925" s="468"/>
    </row>
    <row r="2926" spans="3:3">
      <c r="C2926" s="468"/>
    </row>
    <row r="2927" spans="3:3">
      <c r="C2927" s="468"/>
    </row>
    <row r="2928" spans="3:3">
      <c r="C2928" s="468"/>
    </row>
    <row r="2929" spans="3:3">
      <c r="C2929" s="468"/>
    </row>
    <row r="2930" spans="3:3">
      <c r="C2930" s="468"/>
    </row>
    <row r="2931" spans="3:3">
      <c r="C2931" s="468"/>
    </row>
    <row r="2932" spans="3:3">
      <c r="C2932" s="468"/>
    </row>
    <row r="2933" spans="3:3">
      <c r="C2933" s="468"/>
    </row>
    <row r="2934" spans="3:3">
      <c r="C2934" s="468"/>
    </row>
    <row r="2935" spans="3:3">
      <c r="C2935" s="468"/>
    </row>
    <row r="2936" spans="3:3">
      <c r="C2936" s="468"/>
    </row>
    <row r="2937" spans="3:3">
      <c r="C2937" s="468"/>
    </row>
    <row r="2938" spans="3:3">
      <c r="C2938" s="468"/>
    </row>
    <row r="2939" spans="3:3">
      <c r="C2939" s="468"/>
    </row>
    <row r="2940" spans="3:3">
      <c r="C2940" s="468"/>
    </row>
    <row r="2941" spans="3:3">
      <c r="C2941" s="468"/>
    </row>
    <row r="2942" spans="3:3">
      <c r="C2942" s="468"/>
    </row>
    <row r="2943" spans="3:3">
      <c r="C2943" s="468"/>
    </row>
    <row r="2944" spans="3:3">
      <c r="C2944" s="468"/>
    </row>
    <row r="2945" spans="3:3">
      <c r="C2945" s="468"/>
    </row>
    <row r="2946" spans="3:3">
      <c r="C2946" s="468"/>
    </row>
    <row r="2947" spans="3:3">
      <c r="C2947" s="468"/>
    </row>
    <row r="2948" spans="3:3">
      <c r="C2948" s="468"/>
    </row>
    <row r="2949" spans="3:3">
      <c r="C2949" s="468"/>
    </row>
    <row r="2950" spans="3:3">
      <c r="C2950" s="468"/>
    </row>
    <row r="2951" spans="3:3">
      <c r="C2951" s="468"/>
    </row>
    <row r="2952" spans="3:3">
      <c r="C2952" s="468"/>
    </row>
    <row r="2953" spans="3:3">
      <c r="C2953" s="468"/>
    </row>
    <row r="2954" spans="3:3">
      <c r="C2954" s="468"/>
    </row>
    <row r="2955" spans="3:3">
      <c r="C2955" s="468"/>
    </row>
    <row r="2956" spans="3:3">
      <c r="C2956" s="468"/>
    </row>
    <row r="2957" spans="3:3">
      <c r="C2957" s="468"/>
    </row>
    <row r="2958" spans="3:3">
      <c r="C2958" s="468"/>
    </row>
    <row r="2959" spans="3:3">
      <c r="C2959" s="468"/>
    </row>
    <row r="2960" spans="3:3">
      <c r="C2960" s="468"/>
    </row>
    <row r="2961" spans="3:3">
      <c r="C2961" s="468"/>
    </row>
    <row r="2962" spans="3:3">
      <c r="C2962" s="468"/>
    </row>
    <row r="2963" spans="3:3">
      <c r="C2963" s="468"/>
    </row>
    <row r="2964" spans="3:3">
      <c r="C2964" s="468"/>
    </row>
    <row r="2965" spans="3:3">
      <c r="C2965" s="468"/>
    </row>
    <row r="2966" spans="3:3">
      <c r="C2966" s="468"/>
    </row>
    <row r="2967" spans="3:3">
      <c r="C2967" s="468"/>
    </row>
    <row r="2968" spans="3:3">
      <c r="C2968" s="468"/>
    </row>
    <row r="2969" spans="3:3">
      <c r="C2969" s="468"/>
    </row>
    <row r="2970" spans="3:3">
      <c r="C2970" s="468"/>
    </row>
    <row r="2971" spans="3:3">
      <c r="C2971" s="468"/>
    </row>
    <row r="2972" spans="3:3">
      <c r="C2972" s="468"/>
    </row>
    <row r="2973" spans="3:3">
      <c r="C2973" s="468"/>
    </row>
    <row r="2974" spans="3:3">
      <c r="C2974" s="468"/>
    </row>
    <row r="2975" spans="3:3">
      <c r="C2975" s="468"/>
    </row>
    <row r="2976" spans="3:3">
      <c r="C2976" s="468"/>
    </row>
    <row r="2977" spans="3:3">
      <c r="C2977" s="468"/>
    </row>
    <row r="2978" spans="3:3">
      <c r="C2978" s="468"/>
    </row>
    <row r="2979" spans="3:3">
      <c r="C2979" s="468"/>
    </row>
    <row r="2980" spans="3:3">
      <c r="C2980" s="468"/>
    </row>
    <row r="2981" spans="3:3">
      <c r="C2981" s="468"/>
    </row>
    <row r="2982" spans="3:3">
      <c r="C2982" s="468"/>
    </row>
    <row r="2983" spans="3:3">
      <c r="C2983" s="468"/>
    </row>
    <row r="2984" spans="3:3">
      <c r="C2984" s="468"/>
    </row>
    <row r="2985" spans="3:3">
      <c r="C2985" s="468"/>
    </row>
    <row r="2986" spans="3:3">
      <c r="C2986" s="468"/>
    </row>
    <row r="2987" spans="3:3">
      <c r="C2987" s="468"/>
    </row>
    <row r="2988" spans="3:3">
      <c r="C2988" s="468"/>
    </row>
    <row r="2989" spans="3:3">
      <c r="C2989" s="468"/>
    </row>
    <row r="2990" spans="3:3">
      <c r="C2990" s="468"/>
    </row>
    <row r="2991" spans="3:3">
      <c r="C2991" s="468"/>
    </row>
    <row r="2992" spans="3:3">
      <c r="C2992" s="468"/>
    </row>
    <row r="2993" spans="3:3">
      <c r="C2993" s="468"/>
    </row>
    <row r="2994" spans="3:3">
      <c r="C2994" s="468"/>
    </row>
    <row r="2995" spans="3:3">
      <c r="C2995" s="468"/>
    </row>
    <row r="2996" spans="3:3">
      <c r="C2996" s="468"/>
    </row>
    <row r="2997" spans="3:3">
      <c r="C2997" s="468"/>
    </row>
    <row r="2998" spans="3:3">
      <c r="C2998" s="468"/>
    </row>
    <row r="2999" spans="3:3">
      <c r="C2999" s="468"/>
    </row>
    <row r="3000" spans="3:3">
      <c r="C3000" s="468"/>
    </row>
    <row r="3001" spans="3:3">
      <c r="C3001" s="468"/>
    </row>
    <row r="3002" spans="3:3">
      <c r="C3002" s="468"/>
    </row>
    <row r="3003" spans="3:3">
      <c r="C3003" s="468"/>
    </row>
    <row r="3004" spans="3:3">
      <c r="C3004" s="468"/>
    </row>
    <row r="3005" spans="3:3">
      <c r="C3005" s="468"/>
    </row>
    <row r="3006" spans="3:3">
      <c r="C3006" s="468"/>
    </row>
    <row r="3007" spans="3:3">
      <c r="C3007" s="468"/>
    </row>
    <row r="3008" spans="3:3">
      <c r="C3008" s="468"/>
    </row>
    <row r="3009" spans="3:3">
      <c r="C3009" s="468"/>
    </row>
    <row r="3010" spans="3:3">
      <c r="C3010" s="468"/>
    </row>
    <row r="3011" spans="3:3">
      <c r="C3011" s="468"/>
    </row>
    <row r="3012" spans="3:3">
      <c r="C3012" s="468"/>
    </row>
    <row r="3013" spans="3:3">
      <c r="C3013" s="468"/>
    </row>
    <row r="3014" spans="3:3">
      <c r="C3014" s="468"/>
    </row>
    <row r="3015" spans="3:3">
      <c r="C3015" s="468"/>
    </row>
    <row r="3016" spans="3:3">
      <c r="C3016" s="468"/>
    </row>
    <row r="3017" spans="3:3">
      <c r="C3017" s="468"/>
    </row>
    <row r="3018" spans="3:3">
      <c r="C3018" s="468"/>
    </row>
    <row r="3019" spans="3:3">
      <c r="C3019" s="468"/>
    </row>
    <row r="3020" spans="3:3">
      <c r="C3020" s="468"/>
    </row>
    <row r="3021" spans="3:3">
      <c r="C3021" s="468"/>
    </row>
    <row r="3022" spans="3:3">
      <c r="C3022" s="468"/>
    </row>
    <row r="3023" spans="3:3">
      <c r="C3023" s="468"/>
    </row>
    <row r="3024" spans="3:3">
      <c r="C3024" s="468"/>
    </row>
    <row r="3025" spans="3:3">
      <c r="C3025" s="468"/>
    </row>
    <row r="3026" spans="3:3">
      <c r="C3026" s="468"/>
    </row>
    <row r="3027" spans="3:3">
      <c r="C3027" s="468"/>
    </row>
    <row r="3028" spans="3:3">
      <c r="C3028" s="468"/>
    </row>
    <row r="3029" spans="3:3">
      <c r="C3029" s="468"/>
    </row>
    <row r="3030" spans="3:3">
      <c r="C3030" s="468"/>
    </row>
    <row r="3031" spans="3:3">
      <c r="C3031" s="468"/>
    </row>
    <row r="3032" spans="3:3">
      <c r="C3032" s="468"/>
    </row>
    <row r="3033" spans="3:3">
      <c r="C3033" s="468"/>
    </row>
    <row r="3034" spans="3:3">
      <c r="C3034" s="468"/>
    </row>
    <row r="3035" spans="3:3">
      <c r="C3035" s="468"/>
    </row>
    <row r="3036" spans="3:3">
      <c r="C3036" s="468"/>
    </row>
    <row r="3037" spans="3:3">
      <c r="C3037" s="468"/>
    </row>
    <row r="3038" spans="3:3">
      <c r="C3038" s="468"/>
    </row>
    <row r="3039" spans="3:3">
      <c r="C3039" s="468"/>
    </row>
    <row r="3040" spans="3:3">
      <c r="C3040" s="468"/>
    </row>
    <row r="3041" spans="3:3">
      <c r="C3041" s="468"/>
    </row>
    <row r="3042" spans="3:3">
      <c r="C3042" s="468"/>
    </row>
    <row r="3043" spans="3:3">
      <c r="C3043" s="468"/>
    </row>
    <row r="3044" spans="3:3">
      <c r="C3044" s="468"/>
    </row>
    <row r="3045" spans="3:3">
      <c r="C3045" s="468"/>
    </row>
    <row r="3046" spans="3:3">
      <c r="C3046" s="468"/>
    </row>
    <row r="3047" spans="3:3">
      <c r="C3047" s="468"/>
    </row>
    <row r="3048" spans="3:3">
      <c r="C3048" s="468"/>
    </row>
    <row r="3049" spans="3:3">
      <c r="C3049" s="468"/>
    </row>
    <row r="3050" spans="3:3">
      <c r="C3050" s="468"/>
    </row>
    <row r="3051" spans="3:3">
      <c r="C3051" s="468"/>
    </row>
    <row r="3052" spans="3:3">
      <c r="C3052" s="468"/>
    </row>
    <row r="3053" spans="3:3">
      <c r="C3053" s="468"/>
    </row>
    <row r="3054" spans="3:3">
      <c r="C3054" s="468"/>
    </row>
    <row r="3055" spans="3:3">
      <c r="C3055" s="468"/>
    </row>
    <row r="3056" spans="3:3">
      <c r="C3056" s="468"/>
    </row>
    <row r="3057" spans="3:3">
      <c r="C3057" s="468"/>
    </row>
    <row r="3058" spans="3:3">
      <c r="C3058" s="468"/>
    </row>
    <row r="3059" spans="3:3">
      <c r="C3059" s="468"/>
    </row>
    <row r="3060" spans="3:3">
      <c r="C3060" s="468"/>
    </row>
    <row r="3061" spans="3:3">
      <c r="C3061" s="468"/>
    </row>
    <row r="3062" spans="3:3">
      <c r="C3062" s="468"/>
    </row>
    <row r="3063" spans="3:3">
      <c r="C3063" s="468"/>
    </row>
    <row r="3064" spans="3:3">
      <c r="C3064" s="468"/>
    </row>
    <row r="3065" spans="3:3">
      <c r="C3065" s="468"/>
    </row>
    <row r="3066" spans="3:3">
      <c r="C3066" s="468"/>
    </row>
    <row r="3067" spans="3:3">
      <c r="C3067" s="468"/>
    </row>
    <row r="3068" spans="3:3">
      <c r="C3068" s="468"/>
    </row>
    <row r="3069" spans="3:3">
      <c r="C3069" s="468"/>
    </row>
    <row r="3070" spans="3:3">
      <c r="C3070" s="468"/>
    </row>
    <row r="3071" spans="3:3">
      <c r="C3071" s="468"/>
    </row>
    <row r="3072" spans="3:3">
      <c r="C3072" s="468"/>
    </row>
    <row r="3073" spans="3:3">
      <c r="C3073" s="468"/>
    </row>
    <row r="3074" spans="3:3">
      <c r="C3074" s="468"/>
    </row>
    <row r="3075" spans="3:3">
      <c r="C3075" s="468"/>
    </row>
    <row r="3076" spans="3:3">
      <c r="C3076" s="468"/>
    </row>
    <row r="3077" spans="3:3">
      <c r="C3077" s="468"/>
    </row>
    <row r="3078" spans="3:3">
      <c r="C3078" s="468"/>
    </row>
    <row r="3079" spans="3:3">
      <c r="C3079" s="468"/>
    </row>
    <row r="3080" spans="3:3">
      <c r="C3080" s="468"/>
    </row>
    <row r="3081" spans="3:3">
      <c r="C3081" s="468"/>
    </row>
    <row r="3082" spans="3:3">
      <c r="C3082" s="468"/>
    </row>
    <row r="3083" spans="3:3">
      <c r="C3083" s="468"/>
    </row>
    <row r="3084" spans="3:3">
      <c r="C3084" s="468"/>
    </row>
    <row r="3085" spans="3:3">
      <c r="C3085" s="468"/>
    </row>
    <row r="3086" spans="3:3">
      <c r="C3086" s="468"/>
    </row>
    <row r="3087" spans="3:3">
      <c r="C3087" s="468"/>
    </row>
    <row r="3088" spans="3:3">
      <c r="C3088" s="468"/>
    </row>
    <row r="3089" spans="3:3">
      <c r="C3089" s="468"/>
    </row>
    <row r="3090" spans="3:3">
      <c r="C3090" s="468"/>
    </row>
    <row r="3091" spans="3:3">
      <c r="C3091" s="468"/>
    </row>
    <row r="3092" spans="3:3">
      <c r="C3092" s="468"/>
    </row>
    <row r="3093" spans="3:3">
      <c r="C3093" s="468"/>
    </row>
    <row r="3094" spans="3:3">
      <c r="C3094" s="468"/>
    </row>
    <row r="3095" spans="3:3">
      <c r="C3095" s="468"/>
    </row>
    <row r="3096" spans="3:3">
      <c r="C3096" s="468"/>
    </row>
    <row r="3097" spans="3:3">
      <c r="C3097" s="468"/>
    </row>
    <row r="3098" spans="3:3">
      <c r="C3098" s="468"/>
    </row>
    <row r="3099" spans="3:3">
      <c r="C3099" s="468"/>
    </row>
    <row r="3100" spans="3:3">
      <c r="C3100" s="468"/>
    </row>
    <row r="3101" spans="3:3">
      <c r="C3101" s="468"/>
    </row>
    <row r="3102" spans="3:3">
      <c r="C3102" s="468"/>
    </row>
    <row r="3103" spans="3:3">
      <c r="C3103" s="468"/>
    </row>
    <row r="3104" spans="3:3">
      <c r="C3104" s="468"/>
    </row>
    <row r="3105" spans="3:3">
      <c r="C3105" s="468"/>
    </row>
    <row r="3106" spans="3:3">
      <c r="C3106" s="468"/>
    </row>
    <row r="3107" spans="3:3">
      <c r="C3107" s="468"/>
    </row>
    <row r="3108" spans="3:3">
      <c r="C3108" s="468"/>
    </row>
    <row r="3109" spans="3:3">
      <c r="C3109" s="468"/>
    </row>
    <row r="3110" spans="3:3">
      <c r="C3110" s="468"/>
    </row>
    <row r="3111" spans="3:3">
      <c r="C3111" s="468"/>
    </row>
    <row r="3112" spans="3:3">
      <c r="C3112" s="468"/>
    </row>
    <row r="3113" spans="3:3">
      <c r="C3113" s="468"/>
    </row>
    <row r="3114" spans="3:3">
      <c r="C3114" s="468"/>
    </row>
    <row r="3115" spans="3:3">
      <c r="C3115" s="468"/>
    </row>
    <row r="3116" spans="3:3">
      <c r="C3116" s="468"/>
    </row>
    <row r="3117" spans="3:3">
      <c r="C3117" s="468"/>
    </row>
    <row r="3118" spans="3:3">
      <c r="C3118" s="468"/>
    </row>
    <row r="3119" spans="3:3">
      <c r="C3119" s="468"/>
    </row>
    <row r="3120" spans="3:3">
      <c r="C3120" s="468"/>
    </row>
    <row r="3121" spans="3:3">
      <c r="C3121" s="468"/>
    </row>
    <row r="3122" spans="3:3">
      <c r="C3122" s="468"/>
    </row>
    <row r="3123" spans="3:3">
      <c r="C3123" s="468"/>
    </row>
    <row r="3124" spans="3:3">
      <c r="C3124" s="468"/>
    </row>
    <row r="3125" spans="3:3">
      <c r="C3125" s="468"/>
    </row>
    <row r="3126" spans="3:3">
      <c r="C3126" s="468"/>
    </row>
    <row r="3127" spans="3:3">
      <c r="C3127" s="468"/>
    </row>
    <row r="3128" spans="3:3">
      <c r="C3128" s="468"/>
    </row>
    <row r="3129" spans="3:3">
      <c r="C3129" s="468"/>
    </row>
    <row r="3130" spans="3:3">
      <c r="C3130" s="468"/>
    </row>
    <row r="3131" spans="3:3">
      <c r="C3131" s="468"/>
    </row>
    <row r="3132" spans="3:3">
      <c r="C3132" s="468"/>
    </row>
    <row r="3133" spans="3:3">
      <c r="C3133" s="468"/>
    </row>
    <row r="3134" spans="3:3">
      <c r="C3134" s="468"/>
    </row>
    <row r="3135" spans="3:3">
      <c r="C3135" s="468"/>
    </row>
    <row r="3136" spans="3:3">
      <c r="C3136" s="468"/>
    </row>
    <row r="3137" spans="3:3">
      <c r="C3137" s="468"/>
    </row>
    <row r="3138" spans="3:3">
      <c r="C3138" s="468"/>
    </row>
    <row r="3139" spans="3:3">
      <c r="C3139" s="468"/>
    </row>
    <row r="3140" spans="3:3">
      <c r="C3140" s="468"/>
    </row>
    <row r="3141" spans="3:3">
      <c r="C3141" s="468"/>
    </row>
    <row r="3142" spans="3:3">
      <c r="C3142" s="468"/>
    </row>
    <row r="3143" spans="3:3">
      <c r="C3143" s="468"/>
    </row>
    <row r="3144" spans="3:3">
      <c r="C3144" s="468"/>
    </row>
    <row r="3145" spans="3:3">
      <c r="C3145" s="468"/>
    </row>
    <row r="3146" spans="3:3">
      <c r="C3146" s="468"/>
    </row>
    <row r="3147" spans="3:3">
      <c r="C3147" s="468"/>
    </row>
    <row r="3148" spans="3:3">
      <c r="C3148" s="468"/>
    </row>
    <row r="3149" spans="3:3">
      <c r="C3149" s="468"/>
    </row>
    <row r="3150" spans="3:3">
      <c r="C3150" s="468"/>
    </row>
    <row r="3151" spans="3:3">
      <c r="C3151" s="468"/>
    </row>
    <row r="3152" spans="3:3">
      <c r="C3152" s="468"/>
    </row>
    <row r="3153" spans="3:3">
      <c r="C3153" s="468"/>
    </row>
    <row r="3154" spans="3:3">
      <c r="C3154" s="468"/>
    </row>
    <row r="3155" spans="3:3">
      <c r="C3155" s="468"/>
    </row>
    <row r="3156" spans="3:3">
      <c r="C3156" s="468"/>
    </row>
    <row r="3157" spans="3:3">
      <c r="C3157" s="468"/>
    </row>
    <row r="3158" spans="3:3">
      <c r="C3158" s="468"/>
    </row>
    <row r="3159" spans="3:3">
      <c r="C3159" s="468"/>
    </row>
    <row r="3160" spans="3:3">
      <c r="C3160" s="468"/>
    </row>
    <row r="3161" spans="3:3">
      <c r="C3161" s="468"/>
    </row>
    <row r="3162" spans="3:3">
      <c r="C3162" s="468"/>
    </row>
    <row r="3163" spans="3:3">
      <c r="C3163" s="468"/>
    </row>
    <row r="3164" spans="3:3">
      <c r="C3164" s="468"/>
    </row>
    <row r="3165" spans="3:3">
      <c r="C3165" s="468"/>
    </row>
    <row r="3166" spans="3:3">
      <c r="C3166" s="468"/>
    </row>
    <row r="3167" spans="3:3">
      <c r="C3167" s="468"/>
    </row>
    <row r="3168" spans="3:3">
      <c r="C3168" s="468"/>
    </row>
    <row r="3169" spans="3:3">
      <c r="C3169" s="468"/>
    </row>
    <row r="3170" spans="3:3">
      <c r="C3170" s="468"/>
    </row>
    <row r="3171" spans="3:3">
      <c r="C3171" s="468"/>
    </row>
    <row r="3172" spans="3:3">
      <c r="C3172" s="468"/>
    </row>
    <row r="3173" spans="3:3">
      <c r="C3173" s="468"/>
    </row>
    <row r="3174" spans="3:3">
      <c r="C3174" s="468"/>
    </row>
    <row r="3175" spans="3:3">
      <c r="C3175" s="468"/>
    </row>
    <row r="3176" spans="3:3">
      <c r="C3176" s="468"/>
    </row>
    <row r="3177" spans="3:3">
      <c r="C3177" s="468"/>
    </row>
    <row r="3178" spans="3:3">
      <c r="C3178" s="468"/>
    </row>
    <row r="3179" spans="3:3">
      <c r="C3179" s="468"/>
    </row>
    <row r="3180" spans="3:3">
      <c r="C3180" s="468"/>
    </row>
    <row r="3181" spans="3:3">
      <c r="C3181" s="468"/>
    </row>
    <row r="3182" spans="3:3">
      <c r="C3182" s="468"/>
    </row>
    <row r="3183" spans="3:3">
      <c r="C3183" s="468"/>
    </row>
    <row r="3184" spans="3:3">
      <c r="C3184" s="468"/>
    </row>
    <row r="3185" spans="3:3">
      <c r="C3185" s="468"/>
    </row>
    <row r="3186" spans="3:3">
      <c r="C3186" s="468"/>
    </row>
    <row r="3187" spans="3:3">
      <c r="C3187" s="468"/>
    </row>
    <row r="3188" spans="3:3">
      <c r="C3188" s="468"/>
    </row>
    <row r="3189" spans="3:3">
      <c r="C3189" s="468"/>
    </row>
    <row r="3190" spans="3:3">
      <c r="C3190" s="468"/>
    </row>
    <row r="3191" spans="3:3">
      <c r="C3191" s="468"/>
    </row>
    <row r="3192" spans="3:3">
      <c r="C3192" s="468"/>
    </row>
    <row r="3193" spans="3:3">
      <c r="C3193" s="468"/>
    </row>
    <row r="3194" spans="3:3">
      <c r="C3194" s="468"/>
    </row>
    <row r="3195" spans="3:3">
      <c r="C3195" s="468"/>
    </row>
    <row r="3196" spans="3:3">
      <c r="C3196" s="468"/>
    </row>
    <row r="3197" spans="3:3">
      <c r="C3197" s="468"/>
    </row>
    <row r="3198" spans="3:3">
      <c r="C3198" s="468"/>
    </row>
    <row r="3199" spans="3:3">
      <c r="C3199" s="468"/>
    </row>
    <row r="3200" spans="3:3">
      <c r="C3200" s="468"/>
    </row>
    <row r="3201" spans="3:3">
      <c r="C3201" s="468"/>
    </row>
    <row r="3202" spans="3:3">
      <c r="C3202" s="468"/>
    </row>
    <row r="3203" spans="3:3">
      <c r="C3203" s="468"/>
    </row>
    <row r="3204" spans="3:3">
      <c r="C3204" s="468"/>
    </row>
    <row r="3205" spans="3:3">
      <c r="C3205" s="468"/>
    </row>
    <row r="3206" spans="3:3">
      <c r="C3206" s="468"/>
    </row>
    <row r="3207" spans="3:3">
      <c r="C3207" s="468"/>
    </row>
    <row r="3208" spans="3:3">
      <c r="C3208" s="468"/>
    </row>
    <row r="3209" spans="3:3">
      <c r="C3209" s="468"/>
    </row>
    <row r="3210" spans="3:3">
      <c r="C3210" s="468"/>
    </row>
    <row r="3211" spans="3:3">
      <c r="C3211" s="468"/>
    </row>
    <row r="3212" spans="3:3">
      <c r="C3212" s="468"/>
    </row>
    <row r="3213" spans="3:3">
      <c r="C3213" s="468"/>
    </row>
    <row r="3214" spans="3:3">
      <c r="C3214" s="468"/>
    </row>
    <row r="3215" spans="3:3">
      <c r="C3215" s="468"/>
    </row>
    <row r="3216" spans="3:3">
      <c r="C3216" s="468"/>
    </row>
    <row r="3217" spans="3:3">
      <c r="C3217" s="468"/>
    </row>
    <row r="3218" spans="3:3">
      <c r="C3218" s="468"/>
    </row>
    <row r="3219" spans="3:3">
      <c r="C3219" s="468"/>
    </row>
    <row r="3220" spans="3:3">
      <c r="C3220" s="468"/>
    </row>
    <row r="3221" spans="3:3">
      <c r="C3221" s="468"/>
    </row>
    <row r="3222" spans="3:3">
      <c r="C3222" s="468"/>
    </row>
    <row r="3223" spans="3:3">
      <c r="C3223" s="468"/>
    </row>
    <row r="3224" spans="3:3">
      <c r="C3224" s="468"/>
    </row>
    <row r="3225" spans="3:3">
      <c r="C3225" s="468"/>
    </row>
    <row r="3226" spans="3:3">
      <c r="C3226" s="468"/>
    </row>
    <row r="3227" spans="3:3">
      <c r="C3227" s="468"/>
    </row>
    <row r="3228" spans="3:3">
      <c r="C3228" s="468"/>
    </row>
    <row r="3229" spans="3:3">
      <c r="C3229" s="468"/>
    </row>
    <row r="3230" spans="3:3">
      <c r="C3230" s="468"/>
    </row>
    <row r="3231" spans="3:3">
      <c r="C3231" s="468"/>
    </row>
    <row r="3232" spans="3:3">
      <c r="C3232" s="468"/>
    </row>
    <row r="3233" spans="3:3">
      <c r="C3233" s="468"/>
    </row>
    <row r="3234" spans="3:3">
      <c r="C3234" s="468"/>
    </row>
    <row r="3235" spans="3:3">
      <c r="C3235" s="468"/>
    </row>
    <row r="3236" spans="3:3">
      <c r="C3236" s="468"/>
    </row>
    <row r="3237" spans="3:3">
      <c r="C3237" s="468"/>
    </row>
    <row r="3238" spans="3:3">
      <c r="C3238" s="468"/>
    </row>
    <row r="3239" spans="3:3">
      <c r="C3239" s="468"/>
    </row>
    <row r="3240" spans="3:3">
      <c r="C3240" s="468"/>
    </row>
    <row r="3241" spans="3:3">
      <c r="C3241" s="468"/>
    </row>
    <row r="3242" spans="3:3">
      <c r="C3242" s="468"/>
    </row>
    <row r="3243" spans="3:3">
      <c r="C3243" s="468"/>
    </row>
    <row r="3244" spans="3:3">
      <c r="C3244" s="468"/>
    </row>
    <row r="3245" spans="3:3">
      <c r="C3245" s="468"/>
    </row>
    <row r="3246" spans="3:3">
      <c r="C3246" s="468"/>
    </row>
    <row r="3247" spans="3:3">
      <c r="C3247" s="468"/>
    </row>
    <row r="3248" spans="3:3">
      <c r="C3248" s="468"/>
    </row>
    <row r="3249" spans="3:3">
      <c r="C3249" s="468"/>
    </row>
    <row r="3250" spans="3:3">
      <c r="C3250" s="468"/>
    </row>
    <row r="3251" spans="3:3">
      <c r="C3251" s="468"/>
    </row>
    <row r="3252" spans="3:3">
      <c r="C3252" s="468"/>
    </row>
    <row r="3253" spans="3:3">
      <c r="C3253" s="468"/>
    </row>
    <row r="3254" spans="3:3">
      <c r="C3254" s="468"/>
    </row>
    <row r="3255" spans="3:3">
      <c r="C3255" s="468"/>
    </row>
    <row r="3256" spans="3:3">
      <c r="C3256" s="468"/>
    </row>
    <row r="3257" spans="3:3">
      <c r="C3257" s="468"/>
    </row>
    <row r="3258" spans="3:3">
      <c r="C3258" s="468"/>
    </row>
    <row r="3259" spans="3:3">
      <c r="C3259" s="468"/>
    </row>
    <row r="3260" spans="3:3">
      <c r="C3260" s="468"/>
    </row>
    <row r="3261" spans="3:3">
      <c r="C3261" s="468"/>
    </row>
    <row r="3262" spans="3:3">
      <c r="C3262" s="468"/>
    </row>
    <row r="3263" spans="3:3">
      <c r="C3263" s="468"/>
    </row>
    <row r="3264" spans="3:3">
      <c r="C3264" s="468"/>
    </row>
    <row r="3265" spans="3:3">
      <c r="C3265" s="468"/>
    </row>
    <row r="3266" spans="3:3">
      <c r="C3266" s="468"/>
    </row>
    <row r="3267" spans="3:3">
      <c r="C3267" s="468"/>
    </row>
    <row r="3268" spans="3:3">
      <c r="C3268" s="468"/>
    </row>
    <row r="3269" spans="3:3">
      <c r="C3269" s="468"/>
    </row>
    <row r="3270" spans="3:3">
      <c r="C3270" s="468"/>
    </row>
    <row r="3271" spans="3:3">
      <c r="C3271" s="468"/>
    </row>
    <row r="3272" spans="3:3">
      <c r="C3272" s="468"/>
    </row>
    <row r="3273" spans="3:3">
      <c r="C3273" s="468"/>
    </row>
    <row r="3274" spans="3:3">
      <c r="C3274" s="468"/>
    </row>
    <row r="3275" spans="3:3">
      <c r="C3275" s="468"/>
    </row>
    <row r="3276" spans="3:3">
      <c r="C3276" s="468"/>
    </row>
    <row r="3277" spans="3:3">
      <c r="C3277" s="468"/>
    </row>
    <row r="3278" spans="3:3">
      <c r="C3278" s="468"/>
    </row>
    <row r="3279" spans="3:3">
      <c r="C3279" s="468"/>
    </row>
    <row r="3280" spans="3:3">
      <c r="C3280" s="468"/>
    </row>
    <row r="3281" spans="3:3">
      <c r="C3281" s="468"/>
    </row>
    <row r="3282" spans="3:3">
      <c r="C3282" s="468"/>
    </row>
    <row r="3283" spans="3:3">
      <c r="C3283" s="468"/>
    </row>
    <row r="3284" spans="3:3">
      <c r="C3284" s="468"/>
    </row>
    <row r="3285" spans="3:3">
      <c r="C3285" s="468"/>
    </row>
    <row r="3286" spans="3:3">
      <c r="C3286" s="468"/>
    </row>
    <row r="3287" spans="3:3">
      <c r="C3287" s="468"/>
    </row>
    <row r="3288" spans="3:3">
      <c r="C3288" s="468"/>
    </row>
    <row r="3289" spans="3:3">
      <c r="C3289" s="468"/>
    </row>
    <row r="3290" spans="3:3">
      <c r="C3290" s="468"/>
    </row>
    <row r="3291" spans="3:3">
      <c r="C3291" s="468"/>
    </row>
    <row r="3292" spans="3:3">
      <c r="C3292" s="468"/>
    </row>
    <row r="3293" spans="3:3">
      <c r="C3293" s="468"/>
    </row>
    <row r="3294" spans="3:3">
      <c r="C3294" s="468"/>
    </row>
    <row r="3295" spans="3:3">
      <c r="C3295" s="468"/>
    </row>
    <row r="3296" spans="3:3">
      <c r="C3296" s="468"/>
    </row>
    <row r="3297" spans="3:3">
      <c r="C3297" s="468"/>
    </row>
    <row r="3298" spans="3:3">
      <c r="C3298" s="468"/>
    </row>
    <row r="3299" spans="3:3">
      <c r="C3299" s="468"/>
    </row>
    <row r="3300" spans="3:3">
      <c r="C3300" s="468"/>
    </row>
    <row r="3301" spans="3:3">
      <c r="C3301" s="468"/>
    </row>
    <row r="3302" spans="3:3">
      <c r="C3302" s="468"/>
    </row>
    <row r="3303" spans="3:3">
      <c r="C3303" s="468"/>
    </row>
    <row r="3304" spans="3:3">
      <c r="C3304" s="468"/>
    </row>
    <row r="3305" spans="3:3">
      <c r="C3305" s="468"/>
    </row>
    <row r="3306" spans="3:3">
      <c r="C3306" s="468"/>
    </row>
    <row r="3307" spans="3:3">
      <c r="C3307" s="468"/>
    </row>
    <row r="3308" spans="3:3">
      <c r="C3308" s="468"/>
    </row>
    <row r="3309" spans="3:3">
      <c r="C3309" s="468"/>
    </row>
    <row r="3310" spans="3:3">
      <c r="C3310" s="468"/>
    </row>
    <row r="3311" spans="3:3">
      <c r="C3311" s="468"/>
    </row>
    <row r="3312" spans="3:3">
      <c r="C3312" s="468"/>
    </row>
    <row r="3313" spans="3:3">
      <c r="C3313" s="468"/>
    </row>
    <row r="3314" spans="3:3">
      <c r="C3314" s="468"/>
    </row>
    <row r="3315" spans="3:3">
      <c r="C3315" s="468"/>
    </row>
    <row r="3316" spans="3:3">
      <c r="C3316" s="468"/>
    </row>
    <row r="3317" spans="3:3">
      <c r="C3317" s="468"/>
    </row>
    <row r="3318" spans="3:3">
      <c r="C3318" s="468"/>
    </row>
    <row r="3319" spans="3:3">
      <c r="C3319" s="468"/>
    </row>
    <row r="3320" spans="3:3">
      <c r="C3320" s="468"/>
    </row>
    <row r="3321" spans="3:3">
      <c r="C3321" s="468"/>
    </row>
    <row r="3322" spans="3:3">
      <c r="C3322" s="468"/>
    </row>
    <row r="3323" spans="3:3">
      <c r="C3323" s="468"/>
    </row>
    <row r="3324" spans="3:3">
      <c r="C3324" s="468"/>
    </row>
    <row r="3325" spans="3:3">
      <c r="C3325" s="468"/>
    </row>
    <row r="3326" spans="3:3">
      <c r="C3326" s="468"/>
    </row>
    <row r="3327" spans="3:3">
      <c r="C3327" s="468"/>
    </row>
    <row r="3328" spans="3:3">
      <c r="C3328" s="468"/>
    </row>
    <row r="3329" spans="3:3">
      <c r="C3329" s="468"/>
    </row>
    <row r="3330" spans="3:3">
      <c r="C3330" s="468"/>
    </row>
    <row r="3331" spans="3:3">
      <c r="C3331" s="468"/>
    </row>
    <row r="3332" spans="3:3">
      <c r="C3332" s="468"/>
    </row>
    <row r="3333" spans="3:3">
      <c r="C3333" s="468"/>
    </row>
    <row r="3334" spans="3:3">
      <c r="C3334" s="468"/>
    </row>
    <row r="3335" spans="3:3">
      <c r="C3335" s="468"/>
    </row>
    <row r="3336" spans="3:3">
      <c r="C3336" s="468"/>
    </row>
    <row r="3337" spans="3:3">
      <c r="C3337" s="468"/>
    </row>
    <row r="3338" spans="3:3">
      <c r="C3338" s="468"/>
    </row>
    <row r="3339" spans="3:3">
      <c r="C3339" s="468"/>
    </row>
    <row r="3340" spans="3:3">
      <c r="C3340" s="468"/>
    </row>
    <row r="3341" spans="3:3">
      <c r="C3341" s="468"/>
    </row>
    <row r="3342" spans="3:3">
      <c r="C3342" s="468"/>
    </row>
    <row r="3343" spans="3:3">
      <c r="C3343" s="468"/>
    </row>
    <row r="3344" spans="3:3">
      <c r="C3344" s="468"/>
    </row>
    <row r="3345" spans="3:3">
      <c r="C3345" s="468"/>
    </row>
    <row r="3346" spans="3:3">
      <c r="C3346" s="468"/>
    </row>
    <row r="3347" spans="3:3">
      <c r="C3347" s="468"/>
    </row>
    <row r="3348" spans="3:3">
      <c r="C3348" s="468"/>
    </row>
    <row r="3349" spans="3:3">
      <c r="C3349" s="468"/>
    </row>
    <row r="3350" spans="3:3">
      <c r="C3350" s="468"/>
    </row>
    <row r="3351" spans="3:3">
      <c r="C3351" s="468"/>
    </row>
    <row r="3352" spans="3:3">
      <c r="C3352" s="468"/>
    </row>
    <row r="3353" spans="3:3">
      <c r="C3353" s="468"/>
    </row>
    <row r="3354" spans="3:3">
      <c r="C3354" s="468"/>
    </row>
    <row r="3355" spans="3:3">
      <c r="C3355" s="468"/>
    </row>
    <row r="3356" spans="3:3">
      <c r="C3356" s="468"/>
    </row>
    <row r="3357" spans="3:3">
      <c r="C3357" s="468"/>
    </row>
    <row r="3358" spans="3:3">
      <c r="C3358" s="468"/>
    </row>
    <row r="3359" spans="3:3">
      <c r="C3359" s="468"/>
    </row>
    <row r="3360" spans="3:3">
      <c r="C3360" s="468"/>
    </row>
    <row r="3361" spans="3:3">
      <c r="C3361" s="468"/>
    </row>
    <row r="3362" spans="3:3">
      <c r="C3362" s="468"/>
    </row>
    <row r="3363" spans="3:3">
      <c r="C3363" s="468"/>
    </row>
    <row r="3364" spans="3:3">
      <c r="C3364" s="468"/>
    </row>
    <row r="3365" spans="3:3">
      <c r="C3365" s="468"/>
    </row>
    <row r="3366" spans="3:3">
      <c r="C3366" s="468"/>
    </row>
    <row r="3367" spans="3:3">
      <c r="C3367" s="468"/>
    </row>
    <row r="3368" spans="3:3">
      <c r="C3368" s="468"/>
    </row>
    <row r="3369" spans="3:3">
      <c r="C3369" s="468"/>
    </row>
    <row r="3370" spans="3:3">
      <c r="C3370" s="468"/>
    </row>
    <row r="3371" spans="3:3">
      <c r="C3371" s="468"/>
    </row>
    <row r="3372" spans="3:3">
      <c r="C3372" s="468"/>
    </row>
    <row r="3373" spans="3:3">
      <c r="C3373" s="468"/>
    </row>
    <row r="3374" spans="3:3">
      <c r="C3374" s="468"/>
    </row>
    <row r="3375" spans="3:3">
      <c r="C3375" s="468"/>
    </row>
    <row r="3376" spans="3:3">
      <c r="C3376" s="468"/>
    </row>
    <row r="3377" spans="3:3">
      <c r="C3377" s="468"/>
    </row>
    <row r="3378" spans="3:3">
      <c r="C3378" s="468"/>
    </row>
    <row r="3379" spans="3:3">
      <c r="C3379" s="468"/>
    </row>
    <row r="3380" spans="3:3">
      <c r="C3380" s="468"/>
    </row>
    <row r="3381" spans="3:3">
      <c r="C3381" s="468"/>
    </row>
    <row r="3382" spans="3:3">
      <c r="C3382" s="468"/>
    </row>
    <row r="3383" spans="3:3">
      <c r="C3383" s="468"/>
    </row>
    <row r="3384" spans="3:3">
      <c r="C3384" s="468"/>
    </row>
    <row r="3385" spans="3:3">
      <c r="C3385" s="468"/>
    </row>
    <row r="3386" spans="3:3">
      <c r="C3386" s="468"/>
    </row>
    <row r="3387" spans="3:3">
      <c r="C3387" s="468"/>
    </row>
    <row r="3388" spans="3:3">
      <c r="C3388" s="468"/>
    </row>
    <row r="3389" spans="3:3">
      <c r="C3389" s="468"/>
    </row>
    <row r="3390" spans="3:3">
      <c r="C3390" s="468"/>
    </row>
    <row r="3391" spans="3:3">
      <c r="C3391" s="468"/>
    </row>
    <row r="3392" spans="3:3">
      <c r="C3392" s="468"/>
    </row>
    <row r="3393" spans="3:3">
      <c r="C3393" s="468"/>
    </row>
    <row r="3394" spans="3:3">
      <c r="C3394" s="468"/>
    </row>
    <row r="3395" spans="3:3">
      <c r="C3395" s="468"/>
    </row>
    <row r="3396" spans="3:3">
      <c r="C3396" s="468"/>
    </row>
    <row r="3397" spans="3:3">
      <c r="C3397" s="468"/>
    </row>
    <row r="3398" spans="3:3">
      <c r="C3398" s="468"/>
    </row>
    <row r="3399" spans="3:3">
      <c r="C3399" s="468"/>
    </row>
    <row r="3400" spans="3:3">
      <c r="C3400" s="468"/>
    </row>
    <row r="3401" spans="3:3">
      <c r="C3401" s="468"/>
    </row>
    <row r="3402" spans="3:3">
      <c r="C3402" s="468"/>
    </row>
    <row r="3403" spans="3:3">
      <c r="C3403" s="468"/>
    </row>
    <row r="3404" spans="3:3">
      <c r="C3404" s="468"/>
    </row>
    <row r="3405" spans="3:3">
      <c r="C3405" s="468"/>
    </row>
    <row r="3406" spans="3:3">
      <c r="C3406" s="468"/>
    </row>
    <row r="3407" spans="3:3">
      <c r="C3407" s="468"/>
    </row>
    <row r="3408" spans="3:3">
      <c r="C3408" s="468"/>
    </row>
    <row r="3409" spans="3:3">
      <c r="C3409" s="468"/>
    </row>
    <row r="3410" spans="3:3">
      <c r="C3410" s="468"/>
    </row>
    <row r="3411" spans="3:3">
      <c r="C3411" s="468"/>
    </row>
    <row r="3412" spans="3:3">
      <c r="C3412" s="468"/>
    </row>
    <row r="3413" spans="3:3">
      <c r="C3413" s="468"/>
    </row>
    <row r="3414" spans="3:3">
      <c r="C3414" s="468"/>
    </row>
    <row r="3415" spans="3:3">
      <c r="C3415" s="468"/>
    </row>
    <row r="3416" spans="3:3">
      <c r="C3416" s="468"/>
    </row>
    <row r="3417" spans="3:3">
      <c r="C3417" s="468"/>
    </row>
    <row r="3418" spans="3:3">
      <c r="C3418" s="468"/>
    </row>
    <row r="3419" spans="3:3">
      <c r="C3419" s="468"/>
    </row>
    <row r="3420" spans="3:3">
      <c r="C3420" s="468"/>
    </row>
    <row r="3421" spans="3:3">
      <c r="C3421" s="468"/>
    </row>
    <row r="3422" spans="3:3">
      <c r="C3422" s="468"/>
    </row>
    <row r="3423" spans="3:3">
      <c r="C3423" s="468"/>
    </row>
    <row r="3424" spans="3:3">
      <c r="C3424" s="468"/>
    </row>
    <row r="3425" spans="3:3">
      <c r="C3425" s="468"/>
    </row>
    <row r="3426" spans="3:3">
      <c r="C3426" s="468"/>
    </row>
    <row r="3427" spans="3:3">
      <c r="C3427" s="468"/>
    </row>
    <row r="3428" spans="3:3">
      <c r="C3428" s="468"/>
    </row>
    <row r="3429" spans="3:3">
      <c r="C3429" s="468"/>
    </row>
    <row r="3430" spans="3:3">
      <c r="C3430" s="468"/>
    </row>
    <row r="3431" spans="3:3">
      <c r="C3431" s="468"/>
    </row>
    <row r="3432" spans="3:3">
      <c r="C3432" s="468"/>
    </row>
    <row r="3433" spans="3:3">
      <c r="C3433" s="468"/>
    </row>
    <row r="3434" spans="3:3">
      <c r="C3434" s="468"/>
    </row>
    <row r="3435" spans="3:3">
      <c r="C3435" s="468"/>
    </row>
    <row r="3436" spans="3:3">
      <c r="C3436" s="468"/>
    </row>
    <row r="3437" spans="3:3">
      <c r="C3437" s="468"/>
    </row>
    <row r="3438" spans="3:3">
      <c r="C3438" s="468"/>
    </row>
    <row r="3439" spans="3:3">
      <c r="C3439" s="468"/>
    </row>
    <row r="3440" spans="3:3">
      <c r="C3440" s="468"/>
    </row>
    <row r="3441" spans="3:3">
      <c r="C3441" s="468"/>
    </row>
    <row r="3442" spans="3:3">
      <c r="C3442" s="468"/>
    </row>
    <row r="3443" spans="3:3">
      <c r="C3443" s="468"/>
    </row>
    <row r="3444" spans="3:3">
      <c r="C3444" s="468"/>
    </row>
    <row r="3445" spans="3:3">
      <c r="C3445" s="468"/>
    </row>
    <row r="3446" spans="3:3">
      <c r="C3446" s="468"/>
    </row>
    <row r="3447" spans="3:3">
      <c r="C3447" s="468"/>
    </row>
    <row r="3448" spans="3:3">
      <c r="C3448" s="468"/>
    </row>
    <row r="3449" spans="3:3">
      <c r="C3449" s="468"/>
    </row>
    <row r="3450" spans="3:3">
      <c r="C3450" s="468"/>
    </row>
    <row r="3451" spans="3:3">
      <c r="C3451" s="468"/>
    </row>
    <row r="3452" spans="3:3">
      <c r="C3452" s="468"/>
    </row>
    <row r="3453" spans="3:3">
      <c r="C3453" s="468"/>
    </row>
    <row r="3454" spans="3:3">
      <c r="C3454" s="468"/>
    </row>
    <row r="3455" spans="3:3">
      <c r="C3455" s="468"/>
    </row>
    <row r="3456" spans="3:3">
      <c r="C3456" s="468"/>
    </row>
    <row r="3457" spans="3:3">
      <c r="C3457" s="468"/>
    </row>
    <row r="3458" spans="3:3">
      <c r="C3458" s="468"/>
    </row>
    <row r="3459" spans="3:3">
      <c r="C3459" s="468"/>
    </row>
    <row r="3460" spans="3:3">
      <c r="C3460" s="468"/>
    </row>
    <row r="3461" spans="3:3">
      <c r="C3461" s="468"/>
    </row>
    <row r="3462" spans="3:3">
      <c r="C3462" s="468"/>
    </row>
    <row r="3463" spans="3:3">
      <c r="C3463" s="468"/>
    </row>
    <row r="3464" spans="3:3">
      <c r="C3464" s="468"/>
    </row>
    <row r="3465" spans="3:3">
      <c r="C3465" s="468"/>
    </row>
    <row r="3466" spans="3:3">
      <c r="C3466" s="468"/>
    </row>
    <row r="3467" spans="3:3">
      <c r="C3467" s="468"/>
    </row>
    <row r="3468" spans="3:3">
      <c r="C3468" s="468"/>
    </row>
    <row r="3469" spans="3:3">
      <c r="C3469" s="468"/>
    </row>
    <row r="3470" spans="3:3">
      <c r="C3470" s="468"/>
    </row>
    <row r="3471" spans="3:3">
      <c r="C3471" s="468"/>
    </row>
    <row r="3472" spans="3:3">
      <c r="C3472" s="468"/>
    </row>
    <row r="3473" spans="3:3">
      <c r="C3473" s="468"/>
    </row>
    <row r="3474" spans="3:3">
      <c r="C3474" s="468"/>
    </row>
    <row r="3475" spans="3:3">
      <c r="C3475" s="468"/>
    </row>
    <row r="3476" spans="3:3">
      <c r="C3476" s="468"/>
    </row>
    <row r="3477" spans="3:3">
      <c r="C3477" s="468"/>
    </row>
    <row r="3478" spans="3:3">
      <c r="C3478" s="468"/>
    </row>
    <row r="3479" spans="3:3">
      <c r="C3479" s="468"/>
    </row>
    <row r="3480" spans="3:3">
      <c r="C3480" s="468"/>
    </row>
    <row r="3481" spans="3:3">
      <c r="C3481" s="468"/>
    </row>
    <row r="3482" spans="3:3">
      <c r="C3482" s="468"/>
    </row>
    <row r="3483" spans="3:3">
      <c r="C3483" s="468"/>
    </row>
    <row r="3484" spans="3:3">
      <c r="C3484" s="468"/>
    </row>
    <row r="3485" spans="3:3">
      <c r="C3485" s="468"/>
    </row>
    <row r="3486" spans="3:3">
      <c r="C3486" s="468"/>
    </row>
    <row r="3487" spans="3:3">
      <c r="C3487" s="468"/>
    </row>
    <row r="3488" spans="3:3">
      <c r="C3488" s="468"/>
    </row>
    <row r="3489" spans="3:3">
      <c r="C3489" s="468"/>
    </row>
    <row r="3490" spans="3:3">
      <c r="C3490" s="468"/>
    </row>
    <row r="3491" spans="3:3">
      <c r="C3491" s="468"/>
    </row>
    <row r="3492" spans="3:3">
      <c r="C3492" s="468"/>
    </row>
    <row r="3493" spans="3:3">
      <c r="C3493" s="468"/>
    </row>
    <row r="3494" spans="3:3">
      <c r="C3494" s="468"/>
    </row>
    <row r="3495" spans="3:3">
      <c r="C3495" s="468"/>
    </row>
    <row r="3496" spans="3:3">
      <c r="C3496" s="468"/>
    </row>
    <row r="3497" spans="3:3">
      <c r="C3497" s="468"/>
    </row>
    <row r="3498" spans="3:3">
      <c r="C3498" s="468"/>
    </row>
    <row r="3499" spans="3:3">
      <c r="C3499" s="468"/>
    </row>
    <row r="3500" spans="3:3">
      <c r="C3500" s="468"/>
    </row>
    <row r="3501" spans="3:3">
      <c r="C3501" s="468"/>
    </row>
    <row r="3502" spans="3:3">
      <c r="C3502" s="468"/>
    </row>
    <row r="3503" spans="3:3">
      <c r="C3503" s="468"/>
    </row>
    <row r="3504" spans="3:3">
      <c r="C3504" s="468"/>
    </row>
    <row r="3505" spans="3:3">
      <c r="C3505" s="468"/>
    </row>
    <row r="3506" spans="3:3">
      <c r="C3506" s="468"/>
    </row>
    <row r="3507" spans="3:3">
      <c r="C3507" s="468"/>
    </row>
    <row r="3508" spans="3:3">
      <c r="C3508" s="468"/>
    </row>
    <row r="3509" spans="3:3">
      <c r="C3509" s="468"/>
    </row>
    <row r="3510" spans="3:3">
      <c r="C3510" s="468"/>
    </row>
    <row r="3511" spans="3:3">
      <c r="C3511" s="468"/>
    </row>
    <row r="3512" spans="3:3">
      <c r="C3512" s="468"/>
    </row>
    <row r="3513" spans="3:3">
      <c r="C3513" s="468"/>
    </row>
    <row r="3514" spans="3:3">
      <c r="C3514" s="468"/>
    </row>
    <row r="3515" spans="3:3">
      <c r="C3515" s="468"/>
    </row>
    <row r="3516" spans="3:3">
      <c r="C3516" s="468"/>
    </row>
    <row r="3517" spans="3:3">
      <c r="C3517" s="468"/>
    </row>
    <row r="3518" spans="3:3">
      <c r="C3518" s="468"/>
    </row>
    <row r="3519" spans="3:3">
      <c r="C3519" s="468"/>
    </row>
    <row r="3520" spans="3:3">
      <c r="C3520" s="468"/>
    </row>
    <row r="3521" spans="3:3">
      <c r="C3521" s="468"/>
    </row>
    <row r="3522" spans="3:3">
      <c r="C3522" s="468"/>
    </row>
    <row r="3523" spans="3:3">
      <c r="C3523" s="468"/>
    </row>
    <row r="3524" spans="3:3">
      <c r="C3524" s="468"/>
    </row>
    <row r="3525" spans="3:3">
      <c r="C3525" s="468"/>
    </row>
    <row r="3526" spans="3:3">
      <c r="C3526" s="468"/>
    </row>
    <row r="3527" spans="3:3">
      <c r="C3527" s="468"/>
    </row>
    <row r="3528" spans="3:3">
      <c r="C3528" s="468"/>
    </row>
    <row r="3529" spans="3:3">
      <c r="C3529" s="468"/>
    </row>
    <row r="3530" spans="3:3">
      <c r="C3530" s="468"/>
    </row>
    <row r="3531" spans="3:3">
      <c r="C3531" s="468"/>
    </row>
    <row r="3532" spans="3:3">
      <c r="C3532" s="468"/>
    </row>
    <row r="3533" spans="3:3">
      <c r="C3533" s="468"/>
    </row>
    <row r="3534" spans="3:3">
      <c r="C3534" s="468"/>
    </row>
    <row r="3535" spans="3:3">
      <c r="C3535" s="468"/>
    </row>
    <row r="3536" spans="3:3">
      <c r="C3536" s="468"/>
    </row>
    <row r="3537" spans="3:3">
      <c r="C3537" s="468"/>
    </row>
    <row r="3538" spans="3:3">
      <c r="C3538" s="468"/>
    </row>
    <row r="3539" spans="3:3">
      <c r="C3539" s="468"/>
    </row>
    <row r="3540" spans="3:3">
      <c r="C3540" s="468"/>
    </row>
    <row r="3541" spans="3:3">
      <c r="C3541" s="468"/>
    </row>
    <row r="3542" spans="3:3">
      <c r="C3542" s="468"/>
    </row>
    <row r="3543" spans="3:3">
      <c r="C3543" s="468"/>
    </row>
    <row r="3544" spans="3:3">
      <c r="C3544" s="468"/>
    </row>
    <row r="3545" spans="3:3">
      <c r="C3545" s="468"/>
    </row>
    <row r="3546" spans="3:3">
      <c r="C3546" s="468"/>
    </row>
    <row r="3547" spans="3:3">
      <c r="C3547" s="468"/>
    </row>
    <row r="3548" spans="3:3">
      <c r="C3548" s="468"/>
    </row>
    <row r="3549" spans="3:3">
      <c r="C3549" s="468"/>
    </row>
    <row r="3550" spans="3:3">
      <c r="C3550" s="468"/>
    </row>
    <row r="3551" spans="3:3">
      <c r="C3551" s="468"/>
    </row>
    <row r="3552" spans="3:3">
      <c r="C3552" s="468"/>
    </row>
    <row r="3553" spans="3:3">
      <c r="C3553" s="468"/>
    </row>
    <row r="3554" spans="3:3">
      <c r="C3554" s="468"/>
    </row>
    <row r="3555" spans="3:3">
      <c r="C3555" s="468"/>
    </row>
    <row r="3556" spans="3:3">
      <c r="C3556" s="468"/>
    </row>
    <row r="3557" spans="3:3">
      <c r="C3557" s="468"/>
    </row>
    <row r="3558" spans="3:3">
      <c r="C3558" s="468"/>
    </row>
    <row r="3559" spans="3:3">
      <c r="C3559" s="468"/>
    </row>
    <row r="3560" spans="3:3">
      <c r="C3560" s="468"/>
    </row>
    <row r="3561" spans="3:3">
      <c r="C3561" s="468"/>
    </row>
    <row r="3562" spans="3:3">
      <c r="C3562" s="468"/>
    </row>
    <row r="3563" spans="3:3">
      <c r="C3563" s="468"/>
    </row>
    <row r="3564" spans="3:3">
      <c r="C3564" s="468"/>
    </row>
    <row r="3565" spans="3:3">
      <c r="C3565" s="468"/>
    </row>
    <row r="3566" spans="3:3">
      <c r="C3566" s="468"/>
    </row>
    <row r="3567" spans="3:3">
      <c r="C3567" s="468"/>
    </row>
    <row r="3568" spans="3:3">
      <c r="C3568" s="468"/>
    </row>
    <row r="3569" spans="3:3">
      <c r="C3569" s="468"/>
    </row>
    <row r="3570" spans="3:3">
      <c r="C3570" s="468"/>
    </row>
    <row r="3571" spans="3:3">
      <c r="C3571" s="468"/>
    </row>
    <row r="3572" spans="3:3">
      <c r="C3572" s="468"/>
    </row>
    <row r="3573" spans="3:3">
      <c r="C3573" s="468"/>
    </row>
    <row r="3574" spans="3:3">
      <c r="C3574" s="468"/>
    </row>
    <row r="3575" spans="3:3">
      <c r="C3575" s="468"/>
    </row>
    <row r="3576" spans="3:3">
      <c r="C3576" s="468"/>
    </row>
    <row r="3577" spans="3:3">
      <c r="C3577" s="468"/>
    </row>
    <row r="3578" spans="3:3">
      <c r="C3578" s="468"/>
    </row>
    <row r="3579" spans="3:3">
      <c r="C3579" s="468"/>
    </row>
    <row r="3580" spans="3:3">
      <c r="C3580" s="468"/>
    </row>
    <row r="3581" spans="3:3">
      <c r="C3581" s="468"/>
    </row>
    <row r="3582" spans="3:3">
      <c r="C3582" s="468"/>
    </row>
    <row r="3583" spans="3:3">
      <c r="C3583" s="468"/>
    </row>
    <row r="3584" spans="3:3">
      <c r="C3584" s="468"/>
    </row>
    <row r="3585" spans="3:3">
      <c r="C3585" s="468"/>
    </row>
    <row r="3586" spans="3:3">
      <c r="C3586" s="468"/>
    </row>
    <row r="3587" spans="3:3">
      <c r="C3587" s="468"/>
    </row>
    <row r="3588" spans="3:3">
      <c r="C3588" s="468"/>
    </row>
    <row r="3589" spans="3:3">
      <c r="C3589" s="468"/>
    </row>
    <row r="3590" spans="3:3">
      <c r="C3590" s="468"/>
    </row>
    <row r="3591" spans="3:3">
      <c r="C3591" s="468"/>
    </row>
    <row r="3592" spans="3:3">
      <c r="C3592" s="468"/>
    </row>
    <row r="3593" spans="3:3">
      <c r="C3593" s="468"/>
    </row>
    <row r="3594" spans="3:3">
      <c r="C3594" s="468"/>
    </row>
    <row r="3595" spans="3:3">
      <c r="C3595" s="468"/>
    </row>
    <row r="3596" spans="3:3">
      <c r="C3596" s="468"/>
    </row>
    <row r="3597" spans="3:3">
      <c r="C3597" s="468"/>
    </row>
    <row r="3598" spans="3:3">
      <c r="C3598" s="468"/>
    </row>
    <row r="3599" spans="3:3">
      <c r="C3599" s="468"/>
    </row>
    <row r="3600" spans="3:3">
      <c r="C3600" s="468"/>
    </row>
    <row r="3601" spans="3:3">
      <c r="C3601" s="468"/>
    </row>
    <row r="3602" spans="3:3">
      <c r="C3602" s="468"/>
    </row>
    <row r="3603" spans="3:3">
      <c r="C3603" s="468"/>
    </row>
    <row r="3604" spans="3:3">
      <c r="C3604" s="468"/>
    </row>
    <row r="3605" spans="3:3">
      <c r="C3605" s="468"/>
    </row>
    <row r="3606" spans="3:3">
      <c r="C3606" s="468"/>
    </row>
    <row r="3607" spans="3:3">
      <c r="C3607" s="468"/>
    </row>
    <row r="3608" spans="3:3">
      <c r="C3608" s="468"/>
    </row>
    <row r="3609" spans="3:3">
      <c r="C3609" s="468"/>
    </row>
    <row r="3610" spans="3:3">
      <c r="C3610" s="468"/>
    </row>
    <row r="3611" spans="3:3">
      <c r="C3611" s="468"/>
    </row>
    <row r="3612" spans="3:3">
      <c r="C3612" s="468"/>
    </row>
    <row r="3613" spans="3:3">
      <c r="C3613" s="468"/>
    </row>
    <row r="3614" spans="3:3">
      <c r="C3614" s="468"/>
    </row>
    <row r="3615" spans="3:3">
      <c r="C3615" s="468"/>
    </row>
    <row r="3616" spans="3:3">
      <c r="C3616" s="468"/>
    </row>
    <row r="3617" spans="3:3">
      <c r="C3617" s="468"/>
    </row>
    <row r="3618" spans="3:3">
      <c r="C3618" s="468"/>
    </row>
    <row r="3619" spans="3:3">
      <c r="C3619" s="468"/>
    </row>
    <row r="3620" spans="3:3">
      <c r="C3620" s="468"/>
    </row>
    <row r="3621" spans="3:3">
      <c r="C3621" s="468"/>
    </row>
    <row r="3622" spans="3:3">
      <c r="C3622" s="468"/>
    </row>
    <row r="3623" spans="3:3">
      <c r="C3623" s="468"/>
    </row>
    <row r="3624" spans="3:3">
      <c r="C3624" s="468"/>
    </row>
    <row r="3625" spans="3:3">
      <c r="C3625" s="468"/>
    </row>
    <row r="3626" spans="3:3">
      <c r="C3626" s="468"/>
    </row>
    <row r="3627" spans="3:3">
      <c r="C3627" s="468"/>
    </row>
    <row r="3628" spans="3:3">
      <c r="C3628" s="468"/>
    </row>
    <row r="3629" spans="3:3">
      <c r="C3629" s="468"/>
    </row>
    <row r="3630" spans="3:3">
      <c r="C3630" s="468"/>
    </row>
    <row r="3631" spans="3:3">
      <c r="C3631" s="468"/>
    </row>
    <row r="3632" spans="3:3">
      <c r="C3632" s="468"/>
    </row>
    <row r="3633" spans="3:3">
      <c r="C3633" s="468"/>
    </row>
    <row r="3634" spans="3:3">
      <c r="C3634" s="468"/>
    </row>
    <row r="3635" spans="3:3">
      <c r="C3635" s="468"/>
    </row>
    <row r="3636" spans="3:3">
      <c r="C3636" s="468"/>
    </row>
    <row r="3637" spans="3:3">
      <c r="C3637" s="468"/>
    </row>
    <row r="3638" spans="3:3">
      <c r="C3638" s="468"/>
    </row>
    <row r="3639" spans="3:3">
      <c r="C3639" s="468"/>
    </row>
    <row r="3640" spans="3:3">
      <c r="C3640" s="468"/>
    </row>
    <row r="3641" spans="3:3">
      <c r="C3641" s="468"/>
    </row>
    <row r="3642" spans="3:3">
      <c r="C3642" s="468"/>
    </row>
    <row r="3643" spans="3:3">
      <c r="C3643" s="468"/>
    </row>
    <row r="3644" spans="3:3">
      <c r="C3644" s="468"/>
    </row>
    <row r="3645" spans="3:3">
      <c r="C3645" s="468"/>
    </row>
    <row r="3646" spans="3:3">
      <c r="C3646" s="468"/>
    </row>
    <row r="3647" spans="3:3">
      <c r="C3647" s="468"/>
    </row>
    <row r="3648" spans="3:3">
      <c r="C3648" s="468"/>
    </row>
    <row r="3649" spans="3:3">
      <c r="C3649" s="468"/>
    </row>
    <row r="3650" spans="3:3">
      <c r="C3650" s="468"/>
    </row>
    <row r="3651" spans="3:3">
      <c r="C3651" s="468"/>
    </row>
    <row r="3652" spans="3:3">
      <c r="C3652" s="468"/>
    </row>
    <row r="3653" spans="3:3">
      <c r="C3653" s="468"/>
    </row>
    <row r="3654" spans="3:3">
      <c r="C3654" s="468"/>
    </row>
    <row r="3655" spans="3:3">
      <c r="C3655" s="468"/>
    </row>
    <row r="3656" spans="3:3">
      <c r="C3656" s="468"/>
    </row>
    <row r="3657" spans="3:3">
      <c r="C3657" s="468"/>
    </row>
    <row r="3658" spans="3:3">
      <c r="C3658" s="468"/>
    </row>
    <row r="3659" spans="3:3">
      <c r="C3659" s="468"/>
    </row>
    <row r="3660" spans="3:3">
      <c r="C3660" s="468"/>
    </row>
    <row r="3661" spans="3:3">
      <c r="C3661" s="468"/>
    </row>
    <row r="3662" spans="3:3">
      <c r="C3662" s="468"/>
    </row>
    <row r="3663" spans="3:3">
      <c r="C3663" s="468"/>
    </row>
    <row r="3664" spans="3:3">
      <c r="C3664" s="468"/>
    </row>
    <row r="3665" spans="3:3">
      <c r="C3665" s="468"/>
    </row>
    <row r="3666" spans="3:3">
      <c r="C3666" s="468"/>
    </row>
    <row r="3667" spans="3:3">
      <c r="C3667" s="468"/>
    </row>
    <row r="3668" spans="3:3">
      <c r="C3668" s="468"/>
    </row>
    <row r="3669" spans="3:3">
      <c r="C3669" s="468"/>
    </row>
    <row r="3670" spans="3:3">
      <c r="C3670" s="468"/>
    </row>
    <row r="3671" spans="3:3">
      <c r="C3671" s="468"/>
    </row>
    <row r="3672" spans="3:3">
      <c r="C3672" s="468"/>
    </row>
    <row r="3673" spans="3:3">
      <c r="C3673" s="468"/>
    </row>
    <row r="3674" spans="3:3">
      <c r="C3674" s="468"/>
    </row>
    <row r="3675" spans="3:3">
      <c r="C3675" s="468"/>
    </row>
    <row r="3676" spans="3:3">
      <c r="C3676" s="468"/>
    </row>
    <row r="3677" spans="3:3">
      <c r="C3677" s="468"/>
    </row>
    <row r="3678" spans="3:3">
      <c r="C3678" s="468"/>
    </row>
    <row r="3679" spans="3:3">
      <c r="C3679" s="468"/>
    </row>
    <row r="3680" spans="3:3">
      <c r="C3680" s="468"/>
    </row>
    <row r="3681" spans="3:3">
      <c r="C3681" s="468"/>
    </row>
    <row r="3682" spans="3:3">
      <c r="C3682" s="468"/>
    </row>
    <row r="3683" spans="3:3">
      <c r="C3683" s="468"/>
    </row>
    <row r="3684" spans="3:3">
      <c r="C3684" s="468"/>
    </row>
    <row r="3685" spans="3:3">
      <c r="C3685" s="468"/>
    </row>
    <row r="3686" spans="3:3">
      <c r="C3686" s="468"/>
    </row>
    <row r="3687" spans="3:3">
      <c r="C3687" s="468"/>
    </row>
    <row r="3688" spans="3:3">
      <c r="C3688" s="468"/>
    </row>
    <row r="3689" spans="3:3">
      <c r="C3689" s="468"/>
    </row>
    <row r="3690" spans="3:3">
      <c r="C3690" s="468"/>
    </row>
    <row r="3691" spans="3:3">
      <c r="C3691" s="468"/>
    </row>
    <row r="3692" spans="3:3">
      <c r="C3692" s="468"/>
    </row>
    <row r="3693" spans="3:3">
      <c r="C3693" s="468"/>
    </row>
    <row r="3694" spans="3:3">
      <c r="C3694" s="468"/>
    </row>
    <row r="3695" spans="3:3">
      <c r="C3695" s="468"/>
    </row>
    <row r="3696" spans="3:3">
      <c r="C3696" s="468"/>
    </row>
    <row r="3697" spans="3:3">
      <c r="C3697" s="468"/>
    </row>
    <row r="3698" spans="3:3">
      <c r="C3698" s="468"/>
    </row>
    <row r="3699" spans="3:3">
      <c r="C3699" s="468"/>
    </row>
    <row r="3700" spans="3:3">
      <c r="C3700" s="468"/>
    </row>
    <row r="3701" spans="3:3">
      <c r="C3701" s="468"/>
    </row>
    <row r="3702" spans="3:3">
      <c r="C3702" s="468"/>
    </row>
    <row r="3703" spans="3:3">
      <c r="C3703" s="468"/>
    </row>
    <row r="3704" spans="3:3">
      <c r="C3704" s="468"/>
    </row>
    <row r="3705" spans="3:3">
      <c r="C3705" s="468"/>
    </row>
    <row r="3706" spans="3:3">
      <c r="C3706" s="468"/>
    </row>
    <row r="3707" spans="3:3">
      <c r="C3707" s="468"/>
    </row>
    <row r="3708" spans="3:3">
      <c r="C3708" s="468"/>
    </row>
    <row r="3709" spans="3:3">
      <c r="C3709" s="468"/>
    </row>
    <row r="3710" spans="3:3">
      <c r="C3710" s="468"/>
    </row>
    <row r="3711" spans="3:3">
      <c r="C3711" s="468"/>
    </row>
    <row r="3712" spans="3:3">
      <c r="C3712" s="468"/>
    </row>
    <row r="3713" spans="3:3">
      <c r="C3713" s="468"/>
    </row>
    <row r="3714" spans="3:3">
      <c r="C3714" s="468"/>
    </row>
    <row r="3715" spans="3:3">
      <c r="C3715" s="468"/>
    </row>
    <row r="3716" spans="3:3">
      <c r="C3716" s="468"/>
    </row>
    <row r="3717" spans="3:3">
      <c r="C3717" s="468"/>
    </row>
    <row r="3718" spans="3:3">
      <c r="C3718" s="468"/>
    </row>
    <row r="3719" spans="3:3">
      <c r="C3719" s="468"/>
    </row>
    <row r="3720" spans="3:3">
      <c r="C3720" s="468"/>
    </row>
    <row r="3721" spans="3:3">
      <c r="C3721" s="468"/>
    </row>
    <row r="3722" spans="3:3">
      <c r="C3722" s="468"/>
    </row>
    <row r="3723" spans="3:3">
      <c r="C3723" s="468"/>
    </row>
    <row r="3724" spans="3:3">
      <c r="C3724" s="468"/>
    </row>
    <row r="3725" spans="3:3">
      <c r="C3725" s="468"/>
    </row>
    <row r="3726" spans="3:3">
      <c r="C3726" s="468"/>
    </row>
    <row r="3727" spans="3:3">
      <c r="C3727" s="468"/>
    </row>
    <row r="3728" spans="3:3">
      <c r="C3728" s="468"/>
    </row>
    <row r="3729" spans="3:3">
      <c r="C3729" s="468"/>
    </row>
    <row r="3730" spans="3:3">
      <c r="C3730" s="468"/>
    </row>
    <row r="3731" spans="3:3">
      <c r="C3731" s="468"/>
    </row>
    <row r="3732" spans="3:3">
      <c r="C3732" s="468"/>
    </row>
    <row r="3733" spans="3:3">
      <c r="C3733" s="468"/>
    </row>
    <row r="3734" spans="3:3">
      <c r="C3734" s="468"/>
    </row>
    <row r="3735" spans="3:3">
      <c r="C3735" s="468"/>
    </row>
    <row r="3736" spans="3:3">
      <c r="C3736" s="468"/>
    </row>
    <row r="3737" spans="3:3">
      <c r="C3737" s="468"/>
    </row>
    <row r="3738" spans="3:3">
      <c r="C3738" s="468"/>
    </row>
    <row r="3739" spans="3:3">
      <c r="C3739" s="468"/>
    </row>
    <row r="3740" spans="3:3">
      <c r="C3740" s="468"/>
    </row>
    <row r="3741" spans="3:3">
      <c r="C3741" s="468"/>
    </row>
    <row r="3742" spans="3:3">
      <c r="C3742" s="468"/>
    </row>
    <row r="3743" spans="3:3">
      <c r="C3743" s="468"/>
    </row>
    <row r="3744" spans="3:3">
      <c r="C3744" s="468"/>
    </row>
    <row r="3745" spans="3:3">
      <c r="C3745" s="468"/>
    </row>
    <row r="3746" spans="3:3">
      <c r="C3746" s="468"/>
    </row>
    <row r="3747" spans="3:3">
      <c r="C3747" s="468"/>
    </row>
    <row r="3748" spans="3:3">
      <c r="C3748" s="468"/>
    </row>
    <row r="3749" spans="3:3">
      <c r="C3749" s="468"/>
    </row>
    <row r="3750" spans="3:3">
      <c r="C3750" s="468"/>
    </row>
    <row r="3751" spans="3:3">
      <c r="C3751" s="468"/>
    </row>
    <row r="3752" spans="3:3">
      <c r="C3752" s="468"/>
    </row>
    <row r="3753" spans="3:3">
      <c r="C3753" s="468"/>
    </row>
    <row r="3754" spans="3:3">
      <c r="C3754" s="468"/>
    </row>
    <row r="3755" spans="3:3">
      <c r="C3755" s="468"/>
    </row>
    <row r="3756" spans="3:3">
      <c r="C3756" s="468"/>
    </row>
    <row r="3757" spans="3:3">
      <c r="C3757" s="468"/>
    </row>
    <row r="3758" spans="3:3">
      <c r="C3758" s="468"/>
    </row>
    <row r="3759" spans="3:3">
      <c r="C3759" s="468"/>
    </row>
    <row r="3760" spans="3:3">
      <c r="C3760" s="468"/>
    </row>
    <row r="3761" spans="3:3">
      <c r="C3761" s="468"/>
    </row>
    <row r="3762" spans="3:3">
      <c r="C3762" s="468"/>
    </row>
    <row r="3763" spans="3:3">
      <c r="C3763" s="468"/>
    </row>
    <row r="3764" spans="3:3">
      <c r="C3764" s="468"/>
    </row>
    <row r="3765" spans="3:3">
      <c r="C3765" s="468"/>
    </row>
    <row r="3766" spans="3:3">
      <c r="C3766" s="468"/>
    </row>
    <row r="3767" spans="3:3">
      <c r="C3767" s="468"/>
    </row>
    <row r="3768" spans="3:3">
      <c r="C3768" s="468"/>
    </row>
    <row r="3769" spans="3:3">
      <c r="C3769" s="468"/>
    </row>
    <row r="3770" spans="3:3">
      <c r="C3770" s="468"/>
    </row>
    <row r="3771" spans="3:3">
      <c r="C3771" s="468"/>
    </row>
    <row r="3772" spans="3:3">
      <c r="C3772" s="468"/>
    </row>
    <row r="3773" spans="3:3">
      <c r="C3773" s="468"/>
    </row>
    <row r="3774" spans="3:3">
      <c r="C3774" s="468"/>
    </row>
    <row r="3775" spans="3:3">
      <c r="C3775" s="468"/>
    </row>
    <row r="3776" spans="3:3">
      <c r="C3776" s="468"/>
    </row>
    <row r="3777" spans="3:3">
      <c r="C3777" s="468"/>
    </row>
    <row r="3778" spans="3:3">
      <c r="C3778" s="468"/>
    </row>
    <row r="3779" spans="3:3">
      <c r="C3779" s="468"/>
    </row>
    <row r="3780" spans="3:3">
      <c r="C3780" s="468"/>
    </row>
    <row r="3781" spans="3:3">
      <c r="C3781" s="468"/>
    </row>
    <row r="3782" spans="3:3">
      <c r="C3782" s="468"/>
    </row>
    <row r="3783" spans="3:3">
      <c r="C3783" s="468"/>
    </row>
    <row r="3784" spans="3:3">
      <c r="C3784" s="468"/>
    </row>
    <row r="3785" spans="3:3">
      <c r="C3785" s="468"/>
    </row>
    <row r="3786" spans="3:3">
      <c r="C3786" s="468"/>
    </row>
    <row r="3787" spans="3:3">
      <c r="C3787" s="468"/>
    </row>
    <row r="3788" spans="3:3">
      <c r="C3788" s="468"/>
    </row>
    <row r="3789" spans="3:3">
      <c r="C3789" s="468"/>
    </row>
    <row r="3790" spans="3:3">
      <c r="C3790" s="468"/>
    </row>
    <row r="3791" spans="3:3">
      <c r="C3791" s="468"/>
    </row>
    <row r="3792" spans="3:3">
      <c r="C3792" s="468"/>
    </row>
    <row r="3793" spans="3:3">
      <c r="C3793" s="468"/>
    </row>
    <row r="3794" spans="3:3">
      <c r="C3794" s="468"/>
    </row>
    <row r="3795" spans="3:3">
      <c r="C3795" s="468"/>
    </row>
    <row r="3796" spans="3:3">
      <c r="C3796" s="468"/>
    </row>
    <row r="3797" spans="3:3">
      <c r="C3797" s="468"/>
    </row>
    <row r="3798" spans="3:3">
      <c r="C3798" s="468"/>
    </row>
    <row r="3799" spans="3:3">
      <c r="C3799" s="468"/>
    </row>
    <row r="3800" spans="3:3">
      <c r="C3800" s="468"/>
    </row>
    <row r="3801" spans="3:3">
      <c r="C3801" s="468"/>
    </row>
    <row r="3802" spans="3:3">
      <c r="C3802" s="468"/>
    </row>
    <row r="3803" spans="3:3">
      <c r="C3803" s="468"/>
    </row>
    <row r="3804" spans="3:3">
      <c r="C3804" s="468"/>
    </row>
    <row r="3805" spans="3:3">
      <c r="C3805" s="468"/>
    </row>
    <row r="3806" spans="3:3">
      <c r="C3806" s="468"/>
    </row>
    <row r="3807" spans="3:3">
      <c r="C3807" s="468"/>
    </row>
    <row r="3808" spans="3:3">
      <c r="C3808" s="468"/>
    </row>
    <row r="3809" spans="3:3">
      <c r="C3809" s="468"/>
    </row>
    <row r="3810" spans="3:3">
      <c r="C3810" s="468"/>
    </row>
    <row r="3811" spans="3:3">
      <c r="C3811" s="468"/>
    </row>
    <row r="3812" spans="3:3">
      <c r="C3812" s="468"/>
    </row>
    <row r="3813" spans="3:3">
      <c r="C3813" s="468"/>
    </row>
    <row r="3814" spans="3:3">
      <c r="C3814" s="468"/>
    </row>
    <row r="3815" spans="3:3">
      <c r="C3815" s="468"/>
    </row>
    <row r="3816" spans="3:3">
      <c r="C3816" s="468"/>
    </row>
    <row r="3817" spans="3:3">
      <c r="C3817" s="468"/>
    </row>
    <row r="3818" spans="3:3">
      <c r="C3818" s="468"/>
    </row>
    <row r="3819" spans="3:3">
      <c r="C3819" s="468"/>
    </row>
    <row r="3820" spans="3:3">
      <c r="C3820" s="468"/>
    </row>
    <row r="3821" spans="3:3">
      <c r="C3821" s="468"/>
    </row>
    <row r="3822" spans="3:3">
      <c r="C3822" s="468"/>
    </row>
    <row r="3823" spans="3:3">
      <c r="C3823" s="468"/>
    </row>
    <row r="3824" spans="3:3">
      <c r="C3824" s="468"/>
    </row>
    <row r="3825" spans="3:3">
      <c r="C3825" s="468"/>
    </row>
    <row r="3826" spans="3:3">
      <c r="C3826" s="468"/>
    </row>
    <row r="3827" spans="3:3">
      <c r="C3827" s="468"/>
    </row>
    <row r="3828" spans="3:3">
      <c r="C3828" s="468"/>
    </row>
    <row r="3829" spans="3:3">
      <c r="C3829" s="468"/>
    </row>
    <row r="3830" spans="3:3">
      <c r="C3830" s="468"/>
    </row>
    <row r="3831" spans="3:3">
      <c r="C3831" s="468"/>
    </row>
    <row r="3832" spans="3:3">
      <c r="C3832" s="468"/>
    </row>
    <row r="3833" spans="3:3">
      <c r="C3833" s="468"/>
    </row>
    <row r="3834" spans="3:3">
      <c r="C3834" s="468"/>
    </row>
    <row r="3835" spans="3:3">
      <c r="C3835" s="468"/>
    </row>
    <row r="3836" spans="3:3">
      <c r="C3836" s="468"/>
    </row>
    <row r="3837" spans="3:3">
      <c r="C3837" s="468"/>
    </row>
    <row r="3838" spans="3:3">
      <c r="C3838" s="468"/>
    </row>
    <row r="3839" spans="3:3">
      <c r="C3839" s="468"/>
    </row>
    <row r="3840" spans="3:3">
      <c r="C3840" s="468"/>
    </row>
    <row r="3841" spans="3:3">
      <c r="C3841" s="468"/>
    </row>
    <row r="3842" spans="3:3">
      <c r="C3842" s="468"/>
    </row>
    <row r="3843" spans="3:3">
      <c r="C3843" s="468"/>
    </row>
    <row r="3844" spans="3:3">
      <c r="C3844" s="468"/>
    </row>
    <row r="3845" spans="3:3">
      <c r="C3845" s="468"/>
    </row>
    <row r="3846" spans="3:3">
      <c r="C3846" s="468"/>
    </row>
    <row r="3847" spans="3:3">
      <c r="C3847" s="468"/>
    </row>
    <row r="3848" spans="3:3">
      <c r="C3848" s="468"/>
    </row>
    <row r="3849" spans="3:3">
      <c r="C3849" s="468"/>
    </row>
    <row r="3850" spans="3:3">
      <c r="C3850" s="468"/>
    </row>
    <row r="3851" spans="3:3">
      <c r="C3851" s="468"/>
    </row>
    <row r="3852" spans="3:3">
      <c r="C3852" s="468"/>
    </row>
    <row r="3853" spans="3:3">
      <c r="C3853" s="468"/>
    </row>
    <row r="3854" spans="3:3">
      <c r="C3854" s="468"/>
    </row>
    <row r="3855" spans="3:3">
      <c r="C3855" s="468"/>
    </row>
    <row r="3856" spans="3:3">
      <c r="C3856" s="468"/>
    </row>
    <row r="3857" spans="3:3">
      <c r="C3857" s="468"/>
    </row>
    <row r="3858" spans="3:3">
      <c r="C3858" s="468"/>
    </row>
    <row r="3859" spans="3:3">
      <c r="C3859" s="468"/>
    </row>
    <row r="3860" spans="3:3">
      <c r="C3860" s="468"/>
    </row>
    <row r="3861" spans="3:3">
      <c r="C3861" s="468"/>
    </row>
    <row r="3862" spans="3:3">
      <c r="C3862" s="468"/>
    </row>
    <row r="3863" spans="3:3">
      <c r="C3863" s="468"/>
    </row>
    <row r="3864" spans="3:3">
      <c r="C3864" s="468"/>
    </row>
    <row r="3865" spans="3:3">
      <c r="C3865" s="468"/>
    </row>
    <row r="3866" spans="3:3">
      <c r="C3866" s="468"/>
    </row>
    <row r="3867" spans="3:3">
      <c r="C3867" s="468"/>
    </row>
    <row r="3868" spans="3:3">
      <c r="C3868" s="468"/>
    </row>
    <row r="3869" spans="3:3">
      <c r="C3869" s="468"/>
    </row>
    <row r="3870" spans="3:3">
      <c r="C3870" s="468"/>
    </row>
    <row r="3871" spans="3:3">
      <c r="C3871" s="468"/>
    </row>
    <row r="3872" spans="3:3">
      <c r="C3872" s="468"/>
    </row>
    <row r="3873" spans="3:3">
      <c r="C3873" s="468"/>
    </row>
    <row r="3874" spans="3:3">
      <c r="C3874" s="468"/>
    </row>
    <row r="3875" spans="3:3">
      <c r="C3875" s="468"/>
    </row>
    <row r="3876" spans="3:3">
      <c r="C3876" s="468"/>
    </row>
    <row r="3877" spans="3:3">
      <c r="C3877" s="468"/>
    </row>
    <row r="3878" spans="3:3">
      <c r="C3878" s="468"/>
    </row>
    <row r="3879" spans="3:3">
      <c r="C3879" s="468"/>
    </row>
    <row r="3880" spans="3:3">
      <c r="C3880" s="468"/>
    </row>
    <row r="3881" spans="3:3">
      <c r="C3881" s="468"/>
    </row>
    <row r="3882" spans="3:3">
      <c r="C3882" s="468"/>
    </row>
    <row r="3883" spans="3:3">
      <c r="C3883" s="468"/>
    </row>
    <row r="3884" spans="3:3">
      <c r="C3884" s="468"/>
    </row>
    <row r="3885" spans="3:3">
      <c r="C3885" s="468"/>
    </row>
    <row r="3886" spans="3:3">
      <c r="C3886" s="468"/>
    </row>
    <row r="3887" spans="3:3">
      <c r="C3887" s="468"/>
    </row>
    <row r="3888" spans="3:3">
      <c r="C3888" s="468"/>
    </row>
    <row r="3889" spans="3:3">
      <c r="C3889" s="468"/>
    </row>
    <row r="3890" spans="3:3">
      <c r="C3890" s="468"/>
    </row>
    <row r="3891" spans="3:3">
      <c r="C3891" s="468"/>
    </row>
    <row r="3892" spans="3:3">
      <c r="C3892" s="468"/>
    </row>
    <row r="3893" spans="3:3">
      <c r="C3893" s="468"/>
    </row>
    <row r="3894" spans="3:3">
      <c r="C3894" s="468"/>
    </row>
    <row r="3895" spans="3:3">
      <c r="C3895" s="468"/>
    </row>
    <row r="3896" spans="3:3">
      <c r="C3896" s="468"/>
    </row>
    <row r="3897" spans="3:3">
      <c r="C3897" s="468"/>
    </row>
    <row r="3898" spans="3:3">
      <c r="C3898" s="468"/>
    </row>
    <row r="3899" spans="3:3">
      <c r="C3899" s="468"/>
    </row>
    <row r="3900" spans="3:3">
      <c r="C3900" s="468"/>
    </row>
    <row r="3901" spans="3:3">
      <c r="C3901" s="468"/>
    </row>
    <row r="3902" spans="3:3">
      <c r="C3902" s="468"/>
    </row>
    <row r="3903" spans="3:3">
      <c r="C3903" s="468"/>
    </row>
    <row r="3904" spans="3:3">
      <c r="C3904" s="468"/>
    </row>
    <row r="3905" spans="3:3">
      <c r="C3905" s="468"/>
    </row>
    <row r="3906" spans="3:3">
      <c r="C3906" s="468"/>
    </row>
    <row r="3907" spans="3:3">
      <c r="C3907" s="468"/>
    </row>
    <row r="3908" spans="3:3">
      <c r="C3908" s="468"/>
    </row>
    <row r="3909" spans="3:3">
      <c r="C3909" s="468"/>
    </row>
    <row r="3910" spans="3:3">
      <c r="C3910" s="468"/>
    </row>
    <row r="3911" spans="3:3">
      <c r="C3911" s="468"/>
    </row>
    <row r="3912" spans="3:3">
      <c r="C3912" s="468"/>
    </row>
    <row r="3913" spans="3:3">
      <c r="C3913" s="468"/>
    </row>
    <row r="3914" spans="3:3">
      <c r="C3914" s="468"/>
    </row>
    <row r="3915" spans="3:3">
      <c r="C3915" s="468"/>
    </row>
    <row r="3916" spans="3:3">
      <c r="C3916" s="468"/>
    </row>
    <row r="3917" spans="3:3">
      <c r="C3917" s="468"/>
    </row>
    <row r="3918" spans="3:3">
      <c r="C3918" s="468"/>
    </row>
    <row r="3919" spans="3:3">
      <c r="C3919" s="468"/>
    </row>
    <row r="3920" spans="3:3">
      <c r="C3920" s="468"/>
    </row>
    <row r="3921" spans="3:3">
      <c r="C3921" s="468"/>
    </row>
    <row r="3922" spans="3:3">
      <c r="C3922" s="468"/>
    </row>
    <row r="3923" spans="3:3">
      <c r="C3923" s="468"/>
    </row>
    <row r="3924" spans="3:3">
      <c r="C3924" s="468"/>
    </row>
    <row r="3925" spans="3:3">
      <c r="C3925" s="468"/>
    </row>
    <row r="3926" spans="3:3">
      <c r="C3926" s="468"/>
    </row>
    <row r="3927" spans="3:3">
      <c r="C3927" s="468"/>
    </row>
    <row r="3928" spans="3:3">
      <c r="C3928" s="468"/>
    </row>
    <row r="3929" spans="3:3">
      <c r="C3929" s="468"/>
    </row>
    <row r="3930" spans="3:3">
      <c r="C3930" s="468"/>
    </row>
    <row r="3931" spans="3:3">
      <c r="C3931" s="468"/>
    </row>
    <row r="3932" spans="3:3">
      <c r="C3932" s="468"/>
    </row>
    <row r="3933" spans="3:3">
      <c r="C3933" s="468"/>
    </row>
    <row r="3934" spans="3:3">
      <c r="C3934" s="468"/>
    </row>
    <row r="3935" spans="3:3">
      <c r="C3935" s="468"/>
    </row>
    <row r="3936" spans="3:3">
      <c r="C3936" s="468"/>
    </row>
    <row r="3937" spans="3:3">
      <c r="C3937" s="468"/>
    </row>
    <row r="3938" spans="3:3">
      <c r="C3938" s="468"/>
    </row>
    <row r="3939" spans="3:3">
      <c r="C3939" s="468"/>
    </row>
    <row r="3940" spans="3:3">
      <c r="C3940" s="468"/>
    </row>
    <row r="3941" spans="3:3">
      <c r="C3941" s="468"/>
    </row>
    <row r="3942" spans="3:3">
      <c r="C3942" s="468"/>
    </row>
    <row r="3943" spans="3:3">
      <c r="C3943" s="468"/>
    </row>
    <row r="3944" spans="3:3">
      <c r="C3944" s="468"/>
    </row>
    <row r="3945" spans="3:3">
      <c r="C3945" s="468"/>
    </row>
    <row r="3946" spans="3:3">
      <c r="C3946" s="468"/>
    </row>
    <row r="3947" spans="3:3">
      <c r="C3947" s="468"/>
    </row>
    <row r="3948" spans="3:3">
      <c r="C3948" s="468"/>
    </row>
    <row r="3949" spans="3:3">
      <c r="C3949" s="468"/>
    </row>
    <row r="3950" spans="3:3">
      <c r="C3950" s="468"/>
    </row>
    <row r="3951" spans="3:3">
      <c r="C3951" s="468"/>
    </row>
    <row r="3952" spans="3:3">
      <c r="C3952" s="468"/>
    </row>
    <row r="3953" spans="3:3">
      <c r="C3953" s="468"/>
    </row>
    <row r="3954" spans="3:3">
      <c r="C3954" s="468"/>
    </row>
    <row r="3955" spans="3:3">
      <c r="C3955" s="468"/>
    </row>
    <row r="3956" spans="3:3">
      <c r="C3956" s="468"/>
    </row>
    <row r="3957" spans="3:3">
      <c r="C3957" s="468"/>
    </row>
    <row r="3958" spans="3:3">
      <c r="C3958" s="468"/>
    </row>
    <row r="3959" spans="3:3">
      <c r="C3959" s="468"/>
    </row>
    <row r="3960" spans="3:3">
      <c r="C3960" s="468"/>
    </row>
    <row r="3961" spans="3:3">
      <c r="C3961" s="468"/>
    </row>
    <row r="3962" spans="3:3">
      <c r="C3962" s="468"/>
    </row>
    <row r="3963" spans="3:3">
      <c r="C3963" s="468"/>
    </row>
    <row r="3964" spans="3:3">
      <c r="C3964" s="468"/>
    </row>
    <row r="3965" spans="3:3">
      <c r="C3965" s="468"/>
    </row>
    <row r="3966" spans="3:3">
      <c r="C3966" s="468"/>
    </row>
    <row r="3967" spans="3:3">
      <c r="C3967" s="468"/>
    </row>
    <row r="3968" spans="3:3">
      <c r="C3968" s="468"/>
    </row>
    <row r="3969" spans="3:3">
      <c r="C3969" s="468"/>
    </row>
    <row r="3970" spans="3:3">
      <c r="C3970" s="468"/>
    </row>
    <row r="3971" spans="3:3">
      <c r="C3971" s="468"/>
    </row>
    <row r="3972" spans="3:3">
      <c r="C3972" s="468"/>
    </row>
    <row r="3973" spans="3:3">
      <c r="C3973" s="468"/>
    </row>
    <row r="3974" spans="3:3">
      <c r="C3974" s="468"/>
    </row>
    <row r="3975" spans="3:3">
      <c r="C3975" s="468"/>
    </row>
    <row r="3976" spans="3:3">
      <c r="C3976" s="468"/>
    </row>
    <row r="3977" spans="3:3">
      <c r="C3977" s="468"/>
    </row>
    <row r="3978" spans="3:3">
      <c r="C3978" s="468"/>
    </row>
    <row r="3979" spans="3:3">
      <c r="C3979" s="468"/>
    </row>
    <row r="3980" spans="3:3">
      <c r="C3980" s="468"/>
    </row>
    <row r="3981" spans="3:3">
      <c r="C3981" s="468"/>
    </row>
    <row r="3982" spans="3:3">
      <c r="C3982" s="468"/>
    </row>
    <row r="3983" spans="3:3">
      <c r="C3983" s="468"/>
    </row>
    <row r="3984" spans="3:3">
      <c r="C3984" s="468"/>
    </row>
    <row r="3985" spans="3:3">
      <c r="C3985" s="468"/>
    </row>
    <row r="3986" spans="3:3">
      <c r="C3986" s="468"/>
    </row>
    <row r="3987" spans="3:3">
      <c r="C3987" s="468"/>
    </row>
    <row r="3988" spans="3:3">
      <c r="C3988" s="468"/>
    </row>
    <row r="3989" spans="3:3">
      <c r="C3989" s="468"/>
    </row>
    <row r="3990" spans="3:3">
      <c r="C3990" s="468"/>
    </row>
    <row r="3991" spans="3:3">
      <c r="C3991" s="468"/>
    </row>
    <row r="3992" spans="3:3">
      <c r="C3992" s="468"/>
    </row>
    <row r="3993" spans="3:3">
      <c r="C3993" s="468"/>
    </row>
    <row r="3994" spans="3:3">
      <c r="C3994" s="468"/>
    </row>
    <row r="3995" spans="3:3">
      <c r="C3995" s="468"/>
    </row>
    <row r="3996" spans="3:3">
      <c r="C3996" s="468"/>
    </row>
    <row r="3997" spans="3:3">
      <c r="C3997" s="468"/>
    </row>
    <row r="3998" spans="3:3">
      <c r="C3998" s="468"/>
    </row>
    <row r="3999" spans="3:3">
      <c r="C3999" s="468"/>
    </row>
    <row r="4000" spans="3:3">
      <c r="C4000" s="468"/>
    </row>
    <row r="4001" spans="3:3">
      <c r="C4001" s="468"/>
    </row>
    <row r="4002" spans="3:3">
      <c r="C4002" s="468"/>
    </row>
    <row r="4003" spans="3:3">
      <c r="C4003" s="468"/>
    </row>
    <row r="4004" spans="3:3">
      <c r="C4004" s="468"/>
    </row>
    <row r="4005" spans="3:3">
      <c r="C4005" s="468"/>
    </row>
    <row r="4006" spans="3:3">
      <c r="C4006" s="468"/>
    </row>
    <row r="4007" spans="3:3">
      <c r="C4007" s="468"/>
    </row>
    <row r="4008" spans="3:3">
      <c r="C4008" s="468"/>
    </row>
    <row r="4009" spans="3:3">
      <c r="C4009" s="468"/>
    </row>
    <row r="4010" spans="3:3">
      <c r="C4010" s="468"/>
    </row>
    <row r="4011" spans="3:3">
      <c r="C4011" s="468"/>
    </row>
    <row r="4012" spans="3:3">
      <c r="C4012" s="468"/>
    </row>
    <row r="4013" spans="3:3">
      <c r="C4013" s="468"/>
    </row>
    <row r="4014" spans="3:3">
      <c r="C4014" s="468"/>
    </row>
    <row r="4015" spans="3:3">
      <c r="C4015" s="468"/>
    </row>
    <row r="4016" spans="3:3">
      <c r="C4016" s="468"/>
    </row>
    <row r="4017" spans="3:3">
      <c r="C4017" s="468"/>
    </row>
    <row r="4018" spans="3:3">
      <c r="C4018" s="468"/>
    </row>
    <row r="4019" spans="3:3">
      <c r="C4019" s="468"/>
    </row>
    <row r="4020" spans="3:3">
      <c r="C4020" s="468"/>
    </row>
    <row r="4021" spans="3:3">
      <c r="C4021" s="468"/>
    </row>
    <row r="4022" spans="3:3">
      <c r="C4022" s="468"/>
    </row>
    <row r="4023" spans="3:3">
      <c r="C4023" s="468"/>
    </row>
    <row r="4024" spans="3:3">
      <c r="C4024" s="468"/>
    </row>
    <row r="4025" spans="3:3">
      <c r="C4025" s="468"/>
    </row>
    <row r="4026" spans="3:3">
      <c r="C4026" s="468"/>
    </row>
    <row r="4027" spans="3:3">
      <c r="C4027" s="468"/>
    </row>
    <row r="4028" spans="3:3">
      <c r="C4028" s="468"/>
    </row>
    <row r="4029" spans="3:3">
      <c r="C4029" s="468"/>
    </row>
    <row r="4030" spans="3:3">
      <c r="C4030" s="468"/>
    </row>
    <row r="4031" spans="3:3">
      <c r="C4031" s="468"/>
    </row>
    <row r="4032" spans="3:3">
      <c r="C4032" s="468"/>
    </row>
    <row r="4033" spans="3:3">
      <c r="C4033" s="468"/>
    </row>
    <row r="4034" spans="3:3">
      <c r="C4034" s="468"/>
    </row>
    <row r="4035" spans="3:3">
      <c r="C4035" s="468"/>
    </row>
    <row r="4036" spans="3:3">
      <c r="C4036" s="468"/>
    </row>
    <row r="4037" spans="3:3">
      <c r="C4037" s="468"/>
    </row>
    <row r="4038" spans="3:3">
      <c r="C4038" s="468"/>
    </row>
    <row r="4039" spans="3:3">
      <c r="C4039" s="468"/>
    </row>
    <row r="4040" spans="3:3">
      <c r="C4040" s="468"/>
    </row>
    <row r="4041" spans="3:3">
      <c r="C4041" s="468"/>
    </row>
    <row r="4042" spans="3:3">
      <c r="C4042" s="468"/>
    </row>
    <row r="4043" spans="3:3">
      <c r="C4043" s="468"/>
    </row>
    <row r="4044" spans="3:3">
      <c r="C4044" s="468"/>
    </row>
    <row r="4045" spans="3:3">
      <c r="C4045" s="468"/>
    </row>
    <row r="4046" spans="3:3">
      <c r="C4046" s="468"/>
    </row>
    <row r="4047" spans="3:3">
      <c r="C4047" s="468"/>
    </row>
    <row r="4048" spans="3:3">
      <c r="C4048" s="468"/>
    </row>
    <row r="4049" spans="3:3">
      <c r="C4049" s="468"/>
    </row>
    <row r="4050" spans="3:3">
      <c r="C4050" s="468"/>
    </row>
    <row r="4051" spans="3:3">
      <c r="C4051" s="468"/>
    </row>
    <row r="4052" spans="3:3">
      <c r="C4052" s="468"/>
    </row>
    <row r="4053" spans="3:3">
      <c r="C4053" s="468"/>
    </row>
    <row r="4054" spans="3:3">
      <c r="C4054" s="468"/>
    </row>
    <row r="4055" spans="3:3">
      <c r="C4055" s="468"/>
    </row>
    <row r="4056" spans="3:3">
      <c r="C4056" s="468"/>
    </row>
    <row r="4057" spans="3:3">
      <c r="C4057" s="468"/>
    </row>
    <row r="4058" spans="3:3">
      <c r="C4058" s="468"/>
    </row>
    <row r="4059" spans="3:3">
      <c r="C4059" s="468"/>
    </row>
    <row r="4060" spans="3:3">
      <c r="C4060" s="468"/>
    </row>
    <row r="4061" spans="3:3">
      <c r="C4061" s="468"/>
    </row>
    <row r="4062" spans="3:3">
      <c r="C4062" s="468"/>
    </row>
    <row r="4063" spans="3:3">
      <c r="C4063" s="468"/>
    </row>
    <row r="4064" spans="3:3">
      <c r="C4064" s="468"/>
    </row>
    <row r="4065" spans="3:3">
      <c r="C4065" s="468"/>
    </row>
    <row r="4066" spans="3:3">
      <c r="C4066" s="468"/>
    </row>
    <row r="4067" spans="3:3">
      <c r="C4067" s="468"/>
    </row>
    <row r="4068" spans="3:3">
      <c r="C4068" s="468"/>
    </row>
    <row r="4069" spans="3:3">
      <c r="C4069" s="468"/>
    </row>
    <row r="4070" spans="3:3">
      <c r="C4070" s="468"/>
    </row>
    <row r="4071" spans="3:3">
      <c r="C4071" s="468"/>
    </row>
    <row r="4072" spans="3:3">
      <c r="C4072" s="468"/>
    </row>
    <row r="4073" spans="3:3">
      <c r="C4073" s="468"/>
    </row>
    <row r="4074" spans="3:3">
      <c r="C4074" s="468"/>
    </row>
    <row r="4075" spans="3:3">
      <c r="C4075" s="468"/>
    </row>
    <row r="4076" spans="3:3">
      <c r="C4076" s="468"/>
    </row>
    <row r="4077" spans="3:3">
      <c r="C4077" s="468"/>
    </row>
    <row r="4078" spans="3:3">
      <c r="C4078" s="468"/>
    </row>
    <row r="4079" spans="3:3">
      <c r="C4079" s="468"/>
    </row>
    <row r="4080" spans="3:3">
      <c r="C4080" s="468"/>
    </row>
    <row r="4081" spans="3:3">
      <c r="C4081" s="468"/>
    </row>
    <row r="4082" spans="3:3">
      <c r="C4082" s="468"/>
    </row>
    <row r="4083" spans="3:3">
      <c r="C4083" s="468"/>
    </row>
    <row r="4084" spans="3:3">
      <c r="C4084" s="468"/>
    </row>
    <row r="4085" spans="3:3">
      <c r="C4085" s="468"/>
    </row>
    <row r="4086" spans="3:3">
      <c r="C4086" s="468"/>
    </row>
    <row r="4087" spans="3:3">
      <c r="C4087" s="468"/>
    </row>
    <row r="4088" spans="3:3">
      <c r="C4088" s="468"/>
    </row>
    <row r="4089" spans="3:3">
      <c r="C4089" s="468"/>
    </row>
    <row r="4090" spans="3:3">
      <c r="C4090" s="468"/>
    </row>
    <row r="4091" spans="3:3">
      <c r="C4091" s="468"/>
    </row>
    <row r="4092" spans="3:3">
      <c r="C4092" s="468"/>
    </row>
    <row r="4093" spans="3:3">
      <c r="C4093" s="468"/>
    </row>
    <row r="4094" spans="3:3">
      <c r="C4094" s="468"/>
    </row>
    <row r="4095" spans="3:3">
      <c r="C4095" s="468"/>
    </row>
    <row r="4096" spans="3:3">
      <c r="C4096" s="468"/>
    </row>
    <row r="4097" spans="3:3">
      <c r="C4097" s="468"/>
    </row>
    <row r="4098" spans="3:3">
      <c r="C4098" s="468"/>
    </row>
    <row r="4099" spans="3:3">
      <c r="C4099" s="468"/>
    </row>
    <row r="4100" spans="3:3">
      <c r="C4100" s="468"/>
    </row>
    <row r="4101" spans="3:3">
      <c r="C4101" s="468"/>
    </row>
    <row r="4102" spans="3:3">
      <c r="C4102" s="468"/>
    </row>
    <row r="4103" spans="3:3">
      <c r="C4103" s="468"/>
    </row>
    <row r="4104" spans="3:3">
      <c r="C4104" s="468"/>
    </row>
    <row r="4105" spans="3:3">
      <c r="C4105" s="468"/>
    </row>
    <row r="4106" spans="3:3">
      <c r="C4106" s="468"/>
    </row>
    <row r="4107" spans="3:3">
      <c r="C4107" s="468"/>
    </row>
    <row r="4108" spans="3:3">
      <c r="C4108" s="468"/>
    </row>
    <row r="4109" spans="3:3">
      <c r="C4109" s="468"/>
    </row>
    <row r="4110" spans="3:3">
      <c r="C4110" s="468"/>
    </row>
    <row r="4111" spans="3:3">
      <c r="C4111" s="468"/>
    </row>
    <row r="4112" spans="3:3">
      <c r="C4112" s="468"/>
    </row>
    <row r="4113" spans="3:3">
      <c r="C4113" s="468"/>
    </row>
    <row r="4114" spans="3:3">
      <c r="C4114" s="468"/>
    </row>
    <row r="4115" spans="3:3">
      <c r="C4115" s="468"/>
    </row>
    <row r="4116" spans="3:3">
      <c r="C4116" s="468"/>
    </row>
    <row r="4117" spans="3:3">
      <c r="C4117" s="468"/>
    </row>
    <row r="4118" spans="3:3">
      <c r="C4118" s="468"/>
    </row>
    <row r="4119" spans="3:3">
      <c r="C4119" s="468"/>
    </row>
    <row r="4120" spans="3:3">
      <c r="C4120" s="468"/>
    </row>
    <row r="4121" spans="3:3">
      <c r="C4121" s="468"/>
    </row>
    <row r="4122" spans="3:3">
      <c r="C4122" s="468"/>
    </row>
    <row r="4123" spans="3:3">
      <c r="C4123" s="468"/>
    </row>
    <row r="4124" spans="3:3">
      <c r="C4124" s="468"/>
    </row>
    <row r="4125" spans="3:3">
      <c r="C4125" s="468"/>
    </row>
    <row r="4126" spans="3:3">
      <c r="C4126" s="468"/>
    </row>
    <row r="4127" spans="3:3">
      <c r="C4127" s="468"/>
    </row>
    <row r="4128" spans="3:3">
      <c r="C4128" s="468"/>
    </row>
    <row r="4129" spans="3:3">
      <c r="C4129" s="468"/>
    </row>
    <row r="4130" spans="3:3">
      <c r="C4130" s="468"/>
    </row>
    <row r="4131" spans="3:3">
      <c r="C4131" s="468"/>
    </row>
    <row r="4132" spans="3:3">
      <c r="C4132" s="468"/>
    </row>
    <row r="4133" spans="3:3">
      <c r="C4133" s="468"/>
    </row>
    <row r="4134" spans="3:3">
      <c r="C4134" s="468"/>
    </row>
    <row r="4135" spans="3:3">
      <c r="C4135" s="468"/>
    </row>
    <row r="4136" spans="3:3">
      <c r="C4136" s="468"/>
    </row>
    <row r="4137" spans="3:3">
      <c r="C4137" s="468"/>
    </row>
    <row r="4138" spans="3:3">
      <c r="C4138" s="468"/>
    </row>
    <row r="4139" spans="3:3">
      <c r="C4139" s="468"/>
    </row>
    <row r="4140" spans="3:3">
      <c r="C4140" s="468"/>
    </row>
    <row r="4141" spans="3:3">
      <c r="C4141" s="468"/>
    </row>
    <row r="4142" spans="3:3">
      <c r="C4142" s="468"/>
    </row>
    <row r="4143" spans="3:3">
      <c r="C4143" s="468"/>
    </row>
    <row r="4144" spans="3:3">
      <c r="C4144" s="468"/>
    </row>
    <row r="4145" spans="3:3">
      <c r="C4145" s="468"/>
    </row>
    <row r="4146" spans="3:3">
      <c r="C4146" s="468"/>
    </row>
    <row r="4147" spans="3:3">
      <c r="C4147" s="468"/>
    </row>
    <row r="4148" spans="3:3">
      <c r="C4148" s="468"/>
    </row>
    <row r="4149" spans="3:3">
      <c r="C4149" s="468"/>
    </row>
    <row r="4150" spans="3:3">
      <c r="C4150" s="468"/>
    </row>
    <row r="4151" spans="3:3">
      <c r="C4151" s="468"/>
    </row>
    <row r="4152" spans="3:3">
      <c r="C4152" s="468"/>
    </row>
    <row r="4153" spans="3:3">
      <c r="C4153" s="468"/>
    </row>
    <row r="4154" spans="3:3">
      <c r="C4154" s="468"/>
    </row>
    <row r="4155" spans="3:3">
      <c r="C4155" s="468"/>
    </row>
    <row r="4156" spans="3:3">
      <c r="C4156" s="468"/>
    </row>
    <row r="4157" spans="3:3">
      <c r="C4157" s="468"/>
    </row>
    <row r="4158" spans="3:3">
      <c r="C4158" s="468"/>
    </row>
    <row r="4159" spans="3:3">
      <c r="C4159" s="468"/>
    </row>
    <row r="4160" spans="3:3">
      <c r="C4160" s="468"/>
    </row>
    <row r="4161" spans="3:3">
      <c r="C4161" s="468"/>
    </row>
    <row r="4162" spans="3:3">
      <c r="C4162" s="468"/>
    </row>
    <row r="4163" spans="3:3">
      <c r="C4163" s="468"/>
    </row>
    <row r="4164" spans="3:3">
      <c r="C4164" s="468"/>
    </row>
    <row r="4165" spans="3:3">
      <c r="C4165" s="468"/>
    </row>
    <row r="4166" spans="3:3">
      <c r="C4166" s="468"/>
    </row>
    <row r="4167" spans="3:3">
      <c r="C4167" s="468"/>
    </row>
    <row r="4168" spans="3:3">
      <c r="C4168" s="468"/>
    </row>
    <row r="4169" spans="3:3">
      <c r="C4169" s="468"/>
    </row>
    <row r="4170" spans="3:3">
      <c r="C4170" s="468"/>
    </row>
    <row r="4171" spans="3:3">
      <c r="C4171" s="468"/>
    </row>
    <row r="4172" spans="3:3">
      <c r="C4172" s="468"/>
    </row>
    <row r="4173" spans="3:3">
      <c r="C4173" s="468"/>
    </row>
    <row r="4174" spans="3:3">
      <c r="C4174" s="468"/>
    </row>
    <row r="4175" spans="3:3">
      <c r="C4175" s="468"/>
    </row>
    <row r="4176" spans="3:3">
      <c r="C4176" s="468"/>
    </row>
    <row r="4177" spans="3:3">
      <c r="C4177" s="468"/>
    </row>
    <row r="4178" spans="3:3">
      <c r="C4178" s="468"/>
    </row>
    <row r="4179" spans="3:3">
      <c r="C4179" s="468"/>
    </row>
    <row r="4180" spans="3:3">
      <c r="C4180" s="468"/>
    </row>
    <row r="4181" spans="3:3">
      <c r="C4181" s="468"/>
    </row>
    <row r="4182" spans="3:3">
      <c r="C4182" s="468"/>
    </row>
    <row r="4183" spans="3:3">
      <c r="C4183" s="468"/>
    </row>
    <row r="4184" spans="3:3">
      <c r="C4184" s="468"/>
    </row>
    <row r="4185" spans="3:3">
      <c r="C4185" s="468"/>
    </row>
    <row r="4186" spans="3:3">
      <c r="C4186" s="468"/>
    </row>
    <row r="4187" spans="3:3">
      <c r="C4187" s="468"/>
    </row>
    <row r="4188" spans="3:3">
      <c r="C4188" s="468"/>
    </row>
    <row r="4189" spans="3:3">
      <c r="C4189" s="468"/>
    </row>
    <row r="4190" spans="3:3">
      <c r="C4190" s="468"/>
    </row>
    <row r="4191" spans="3:3">
      <c r="C4191" s="468"/>
    </row>
    <row r="4192" spans="3:3">
      <c r="C4192" s="468"/>
    </row>
    <row r="4193" spans="3:3">
      <c r="C4193" s="468"/>
    </row>
    <row r="4194" spans="3:3">
      <c r="C4194" s="468"/>
    </row>
    <row r="4195" spans="3:3">
      <c r="C4195" s="468"/>
    </row>
    <row r="4196" spans="3:3">
      <c r="C4196" s="468"/>
    </row>
    <row r="4197" spans="3:3">
      <c r="C4197" s="468"/>
    </row>
    <row r="4198" spans="3:3">
      <c r="C4198" s="468"/>
    </row>
    <row r="4199" spans="3:3">
      <c r="C4199" s="468"/>
    </row>
    <row r="4200" spans="3:3">
      <c r="C4200" s="468"/>
    </row>
    <row r="4201" spans="3:3">
      <c r="C4201" s="468"/>
    </row>
    <row r="4202" spans="3:3">
      <c r="C4202" s="468"/>
    </row>
    <row r="4203" spans="3:3">
      <c r="C4203" s="468"/>
    </row>
    <row r="4204" spans="3:3">
      <c r="C4204" s="468"/>
    </row>
    <row r="4205" spans="3:3">
      <c r="C4205" s="468"/>
    </row>
    <row r="4206" spans="3:3">
      <c r="C4206" s="468"/>
    </row>
    <row r="4207" spans="3:3">
      <c r="C4207" s="468"/>
    </row>
    <row r="4208" spans="3:3">
      <c r="C4208" s="468"/>
    </row>
    <row r="4209" spans="3:3">
      <c r="C4209" s="468"/>
    </row>
    <row r="4210" spans="3:3">
      <c r="C4210" s="468"/>
    </row>
    <row r="4211" spans="3:3">
      <c r="C4211" s="468"/>
    </row>
    <row r="4212" spans="3:3">
      <c r="C4212" s="468"/>
    </row>
    <row r="4213" spans="3:3">
      <c r="C4213" s="468"/>
    </row>
    <row r="4214" spans="3:3">
      <c r="C4214" s="468"/>
    </row>
    <row r="4215" spans="3:3">
      <c r="C4215" s="468"/>
    </row>
    <row r="4216" spans="3:3">
      <c r="C4216" s="468"/>
    </row>
    <row r="4217" spans="3:3">
      <c r="C4217" s="468"/>
    </row>
    <row r="4218" spans="3:3">
      <c r="C4218" s="468"/>
    </row>
    <row r="4219" spans="3:3">
      <c r="C4219" s="468"/>
    </row>
    <row r="4220" spans="3:3">
      <c r="C4220" s="468"/>
    </row>
    <row r="4221" spans="3:3">
      <c r="C4221" s="468"/>
    </row>
    <row r="4222" spans="3:3">
      <c r="C4222" s="468"/>
    </row>
    <row r="4223" spans="3:3">
      <c r="C4223" s="468"/>
    </row>
    <row r="4224" spans="3:3">
      <c r="C4224" s="468"/>
    </row>
    <row r="4225" spans="3:3">
      <c r="C4225" s="468"/>
    </row>
    <row r="4226" spans="3:3">
      <c r="C4226" s="468"/>
    </row>
    <row r="4227" spans="3:3">
      <c r="C4227" s="468"/>
    </row>
    <row r="4228" spans="3:3">
      <c r="C4228" s="468"/>
    </row>
    <row r="4229" spans="3:3">
      <c r="C4229" s="468"/>
    </row>
    <row r="4230" spans="3:3">
      <c r="C4230" s="468"/>
    </row>
    <row r="4231" spans="3:3">
      <c r="C4231" s="468"/>
    </row>
  </sheetData>
  <phoneticPr fontId="5" type="noConversion"/>
  <printOptions horizontalCentered="1" verticalCentered="1" gridLinesSet="0"/>
  <pageMargins left="0.75" right="0.75" top="1" bottom="1" header="0.5" footer="0.5"/>
  <pageSetup scale="76" orientation="landscape" horizontalDpi="4294967292" verticalDpi="180" r:id="rId1"/>
  <headerFooter alignWithMargins="0"/>
  <ignoredErrors>
    <ignoredError sqref="P38 L44:T44 U44:AD44" formula="1"/>
    <ignoredError sqref="C39:H45 H35:H38 C3:H18 C23:H23" evalError="1"/>
  </ignoredErrors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 enableFormatConditionsCalculation="0">
    <tabColor indexed="12"/>
    <pageSetUpPr fitToPage="1"/>
  </sheetPr>
  <dimension ref="A1:BL177"/>
  <sheetViews>
    <sheetView workbookViewId="0"/>
  </sheetViews>
  <sheetFormatPr defaultRowHeight="12.75"/>
  <cols>
    <col min="1" max="1" width="21.7109375" style="36" bestFit="1" customWidth="1"/>
    <col min="2" max="2" width="13.5703125" style="36" bestFit="1" customWidth="1"/>
    <col min="3" max="3" width="14.7109375" style="36" bestFit="1" customWidth="1"/>
    <col min="4" max="5" width="14.5703125" style="36" customWidth="1"/>
    <col min="6" max="6" width="15.28515625" style="36" bestFit="1" customWidth="1"/>
    <col min="7" max="7" width="15.140625" style="36" customWidth="1"/>
    <col min="8" max="8" width="14.7109375" style="91" bestFit="1" customWidth="1"/>
    <col min="9" max="9" width="12" style="91" customWidth="1"/>
    <col min="10" max="22" width="9" style="36" bestFit="1" customWidth="1"/>
    <col min="23" max="23" width="7.42578125" style="36" bestFit="1" customWidth="1"/>
    <col min="24" max="24" width="4" style="36" bestFit="1" customWidth="1"/>
    <col min="25" max="25" width="6.28515625" style="36" bestFit="1" customWidth="1"/>
    <col min="26" max="26" width="4" style="36" bestFit="1" customWidth="1"/>
    <col min="27" max="27" width="6.28515625" style="36" bestFit="1" customWidth="1"/>
    <col min="28" max="28" width="4" style="36" bestFit="1" customWidth="1"/>
    <col min="29" max="29" width="15.85546875" style="36" bestFit="1" customWidth="1"/>
    <col min="30" max="31" width="15.140625" style="36" bestFit="1" customWidth="1"/>
    <col min="32" max="32" width="35.28515625" style="36" bestFit="1" customWidth="1"/>
    <col min="33" max="33" width="14.5703125" style="36" bestFit="1" customWidth="1"/>
    <col min="34" max="34" width="17.85546875" style="36" bestFit="1" customWidth="1"/>
    <col min="35" max="35" width="13" style="36" bestFit="1" customWidth="1"/>
    <col min="36" max="36" width="16.28515625" style="36" bestFit="1" customWidth="1"/>
    <col min="37" max="37" width="9.7109375" style="36" bestFit="1" customWidth="1"/>
    <col min="38" max="38" width="12.7109375" style="36" bestFit="1" customWidth="1"/>
    <col min="39" max="39" width="9.5703125" style="36" bestFit="1" customWidth="1"/>
    <col min="40" max="40" width="10.7109375" style="36" bestFit="1" customWidth="1"/>
    <col min="41" max="41" width="8.28515625" style="36" bestFit="1" customWidth="1"/>
    <col min="42" max="42" width="35.140625" style="36" bestFit="1" customWidth="1"/>
    <col min="43" max="43" width="14.42578125" style="36" bestFit="1" customWidth="1"/>
    <col min="44" max="44" width="18.140625" style="36" bestFit="1" customWidth="1"/>
    <col min="45" max="45" width="13" style="36" bestFit="1" customWidth="1"/>
    <col min="46" max="46" width="16.28515625" style="36" bestFit="1" customWidth="1"/>
    <col min="47" max="47" width="35.140625" style="36" bestFit="1" customWidth="1"/>
    <col min="48" max="48" width="14.42578125" style="36" bestFit="1" customWidth="1"/>
    <col min="49" max="49" width="17.42578125" style="36" bestFit="1" customWidth="1"/>
    <col min="50" max="50" width="10.140625" style="36" bestFit="1" customWidth="1"/>
    <col min="51" max="51" width="12.140625" style="36" bestFit="1" customWidth="1"/>
    <col min="52" max="52" width="11.42578125" style="36" customWidth="1"/>
    <col min="53" max="53" width="14.42578125" style="36" bestFit="1" customWidth="1"/>
    <col min="54" max="54" width="17.42578125" style="36" bestFit="1" customWidth="1"/>
    <col min="55" max="55" width="13" style="36" bestFit="1" customWidth="1"/>
    <col min="56" max="56" width="16.28515625" style="36" bestFit="1" customWidth="1"/>
    <col min="57" max="57" width="9.140625" style="36"/>
    <col min="58" max="58" width="10.5703125" style="36" bestFit="1" customWidth="1"/>
    <col min="59" max="59" width="10" style="36" customWidth="1"/>
    <col min="60" max="60" width="0.7109375" style="36" customWidth="1"/>
    <col min="61" max="61" width="5.5703125" style="36" bestFit="1" customWidth="1"/>
    <col min="62" max="62" width="12.42578125" style="36" bestFit="1" customWidth="1"/>
    <col min="63" max="64" width="9.28515625" style="36" bestFit="1" customWidth="1"/>
    <col min="65" max="16384" width="9.140625" style="36"/>
  </cols>
  <sheetData>
    <row r="1" spans="1:22">
      <c r="E1" s="36" t="s">
        <v>713</v>
      </c>
    </row>
    <row r="2" spans="1:22">
      <c r="A2" s="100" t="s">
        <v>638</v>
      </c>
      <c r="B2" s="91" t="s">
        <v>644</v>
      </c>
      <c r="D2" s="36" t="s">
        <v>645</v>
      </c>
      <c r="H2" s="91" t="s">
        <v>538</v>
      </c>
      <c r="I2" s="91" t="s">
        <v>539</v>
      </c>
      <c r="J2" s="91" t="s">
        <v>543</v>
      </c>
      <c r="K2" s="91" t="s">
        <v>560</v>
      </c>
      <c r="L2" s="91" t="s">
        <v>587</v>
      </c>
      <c r="M2" s="91" t="s">
        <v>590</v>
      </c>
      <c r="N2" s="91" t="s">
        <v>619</v>
      </c>
      <c r="O2" s="91" t="s">
        <v>620</v>
      </c>
      <c r="P2" s="91" t="s">
        <v>621</v>
      </c>
      <c r="Q2" s="91" t="s">
        <v>622</v>
      </c>
      <c r="R2" s="91" t="s">
        <v>623</v>
      </c>
      <c r="S2" s="91" t="s">
        <v>624</v>
      </c>
      <c r="T2" s="91" t="s">
        <v>625</v>
      </c>
      <c r="U2" s="91" t="s">
        <v>626</v>
      </c>
      <c r="V2" s="91" t="s">
        <v>627</v>
      </c>
    </row>
    <row r="3" spans="1:22">
      <c r="A3" s="36" t="s">
        <v>325</v>
      </c>
      <c r="B3" s="36">
        <v>30.289501000000001</v>
      </c>
      <c r="C3" s="36">
        <f>D3/B3</f>
        <v>52.069989532016386</v>
      </c>
      <c r="D3" s="36">
        <v>1577.174</v>
      </c>
      <c r="E3" s="36">
        <v>122.17</v>
      </c>
      <c r="F3" s="36">
        <f>+E3*B3</f>
        <v>3700.4683371700003</v>
      </c>
      <c r="J3" s="36">
        <v>4</v>
      </c>
      <c r="K3" s="36">
        <v>4</v>
      </c>
      <c r="L3" s="36">
        <v>5</v>
      </c>
      <c r="M3" s="36">
        <f>L3+1</f>
        <v>6</v>
      </c>
      <c r="N3" s="36">
        <f t="shared" ref="N3:V3" si="0">M3+0.5</f>
        <v>6.5</v>
      </c>
      <c r="O3" s="36">
        <f t="shared" si="0"/>
        <v>7</v>
      </c>
      <c r="P3" s="36">
        <f t="shared" si="0"/>
        <v>7.5</v>
      </c>
      <c r="Q3" s="36">
        <f t="shared" si="0"/>
        <v>8</v>
      </c>
      <c r="R3" s="36">
        <f t="shared" si="0"/>
        <v>8.5</v>
      </c>
      <c r="S3" s="36">
        <f t="shared" si="0"/>
        <v>9</v>
      </c>
      <c r="T3" s="36">
        <f t="shared" si="0"/>
        <v>9.5</v>
      </c>
      <c r="U3" s="36">
        <f t="shared" si="0"/>
        <v>10</v>
      </c>
      <c r="V3" s="36">
        <f t="shared" si="0"/>
        <v>10.5</v>
      </c>
    </row>
    <row r="4" spans="1:22">
      <c r="A4" s="36" t="s">
        <v>109</v>
      </c>
      <c r="B4" s="36">
        <v>19.368469000000001</v>
      </c>
      <c r="C4" s="36">
        <f>D4/B4</f>
        <v>6.4968480472049697</v>
      </c>
      <c r="D4" s="36">
        <v>125.834</v>
      </c>
      <c r="E4" s="36">
        <v>290.45999999999998</v>
      </c>
      <c r="F4" s="36">
        <f>+E4*B4</f>
        <v>5625.7655057399998</v>
      </c>
      <c r="H4" s="1235">
        <v>1.8293200000000001</v>
      </c>
      <c r="J4" s="36">
        <v>12</v>
      </c>
      <c r="K4" s="36">
        <v>14</v>
      </c>
      <c r="L4" s="36">
        <v>15</v>
      </c>
      <c r="M4" s="36">
        <v>15.5</v>
      </c>
      <c r="N4" s="36">
        <v>16</v>
      </c>
      <c r="O4" s="36">
        <f t="shared" ref="O4:Q5" si="1">N4+0.5</f>
        <v>16.5</v>
      </c>
      <c r="P4" s="36">
        <f t="shared" si="1"/>
        <v>17</v>
      </c>
      <c r="Q4" s="36">
        <f t="shared" si="1"/>
        <v>17.5</v>
      </c>
      <c r="R4" s="36">
        <f t="shared" ref="R4:V6" si="2">Q4+0.5</f>
        <v>18</v>
      </c>
      <c r="S4" s="36">
        <f t="shared" si="2"/>
        <v>18.5</v>
      </c>
      <c r="T4" s="36">
        <f t="shared" si="2"/>
        <v>19</v>
      </c>
      <c r="U4" s="36">
        <f t="shared" si="2"/>
        <v>19.5</v>
      </c>
      <c r="V4" s="36">
        <f t="shared" si="2"/>
        <v>20</v>
      </c>
    </row>
    <row r="5" spans="1:22">
      <c r="A5" s="36" t="s">
        <v>639</v>
      </c>
      <c r="B5" s="36">
        <f>3.541391*(1+H4)</f>
        <v>10.01972838412</v>
      </c>
      <c r="C5" s="36">
        <f>D5/B5</f>
        <v>34.817111465106748</v>
      </c>
      <c r="D5" s="36">
        <v>348.858</v>
      </c>
      <c r="E5" s="36">
        <v>49.09</v>
      </c>
      <c r="F5" s="36">
        <f>+E5*B5</f>
        <v>491.86846637645084</v>
      </c>
      <c r="J5" s="36">
        <v>1.5</v>
      </c>
      <c r="K5" s="36">
        <v>2</v>
      </c>
      <c r="L5" s="36">
        <f>K5+0.5</f>
        <v>2.5</v>
      </c>
      <c r="M5" s="36">
        <f>L5+0.5</f>
        <v>3</v>
      </c>
      <c r="N5" s="36">
        <f>M5+0.5</f>
        <v>3.5</v>
      </c>
      <c r="O5" s="36">
        <f t="shared" si="1"/>
        <v>4</v>
      </c>
      <c r="P5" s="36">
        <f t="shared" si="1"/>
        <v>4.5</v>
      </c>
      <c r="Q5" s="36">
        <f t="shared" si="1"/>
        <v>5</v>
      </c>
      <c r="R5" s="36">
        <f t="shared" si="2"/>
        <v>5.5</v>
      </c>
      <c r="S5" s="36">
        <f t="shared" si="2"/>
        <v>6</v>
      </c>
      <c r="T5" s="36">
        <f t="shared" si="2"/>
        <v>6.5</v>
      </c>
      <c r="U5" s="36">
        <f t="shared" si="2"/>
        <v>7</v>
      </c>
      <c r="V5" s="36">
        <f t="shared" si="2"/>
        <v>7.5</v>
      </c>
    </row>
    <row r="6" spans="1:22">
      <c r="A6" s="36" t="s">
        <v>640</v>
      </c>
      <c r="B6" s="36">
        <f>(13747+1999)/1000000</f>
        <v>1.5746E-2</v>
      </c>
      <c r="C6" s="36">
        <f>D6/B6</f>
        <v>18.036326686142512</v>
      </c>
      <c r="D6" s="36">
        <f>0.282+0.002</f>
        <v>0.28399999999999997</v>
      </c>
      <c r="J6" s="36">
        <v>2</v>
      </c>
      <c r="K6" s="36">
        <v>1</v>
      </c>
      <c r="L6" s="36">
        <v>2</v>
      </c>
      <c r="M6" s="36">
        <f>L6+0.5</f>
        <v>2.5</v>
      </c>
      <c r="N6" s="36">
        <f>M6+0.5</f>
        <v>3</v>
      </c>
      <c r="O6" s="36">
        <f>N6+0.5</f>
        <v>3.5</v>
      </c>
      <c r="P6" s="36">
        <f>O6+0.5</f>
        <v>4</v>
      </c>
      <c r="Q6" s="36">
        <f>P6+0.5</f>
        <v>4.5</v>
      </c>
      <c r="R6" s="36">
        <f t="shared" si="2"/>
        <v>5</v>
      </c>
      <c r="S6" s="36">
        <f t="shared" si="2"/>
        <v>5.5</v>
      </c>
      <c r="T6" s="36">
        <f t="shared" si="2"/>
        <v>6</v>
      </c>
      <c r="U6" s="36">
        <f t="shared" si="2"/>
        <v>6.5</v>
      </c>
      <c r="V6" s="36">
        <f t="shared" si="2"/>
        <v>7</v>
      </c>
    </row>
    <row r="7" spans="1:22">
      <c r="A7" s="36" t="s">
        <v>641</v>
      </c>
      <c r="B7" s="36">
        <v>8.8999999999999996E-2</v>
      </c>
    </row>
    <row r="8" spans="1:22">
      <c r="A8" s="36" t="s">
        <v>642</v>
      </c>
      <c r="B8" s="36">
        <v>1.74E-4</v>
      </c>
      <c r="G8" s="36" t="s">
        <v>367</v>
      </c>
    </row>
    <row r="9" spans="1:22">
      <c r="A9" s="36" t="s">
        <v>326</v>
      </c>
      <c r="B9" s="36">
        <v>5.4195900000000004</v>
      </c>
      <c r="E9" s="36">
        <v>45.85</v>
      </c>
      <c r="F9" s="36">
        <f>+E9*B9</f>
        <v>248.48820150000003</v>
      </c>
      <c r="G9" s="36" t="s">
        <v>325</v>
      </c>
      <c r="H9" s="36"/>
      <c r="I9" s="36"/>
      <c r="J9" s="36">
        <f t="shared" ref="J9:V9" si="3">J3*($B$3)</f>
        <v>121.15800400000001</v>
      </c>
      <c r="K9" s="36">
        <f t="shared" si="3"/>
        <v>121.15800400000001</v>
      </c>
      <c r="L9" s="36">
        <f t="shared" si="3"/>
        <v>151.44750500000001</v>
      </c>
      <c r="M9" s="36">
        <f t="shared" si="3"/>
        <v>181.73700600000001</v>
      </c>
      <c r="N9" s="36">
        <f t="shared" si="3"/>
        <v>196.88175649999999</v>
      </c>
      <c r="O9" s="36">
        <f t="shared" si="3"/>
        <v>212.02650700000001</v>
      </c>
      <c r="P9" s="36">
        <f t="shared" si="3"/>
        <v>227.17125750000002</v>
      </c>
      <c r="Q9" s="36">
        <f t="shared" si="3"/>
        <v>242.31600800000001</v>
      </c>
      <c r="R9" s="36">
        <f t="shared" si="3"/>
        <v>257.4607585</v>
      </c>
      <c r="S9" s="36">
        <f t="shared" si="3"/>
        <v>272.60550899999998</v>
      </c>
      <c r="T9" s="36">
        <f t="shared" si="3"/>
        <v>287.75025950000003</v>
      </c>
      <c r="U9" s="36">
        <f t="shared" si="3"/>
        <v>302.89501000000001</v>
      </c>
      <c r="V9" s="36">
        <f t="shared" si="3"/>
        <v>318.0397605</v>
      </c>
    </row>
    <row r="10" spans="1:22">
      <c r="A10" s="36" t="s">
        <v>643</v>
      </c>
      <c r="B10" s="36">
        <f>2353/1000000</f>
        <v>2.3530000000000001E-3</v>
      </c>
      <c r="G10" s="36" t="s">
        <v>109</v>
      </c>
      <c r="J10" s="36">
        <f t="shared" ref="J10:O10" si="4">J4*($B$4+$B$13)</f>
        <v>1115.751636</v>
      </c>
      <c r="K10" s="36">
        <f t="shared" si="4"/>
        <v>1301.7102420000001</v>
      </c>
      <c r="L10" s="36">
        <f t="shared" si="4"/>
        <v>1394.689545</v>
      </c>
      <c r="M10" s="36">
        <f t="shared" si="4"/>
        <v>1441.1791965</v>
      </c>
      <c r="N10" s="36">
        <f t="shared" si="4"/>
        <v>1487.668848</v>
      </c>
      <c r="O10" s="36">
        <f t="shared" si="4"/>
        <v>1534.1584995000001</v>
      </c>
      <c r="P10" s="36">
        <f t="shared" ref="P10:V10" si="5">P4*($B$4+$B$13)</f>
        <v>1580.6481510000001</v>
      </c>
      <c r="Q10" s="36">
        <f t="shared" si="5"/>
        <v>1627.1378025000001</v>
      </c>
      <c r="R10" s="36">
        <f t="shared" si="5"/>
        <v>1673.6274539999999</v>
      </c>
      <c r="S10" s="36">
        <f t="shared" si="5"/>
        <v>1720.1171055</v>
      </c>
      <c r="T10" s="36">
        <f t="shared" si="5"/>
        <v>1766.606757</v>
      </c>
      <c r="U10" s="36">
        <f t="shared" si="5"/>
        <v>1813.0964085000001</v>
      </c>
      <c r="V10" s="36">
        <f t="shared" si="5"/>
        <v>1859.5860600000001</v>
      </c>
    </row>
    <row r="11" spans="1:22">
      <c r="G11" s="36" t="s">
        <v>639</v>
      </c>
      <c r="J11" s="36">
        <f t="shared" ref="J11:V11" si="6">J5*$B$5</f>
        <v>15.029592576180001</v>
      </c>
      <c r="K11" s="36">
        <f t="shared" si="6"/>
        <v>20.039456768240001</v>
      </c>
      <c r="L11" s="36">
        <f t="shared" si="6"/>
        <v>25.049320960300001</v>
      </c>
      <c r="M11" s="36">
        <f t="shared" si="6"/>
        <v>30.059185152360001</v>
      </c>
      <c r="N11" s="36">
        <f t="shared" si="6"/>
        <v>35.069049344420002</v>
      </c>
      <c r="O11" s="36">
        <f t="shared" si="6"/>
        <v>40.078913536480002</v>
      </c>
      <c r="P11" s="36">
        <f t="shared" si="6"/>
        <v>45.088777728540002</v>
      </c>
      <c r="Q11" s="36">
        <f t="shared" si="6"/>
        <v>50.098641920600002</v>
      </c>
      <c r="R11" s="36">
        <f t="shared" si="6"/>
        <v>55.108506112660002</v>
      </c>
      <c r="S11" s="36">
        <f t="shared" si="6"/>
        <v>60.118370304720003</v>
      </c>
      <c r="T11" s="36">
        <f t="shared" si="6"/>
        <v>65.12823449678001</v>
      </c>
      <c r="U11" s="36">
        <f t="shared" si="6"/>
        <v>70.138098688840003</v>
      </c>
      <c r="V11" s="36">
        <f t="shared" si="6"/>
        <v>75.147962880899996</v>
      </c>
    </row>
    <row r="12" spans="1:22">
      <c r="A12" s="36" t="s">
        <v>646</v>
      </c>
      <c r="G12" s="36" t="s">
        <v>326</v>
      </c>
      <c r="J12" s="36">
        <f t="shared" ref="J12:V12" si="7">J6*$B$9</f>
        <v>10.839180000000001</v>
      </c>
      <c r="K12" s="36">
        <f t="shared" si="7"/>
        <v>5.4195900000000004</v>
      </c>
      <c r="L12" s="36">
        <f t="shared" si="7"/>
        <v>10.839180000000001</v>
      </c>
      <c r="M12" s="36">
        <f t="shared" si="7"/>
        <v>13.548975</v>
      </c>
      <c r="N12" s="36">
        <f t="shared" si="7"/>
        <v>16.258770000000002</v>
      </c>
      <c r="O12" s="36">
        <f t="shared" si="7"/>
        <v>18.968565000000002</v>
      </c>
      <c r="P12" s="36">
        <f t="shared" si="7"/>
        <v>21.678360000000001</v>
      </c>
      <c r="Q12" s="36">
        <f t="shared" si="7"/>
        <v>24.388155000000001</v>
      </c>
      <c r="R12" s="36">
        <f t="shared" si="7"/>
        <v>27.097950000000001</v>
      </c>
      <c r="S12" s="36">
        <f t="shared" si="7"/>
        <v>29.807745000000001</v>
      </c>
      <c r="T12" s="36">
        <f t="shared" si="7"/>
        <v>32.517540000000004</v>
      </c>
      <c r="U12" s="36">
        <f t="shared" si="7"/>
        <v>35.227335000000004</v>
      </c>
      <c r="V12" s="36">
        <f t="shared" si="7"/>
        <v>37.937130000000003</v>
      </c>
    </row>
    <row r="13" spans="1:22" ht="13.5" thickBot="1">
      <c r="A13" s="36" t="s">
        <v>109</v>
      </c>
      <c r="B13" s="36">
        <v>73.610833999999997</v>
      </c>
      <c r="C13" s="36">
        <f>D13/B13</f>
        <v>6.4967882309280727</v>
      </c>
      <c r="D13" s="36">
        <v>478.23399999999998</v>
      </c>
      <c r="E13" s="36">
        <f>E4</f>
        <v>290.45999999999998</v>
      </c>
      <c r="F13" s="36">
        <f>+E13*B13</f>
        <v>21381.002843639999</v>
      </c>
      <c r="J13" s="837">
        <f t="shared" ref="J13:V13" si="8">SUM(J9:J12)</f>
        <v>1262.7784125761798</v>
      </c>
      <c r="K13" s="837">
        <f t="shared" si="8"/>
        <v>1448.3272927682399</v>
      </c>
      <c r="L13" s="837">
        <f>SUM(L9:L12)+L15</f>
        <v>1732.0255509603001</v>
      </c>
      <c r="M13" s="837">
        <f t="shared" ref="M13:O13" si="9">SUM(M9:M12)+M15</f>
        <v>1816.52436265236</v>
      </c>
      <c r="N13" s="837">
        <f t="shared" si="9"/>
        <v>1885.8784238444198</v>
      </c>
      <c r="O13" s="837">
        <f t="shared" si="9"/>
        <v>1955.2324850364801</v>
      </c>
      <c r="P13" s="837">
        <f t="shared" si="8"/>
        <v>1874.5865462285401</v>
      </c>
      <c r="Q13" s="837">
        <f t="shared" si="8"/>
        <v>1943.9406074206001</v>
      </c>
      <c r="R13" s="837">
        <f t="shared" si="8"/>
        <v>2013.29466861266</v>
      </c>
      <c r="S13" s="837">
        <f t="shared" si="8"/>
        <v>2082.64872980472</v>
      </c>
      <c r="T13" s="837">
        <f t="shared" si="8"/>
        <v>2152.0027909967798</v>
      </c>
      <c r="U13" s="837">
        <f t="shared" si="8"/>
        <v>2221.3568521888401</v>
      </c>
      <c r="V13" s="837">
        <f t="shared" si="8"/>
        <v>2290.7109133808999</v>
      </c>
    </row>
    <row r="14" spans="1:22" ht="13.5" thickTop="1">
      <c r="B14" s="36">
        <v>8.3158999999999997E-2</v>
      </c>
      <c r="C14" s="36">
        <f>D14/B14</f>
        <v>10.004930314217342</v>
      </c>
      <c r="D14" s="36">
        <v>0.83199999999999996</v>
      </c>
    </row>
    <row r="15" spans="1:22">
      <c r="E15" s="36" t="s">
        <v>714</v>
      </c>
      <c r="F15" s="36">
        <f>SUM(F3:F13)</f>
        <v>31447.593354426448</v>
      </c>
      <c r="L15" s="36">
        <v>150</v>
      </c>
      <c r="M15" s="36">
        <v>150</v>
      </c>
      <c r="N15" s="36">
        <v>150</v>
      </c>
      <c r="O15" s="36">
        <v>150</v>
      </c>
    </row>
    <row r="16" spans="1:22">
      <c r="B16" s="36">
        <f>B13+B4</f>
        <v>92.979303000000002</v>
      </c>
      <c r="E16" s="36" t="s">
        <v>715</v>
      </c>
      <c r="F16" s="36">
        <f>F15*0.7</f>
        <v>22013.315348098513</v>
      </c>
      <c r="H16" s="91">
        <f>F16/F19</f>
        <v>50.245048316995337</v>
      </c>
    </row>
    <row r="17" spans="1:64">
      <c r="B17" s="36">
        <f>SUM(17.6077,66.91894)</f>
        <v>84.526640000000015</v>
      </c>
      <c r="F17" s="36">
        <f>F16/(BS!R7/10)</f>
        <v>50.245048316995337</v>
      </c>
    </row>
    <row r="18" spans="1:64">
      <c r="B18" s="36">
        <f>B17*1.1</f>
        <v>92.979304000000027</v>
      </c>
      <c r="F18" s="36" t="s">
        <v>1046</v>
      </c>
    </row>
    <row r="19" spans="1:64">
      <c r="F19" s="36">
        <f>(BS!R7/10)</f>
        <v>438.1191</v>
      </c>
    </row>
    <row r="20" spans="1:64">
      <c r="B20" s="36">
        <v>92.979304000000027</v>
      </c>
      <c r="H20" s="91">
        <f>109.8/76-1</f>
        <v>0.4447368421052631</v>
      </c>
    </row>
    <row r="21" spans="1:64">
      <c r="B21" s="36">
        <f>B20*3.5</f>
        <v>325.42756400000007</v>
      </c>
    </row>
    <row r="24" spans="1:64">
      <c r="A24" s="36" t="s">
        <v>109</v>
      </c>
      <c r="B24" s="36">
        <f>(B4+B13)*3.15</f>
        <v>292.88480444999999</v>
      </c>
      <c r="D24" s="36">
        <f>4*0.9</f>
        <v>3.6</v>
      </c>
    </row>
    <row r="25" spans="1:64">
      <c r="A25" s="36" t="s">
        <v>325</v>
      </c>
      <c r="B25" s="36">
        <f>B3*3.6</f>
        <v>109.04220360000001</v>
      </c>
      <c r="E25" s="36">
        <f>B16*3+B3*4+B9*2+60</f>
        <v>470.93509299999999</v>
      </c>
      <c r="I25" s="91" t="s">
        <v>1016</v>
      </c>
    </row>
    <row r="26" spans="1:64">
      <c r="A26" s="36" t="s">
        <v>639</v>
      </c>
      <c r="B26" s="36">
        <f>B5*(1.25*0.9)</f>
        <v>11.272194432135</v>
      </c>
      <c r="G26" s="36">
        <v>2261.3629999999998</v>
      </c>
      <c r="H26" s="91">
        <v>2899.1869999999999</v>
      </c>
      <c r="I26" s="91">
        <v>4208.3040000000001</v>
      </c>
    </row>
    <row r="27" spans="1:64">
      <c r="A27" s="36" t="s">
        <v>326</v>
      </c>
      <c r="B27" s="36">
        <f>B9*0.9</f>
        <v>4.877631</v>
      </c>
      <c r="G27" s="36">
        <v>1120.482</v>
      </c>
      <c r="H27" s="91">
        <v>1440.0319999999999</v>
      </c>
      <c r="I27" s="91">
        <v>1952.739</v>
      </c>
    </row>
    <row r="28" spans="1:64">
      <c r="A28" s="36" t="s">
        <v>642</v>
      </c>
      <c r="B28" s="36">
        <f>B8*(2.25*0.9)</f>
        <v>3.5234999999999997E-4</v>
      </c>
      <c r="G28" s="36">
        <v>5362.0410000000002</v>
      </c>
      <c r="H28" s="816">
        <v>5420.29</v>
      </c>
      <c r="I28" s="816">
        <v>7259.2169999999996</v>
      </c>
      <c r="AE28" s="823"/>
      <c r="AF28" s="824"/>
      <c r="AG28" s="333"/>
      <c r="AH28" s="333"/>
      <c r="AI28" s="333"/>
      <c r="AJ28" s="825"/>
      <c r="AK28" s="333"/>
      <c r="AL28" s="333"/>
      <c r="AM28" s="333"/>
      <c r="AP28" s="824"/>
      <c r="AQ28" s="333"/>
      <c r="AR28" s="333"/>
      <c r="AS28" s="333"/>
      <c r="AT28" s="825">
        <v>40170</v>
      </c>
      <c r="AU28" s="333"/>
      <c r="AV28" s="333"/>
      <c r="AW28" s="333"/>
      <c r="AZ28" s="824"/>
      <c r="BA28" s="333"/>
      <c r="BB28" s="333"/>
      <c r="BC28" s="333"/>
      <c r="BD28" s="825">
        <v>40532</v>
      </c>
      <c r="BE28" s="333"/>
      <c r="BF28" s="333"/>
      <c r="BG28" s="333"/>
      <c r="BJ28" s="36">
        <v>1000000</v>
      </c>
    </row>
    <row r="29" spans="1:64">
      <c r="A29" s="100"/>
      <c r="B29" s="100"/>
      <c r="C29" s="335"/>
      <c r="D29" s="335"/>
      <c r="E29" s="335"/>
      <c r="F29" s="335"/>
      <c r="G29" s="335">
        <f>SUM(G26:G28)</f>
        <v>8743.8860000000004</v>
      </c>
      <c r="H29" s="335">
        <f>SUM(H26:H28)</f>
        <v>9759.509</v>
      </c>
      <c r="I29" s="335">
        <f>SUM(I26:I28)</f>
        <v>13420.259999999998</v>
      </c>
      <c r="J29" s="335">
        <f>G29/I29-1</f>
        <v>-0.34845628922241434</v>
      </c>
      <c r="K29" s="335"/>
      <c r="L29" s="335"/>
      <c r="M29" s="335"/>
      <c r="N29" s="335"/>
      <c r="O29" s="335"/>
      <c r="P29" s="335"/>
      <c r="Q29" s="335"/>
      <c r="R29" s="335"/>
      <c r="S29" s="335"/>
      <c r="T29" s="335"/>
      <c r="U29" s="335"/>
      <c r="V29" s="335"/>
      <c r="W29" s="335"/>
      <c r="X29" s="335"/>
      <c r="Y29" s="335"/>
      <c r="Z29" s="335"/>
      <c r="AA29" s="335"/>
      <c r="AB29" s="335"/>
      <c r="AC29" s="335"/>
      <c r="AE29" s="100"/>
      <c r="AF29" s="432"/>
      <c r="AG29" s="432"/>
      <c r="AH29" s="337"/>
      <c r="AI29" s="337"/>
      <c r="AJ29" s="826"/>
      <c r="AK29" s="337"/>
      <c r="AL29" s="337"/>
      <c r="AM29" s="826" t="s">
        <v>355</v>
      </c>
      <c r="AP29" s="432" t="s">
        <v>351</v>
      </c>
      <c r="AQ29" s="432" t="s">
        <v>290</v>
      </c>
      <c r="AR29" s="337" t="s">
        <v>353</v>
      </c>
      <c r="AS29" s="337" t="s">
        <v>354</v>
      </c>
      <c r="AT29" s="826" t="s">
        <v>60</v>
      </c>
      <c r="AU29" s="337"/>
      <c r="AV29" s="337"/>
      <c r="AW29" s="826" t="s">
        <v>355</v>
      </c>
      <c r="AZ29" s="432" t="s">
        <v>351</v>
      </c>
      <c r="BA29" s="432" t="s">
        <v>290</v>
      </c>
      <c r="BB29" s="337" t="s">
        <v>353</v>
      </c>
      <c r="BC29" s="337" t="s">
        <v>354</v>
      </c>
      <c r="BD29" s="826" t="s">
        <v>60</v>
      </c>
      <c r="BE29" s="337"/>
      <c r="BF29" s="337"/>
      <c r="BG29" s="826" t="s">
        <v>355</v>
      </c>
    </row>
    <row r="30" spans="1:64">
      <c r="H30" s="36">
        <v>213.32</v>
      </c>
      <c r="I30" s="36"/>
      <c r="AF30" s="333"/>
      <c r="AG30" s="333"/>
      <c r="AH30" s="333"/>
      <c r="AI30" s="333"/>
      <c r="AJ30" s="333"/>
      <c r="AK30" s="333"/>
      <c r="AL30" s="333"/>
      <c r="AM30" s="333">
        <f>+AL30-AH30</f>
        <v>0</v>
      </c>
      <c r="AN30" s="36" t="e">
        <f>AL30/AH30-1</f>
        <v>#DIV/0!</v>
      </c>
      <c r="AP30" s="333" t="s">
        <v>325</v>
      </c>
      <c r="AQ30" s="333">
        <f>1705144*1.1</f>
        <v>1875658.4000000001</v>
      </c>
      <c r="AR30" s="333">
        <v>171.79400000000001</v>
      </c>
      <c r="AS30" s="333">
        <f>+AR30*1000000/AQ30</f>
        <v>91.591304685330755</v>
      </c>
      <c r="AT30" s="333">
        <v>43.12</v>
      </c>
      <c r="AU30" s="333"/>
      <c r="AV30" s="333">
        <f>+AQ30*AT30/1000000</f>
        <v>80.878390207999999</v>
      </c>
      <c r="AW30" s="333">
        <f>+AV30-AR30</f>
        <v>-90.915609792000012</v>
      </c>
      <c r="AX30" s="36">
        <v>2</v>
      </c>
      <c r="AY30" s="36">
        <f>+AX30*AQ30/1000000</f>
        <v>3.7513168000000001</v>
      </c>
      <c r="AZ30" s="333" t="s">
        <v>325</v>
      </c>
      <c r="BA30" s="333">
        <v>2719703</v>
      </c>
      <c r="BB30" s="333">
        <v>205.55500000000001</v>
      </c>
      <c r="BC30" s="333">
        <f>+BB30*1000000/BA30</f>
        <v>75.579943839455993</v>
      </c>
      <c r="BD30" s="333">
        <v>69.709999999999994</v>
      </c>
      <c r="BE30" s="333"/>
      <c r="BF30" s="333">
        <f>+BA30*BD30/1000000</f>
        <v>189.59049612999999</v>
      </c>
      <c r="BG30" s="333">
        <f>+BF30-BB30</f>
        <v>-15.964503870000016</v>
      </c>
      <c r="BI30" s="36">
        <v>0</v>
      </c>
      <c r="BJ30" s="36">
        <f>BA30*BI30/$BJ$28</f>
        <v>0</v>
      </c>
      <c r="BK30" s="36">
        <f>BJ30+BJ34</f>
        <v>0</v>
      </c>
    </row>
    <row r="31" spans="1:64">
      <c r="G31" s="36">
        <f>H31*G29</f>
        <v>191.12086084658563</v>
      </c>
      <c r="H31" s="36">
        <f>H30/H29</f>
        <v>2.1857656978440207E-2</v>
      </c>
      <c r="I31" s="36"/>
      <c r="AF31" s="333"/>
      <c r="AG31" s="333"/>
      <c r="AH31" s="333"/>
      <c r="AI31" s="333"/>
      <c r="AJ31" s="333"/>
      <c r="AK31" s="333"/>
      <c r="AL31" s="333"/>
      <c r="AM31" s="333">
        <f>+AL31-AH31</f>
        <v>0</v>
      </c>
      <c r="AN31" s="36" t="e">
        <f>AL31/AH31-1</f>
        <v>#DIV/0!</v>
      </c>
      <c r="AP31" s="333" t="s">
        <v>326</v>
      </c>
      <c r="AQ31" s="333">
        <v>151199</v>
      </c>
      <c r="AR31" s="333">
        <v>11.638</v>
      </c>
      <c r="AS31" s="333">
        <f>+AR31*1000000/AQ31</f>
        <v>76.971408541061777</v>
      </c>
      <c r="AT31" s="333">
        <v>15.78</v>
      </c>
      <c r="AU31" s="333"/>
      <c r="AV31" s="333">
        <f>+AQ31*AT31/1000000</f>
        <v>2.3859202199999996</v>
      </c>
      <c r="AW31" s="333">
        <f>+AV31-AR31</f>
        <v>-9.2520797800000008</v>
      </c>
      <c r="AZ31" s="333" t="s">
        <v>326</v>
      </c>
      <c r="BA31" s="333">
        <v>83159</v>
      </c>
      <c r="BB31" s="333">
        <v>0.83199999999999996</v>
      </c>
      <c r="BC31" s="333">
        <f>+BB31*1000000/BA31</f>
        <v>10.004930314217342</v>
      </c>
      <c r="BD31" s="333">
        <v>24.13</v>
      </c>
      <c r="BE31" s="333"/>
      <c r="BF31" s="333">
        <f>+BA31*BD31/1000000</f>
        <v>2.0066266699999997</v>
      </c>
      <c r="BG31" s="333">
        <f>+BF31-BB31</f>
        <v>1.1746266699999999</v>
      </c>
      <c r="BI31" s="36">
        <v>0</v>
      </c>
      <c r="BJ31" s="36">
        <f t="shared" ref="BJ31:BJ37" si="10">BA31*BI31/$BJ$28</f>
        <v>0</v>
      </c>
      <c r="BK31" s="36">
        <f>BJ31+BJ35</f>
        <v>0</v>
      </c>
    </row>
    <row r="32" spans="1:64">
      <c r="H32" s="36"/>
      <c r="I32" s="36"/>
      <c r="AF32" s="333"/>
      <c r="AG32" s="333"/>
      <c r="AH32" s="333"/>
      <c r="AI32" s="333"/>
      <c r="AJ32" s="333"/>
      <c r="AK32" s="333"/>
      <c r="AL32" s="333"/>
      <c r="AM32" s="333">
        <f>+AL32-AH32</f>
        <v>0</v>
      </c>
      <c r="AP32" s="333" t="s">
        <v>109</v>
      </c>
      <c r="AQ32" s="333">
        <f>39744818*1.15</f>
        <v>45706540.699999996</v>
      </c>
      <c r="AR32" s="333">
        <v>478.23399999999998</v>
      </c>
      <c r="AS32" s="333">
        <f>+AR32*1000000/AQ32</f>
        <v>10.463141438310602</v>
      </c>
      <c r="AT32" s="333">
        <v>194.19</v>
      </c>
      <c r="AU32" s="333"/>
      <c r="AV32" s="333">
        <f>+AQ32*AT32/1000000</f>
        <v>8875.7531385329985</v>
      </c>
      <c r="AW32" s="333">
        <f>+AV32-AR32</f>
        <v>8397.5191385329981</v>
      </c>
      <c r="AX32" s="36">
        <v>2.5</v>
      </c>
      <c r="AY32" s="36">
        <f>+AX32*AQ32/1000000</f>
        <v>114.26635174999998</v>
      </c>
      <c r="AZ32" s="333" t="s">
        <v>109</v>
      </c>
      <c r="BA32" s="333">
        <v>55304911</v>
      </c>
      <c r="BB32" s="333">
        <v>478.23399999999998</v>
      </c>
      <c r="BC32" s="333">
        <f>+BB32*1000000/BA32</f>
        <v>8.6472248368684657</v>
      </c>
      <c r="BD32" s="333">
        <v>244.64</v>
      </c>
      <c r="BE32" s="333"/>
      <c r="BF32" s="333">
        <f>+BA32*BD32/1000000</f>
        <v>13529.793427039998</v>
      </c>
      <c r="BG32" s="333">
        <f>+BF32-BB32</f>
        <v>13051.559427039998</v>
      </c>
      <c r="BI32" s="36">
        <v>2.73</v>
      </c>
      <c r="BJ32" s="36">
        <f t="shared" si="10"/>
        <v>150.98240702999999</v>
      </c>
      <c r="BK32" s="36">
        <f>BJ32+BJ36</f>
        <v>190.70887562999999</v>
      </c>
      <c r="BL32" s="36">
        <f>BK32+BK31+BK30</f>
        <v>190.70887562999999</v>
      </c>
    </row>
    <row r="33" spans="1:63">
      <c r="A33" s="100"/>
      <c r="C33" s="100"/>
      <c r="D33" s="100"/>
      <c r="E33" s="100"/>
      <c r="F33" s="100"/>
      <c r="H33" s="100"/>
      <c r="I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E33" s="100"/>
      <c r="AF33" s="432"/>
      <c r="AG33" s="333"/>
      <c r="AH33" s="432"/>
      <c r="AI33" s="432"/>
      <c r="AJ33" s="432"/>
      <c r="AK33" s="333"/>
      <c r="AL33" s="432"/>
      <c r="AM33" s="432">
        <f>SUM(AM30:AM32)</f>
        <v>0</v>
      </c>
      <c r="AP33" s="432" t="s">
        <v>352</v>
      </c>
      <c r="AQ33" s="333"/>
      <c r="AR33" s="432">
        <f>SUM(AR30:AR32)</f>
        <v>661.66599999999994</v>
      </c>
      <c r="AS33" s="432">
        <f>SUM(AS30:AS32)</f>
        <v>179.02585466470313</v>
      </c>
      <c r="AT33" s="432">
        <f>SUM(AT30:AT32)</f>
        <v>253.09</v>
      </c>
      <c r="AU33" s="333"/>
      <c r="AV33" s="432">
        <f>SUM(AV30:AV32)</f>
        <v>8959.0174489609981</v>
      </c>
      <c r="AW33" s="432">
        <f>SUM(AW30:AW32)</f>
        <v>8297.3514489609988</v>
      </c>
      <c r="AZ33" s="432" t="s">
        <v>352</v>
      </c>
      <c r="BA33" s="333"/>
      <c r="BB33" s="432">
        <f>SUM(BB30:BB32)</f>
        <v>684.62099999999998</v>
      </c>
      <c r="BC33" s="432">
        <f>SUM(BC30:BC32)</f>
        <v>94.2320989905418</v>
      </c>
      <c r="BD33" s="432">
        <f>SUM(BD30:BD32)</f>
        <v>338.47999999999996</v>
      </c>
      <c r="BE33" s="333"/>
      <c r="BF33" s="432">
        <f>SUM(BF30:BF32)</f>
        <v>13721.390549839998</v>
      </c>
      <c r="BG33" s="432">
        <f>SUM(BG30:BG32)</f>
        <v>13036.769549839997</v>
      </c>
      <c r="BJ33" s="36">
        <f t="shared" si="10"/>
        <v>0</v>
      </c>
      <c r="BK33" s="36">
        <f>+BK32*1.1</f>
        <v>209.77976319300001</v>
      </c>
    </row>
    <row r="34" spans="1:63">
      <c r="H34" s="36"/>
      <c r="I34" s="36"/>
      <c r="AF34" s="333"/>
      <c r="AG34" s="333"/>
      <c r="AH34" s="333"/>
      <c r="AI34" s="333"/>
      <c r="AJ34" s="333"/>
      <c r="AK34" s="333"/>
      <c r="AL34" s="333"/>
      <c r="AM34" s="333">
        <f>+AL34-AH34</f>
        <v>0</v>
      </c>
      <c r="AN34" s="36" t="e">
        <f>AL34/AH34-1</f>
        <v>#DIV/0!</v>
      </c>
      <c r="AP34" s="333" t="s">
        <v>325</v>
      </c>
      <c r="AQ34" s="333">
        <f>16619757*1.1</f>
        <v>18281732.700000003</v>
      </c>
      <c r="AR34" s="333">
        <v>893.66399999999999</v>
      </c>
      <c r="AS34" s="333">
        <f>+AR34*1000000/AQ34</f>
        <v>48.882893906440273</v>
      </c>
      <c r="AT34" s="333">
        <f>AT30</f>
        <v>43.12</v>
      </c>
      <c r="AU34" s="333"/>
      <c r="AV34" s="333">
        <f>+AQ34*AT34/1000000</f>
        <v>788.30831402400008</v>
      </c>
      <c r="AW34" s="333">
        <f>+AV34-AR34</f>
        <v>-105.3556859759999</v>
      </c>
      <c r="AX34" s="36">
        <v>2</v>
      </c>
      <c r="AY34" s="36">
        <f>+AX34*AQ34/1000000</f>
        <v>36.563465400000005</v>
      </c>
      <c r="AZ34" s="333" t="s">
        <v>325</v>
      </c>
      <c r="BA34" s="333">
        <v>27569798</v>
      </c>
      <c r="BB34" s="333">
        <v>1371.6189999999999</v>
      </c>
      <c r="BC34" s="333">
        <f>+BB34*1000000/BA34</f>
        <v>49.750781634308673</v>
      </c>
      <c r="BD34" s="333">
        <f>BD30</f>
        <v>69.709999999999994</v>
      </c>
      <c r="BE34" s="333"/>
      <c r="BF34" s="333">
        <f>+BA34*BD34/1000000</f>
        <v>1921.8906185799999</v>
      </c>
      <c r="BG34" s="333">
        <f>+BF34-BB34</f>
        <v>550.27161857999999</v>
      </c>
      <c r="BJ34" s="36">
        <f t="shared" si="10"/>
        <v>0</v>
      </c>
    </row>
    <row r="35" spans="1:63">
      <c r="H35" s="36"/>
      <c r="I35" s="36"/>
      <c r="AF35" s="333"/>
      <c r="AG35" s="333"/>
      <c r="AH35" s="333"/>
      <c r="AI35" s="333"/>
      <c r="AJ35" s="333"/>
      <c r="AK35" s="333"/>
      <c r="AL35" s="333"/>
      <c r="AM35" s="333">
        <f>+AL35-AH35</f>
        <v>0</v>
      </c>
      <c r="AP35" s="333" t="s">
        <v>326</v>
      </c>
      <c r="AQ35" s="333">
        <v>6917421</v>
      </c>
      <c r="AR35" s="333">
        <v>48.872</v>
      </c>
      <c r="AS35" s="333">
        <f>+AR35*1000000/AQ35</f>
        <v>7.0650608080670532</v>
      </c>
      <c r="AT35" s="333">
        <f>AT31</f>
        <v>15.78</v>
      </c>
      <c r="AU35" s="333"/>
      <c r="AV35" s="333">
        <f>+AQ35*AT35/1000000</f>
        <v>109.15690337999999</v>
      </c>
      <c r="AW35" s="333">
        <f>+AV35-AR35</f>
        <v>60.284903379999989</v>
      </c>
      <c r="AZ35" s="333" t="s">
        <v>326</v>
      </c>
      <c r="BA35" s="333">
        <v>4926900</v>
      </c>
      <c r="BB35" s="333">
        <v>45.253999999999998</v>
      </c>
      <c r="BC35" s="333">
        <f>+BB35*1000000/BA35</f>
        <v>9.1850859566867609</v>
      </c>
      <c r="BD35" s="333">
        <f>BD31</f>
        <v>24.13</v>
      </c>
      <c r="BE35" s="333"/>
      <c r="BF35" s="333">
        <f>+BA35*BD35/1000000</f>
        <v>118.88609700000001</v>
      </c>
      <c r="BG35" s="333">
        <f>+BF35-BB35</f>
        <v>73.632097000000016</v>
      </c>
      <c r="BJ35" s="36">
        <f t="shared" si="10"/>
        <v>0</v>
      </c>
    </row>
    <row r="36" spans="1:63">
      <c r="H36" s="36"/>
      <c r="I36" s="36"/>
      <c r="AF36" s="333"/>
      <c r="AG36" s="333"/>
      <c r="AH36" s="333"/>
      <c r="AI36" s="333"/>
      <c r="AJ36" s="333"/>
      <c r="AK36" s="333"/>
      <c r="AL36" s="333"/>
      <c r="AM36" s="333">
        <f>+AL36-AH36</f>
        <v>0</v>
      </c>
      <c r="AP36" s="333" t="s">
        <v>109</v>
      </c>
      <c r="AQ36" s="333">
        <f>10457651*1.15</f>
        <v>12026298.649999999</v>
      </c>
      <c r="AR36" s="333">
        <v>125.834</v>
      </c>
      <c r="AS36" s="333">
        <f>+AR36*1000000/AQ36</f>
        <v>10.463235918392897</v>
      </c>
      <c r="AT36" s="333">
        <f>AT32</f>
        <v>194.19</v>
      </c>
      <c r="AU36" s="333"/>
      <c r="AV36" s="333">
        <f>+AQ36*AT36/1000000</f>
        <v>2335.3869348434996</v>
      </c>
      <c r="AW36" s="333">
        <f>+AV36-AR36</f>
        <v>2209.5529348434998</v>
      </c>
      <c r="AX36" s="36">
        <v>2.5</v>
      </c>
      <c r="AY36" s="36">
        <f>+AX36*AQ36/1000000</f>
        <v>30.065746624999996</v>
      </c>
      <c r="AZ36" s="333" t="s">
        <v>109</v>
      </c>
      <c r="BA36" s="333">
        <v>14551820</v>
      </c>
      <c r="BB36" s="333">
        <v>125.834</v>
      </c>
      <c r="BC36" s="333">
        <f>+BB36*1000000/BA36</f>
        <v>8.6473032239266292</v>
      </c>
      <c r="BD36" s="333">
        <f>BD32</f>
        <v>244.64</v>
      </c>
      <c r="BE36" s="333"/>
      <c r="BF36" s="333">
        <f>+BA36*BD36/1000000</f>
        <v>3559.9572447999999</v>
      </c>
      <c r="BG36" s="333">
        <f>+BF36-BB36</f>
        <v>3434.1232448000001</v>
      </c>
      <c r="BI36" s="36">
        <v>2.73</v>
      </c>
      <c r="BJ36" s="36">
        <f t="shared" si="10"/>
        <v>39.726468600000004</v>
      </c>
    </row>
    <row r="37" spans="1:63">
      <c r="H37" s="36"/>
      <c r="I37" s="36"/>
      <c r="AF37" s="333"/>
      <c r="AG37" s="333"/>
      <c r="AH37" s="333"/>
      <c r="AI37" s="333"/>
      <c r="AJ37" s="333"/>
      <c r="AK37" s="333"/>
      <c r="AL37" s="333"/>
      <c r="AM37" s="333">
        <f>+AL37-AH37</f>
        <v>0</v>
      </c>
      <c r="AN37" s="36" t="e">
        <f>AL37/AH37-1</f>
        <v>#DIV/0!</v>
      </c>
      <c r="AP37" s="333" t="s">
        <v>356</v>
      </c>
      <c r="AQ37" s="333">
        <v>2926770</v>
      </c>
      <c r="AR37" s="333">
        <v>348.858</v>
      </c>
      <c r="AS37" s="333">
        <f>+AR37*1000000/AQ37</f>
        <v>119.19556371016513</v>
      </c>
      <c r="AT37" s="333">
        <v>123.23</v>
      </c>
      <c r="AU37" s="333"/>
      <c r="AV37" s="333">
        <f>+AQ37*AT37/1000000</f>
        <v>360.66586710000001</v>
      </c>
      <c r="AW37" s="333">
        <f>+AV37-AR37</f>
        <v>11.80786710000001</v>
      </c>
      <c r="AX37" s="36">
        <v>1.5</v>
      </c>
      <c r="AY37" s="36">
        <f>+AX37*AQ37/1000000</f>
        <v>4.390155</v>
      </c>
      <c r="AZ37" s="333" t="s">
        <v>356</v>
      </c>
      <c r="BA37" s="333">
        <v>3541391</v>
      </c>
      <c r="BB37" s="333">
        <v>348.858</v>
      </c>
      <c r="BC37" s="333">
        <f>+BB37*1000000/BA37</f>
        <v>98.508749810455839</v>
      </c>
      <c r="BD37" s="333">
        <v>94.65</v>
      </c>
      <c r="BE37" s="333"/>
      <c r="BF37" s="333">
        <f>+BA37*BD37/1000000</f>
        <v>335.19265815000006</v>
      </c>
      <c r="BG37" s="333">
        <f>+BF37-BB37</f>
        <v>-13.665341849999947</v>
      </c>
      <c r="BJ37" s="36">
        <f t="shared" si="10"/>
        <v>0</v>
      </c>
    </row>
    <row r="38" spans="1:63">
      <c r="AF38" s="333"/>
      <c r="AG38" s="333"/>
      <c r="AH38" s="333"/>
      <c r="AI38" s="333"/>
      <c r="AJ38" s="249"/>
      <c r="AK38" s="333"/>
      <c r="AL38" s="333"/>
      <c r="AM38" s="333"/>
      <c r="AP38" s="333"/>
      <c r="AQ38" s="333">
        <f>+AQ54</f>
        <v>0</v>
      </c>
      <c r="AR38" s="333"/>
      <c r="AS38" s="333"/>
      <c r="AT38" s="249">
        <f>1.334+203.629+135.709</f>
        <v>340.67200000000003</v>
      </c>
      <c r="AU38" s="333"/>
      <c r="AV38" s="333">
        <f>AT38</f>
        <v>340.67200000000003</v>
      </c>
      <c r="AW38" s="333"/>
      <c r="AZ38" s="333"/>
      <c r="BA38" s="333">
        <f>+BA54</f>
        <v>0</v>
      </c>
      <c r="BB38" s="333"/>
      <c r="BC38" s="333"/>
      <c r="BD38" s="249">
        <f>1.334+203.629+135.709</f>
        <v>340.67200000000003</v>
      </c>
      <c r="BE38" s="333"/>
      <c r="BF38" s="333">
        <f>BD38</f>
        <v>340.67200000000003</v>
      </c>
      <c r="BG38" s="333"/>
    </row>
    <row r="39" spans="1:63">
      <c r="C39" s="100"/>
      <c r="D39" s="100"/>
      <c r="E39" s="100"/>
      <c r="F39" s="100"/>
      <c r="G39" s="100"/>
      <c r="H39" s="100"/>
      <c r="I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335"/>
      <c r="AF39" s="333"/>
      <c r="AG39" s="333"/>
      <c r="AH39" s="432"/>
      <c r="AI39" s="432"/>
      <c r="AJ39" s="432"/>
      <c r="AK39" s="333"/>
      <c r="AL39" s="432"/>
      <c r="AM39" s="432">
        <f>SUM(AM34:AM38)</f>
        <v>0</v>
      </c>
      <c r="AP39" s="333"/>
      <c r="AQ39" s="333"/>
      <c r="AR39" s="432">
        <f>SUM(AR34:AR38)</f>
        <v>1417.2279999999998</v>
      </c>
      <c r="AS39" s="432">
        <f>SUM(AS34:AS38)</f>
        <v>185.60675434306535</v>
      </c>
      <c r="AT39" s="432">
        <f>SUM(AT34:AT38)</f>
        <v>716.99199999999996</v>
      </c>
      <c r="AU39" s="333"/>
      <c r="AV39" s="432">
        <f>SUM(AV34:AV38)</f>
        <v>3934.1900193474999</v>
      </c>
      <c r="AW39" s="432">
        <f>SUM(AW34:AW38)</f>
        <v>2176.2900193474998</v>
      </c>
      <c r="AY39" s="36">
        <f>SUM(AY30:AY37)</f>
        <v>189.03703557499998</v>
      </c>
      <c r="AZ39" s="333"/>
      <c r="BA39" s="333"/>
      <c r="BB39" s="432">
        <f>SUM(BB34:BB38)</f>
        <v>1891.5649999999998</v>
      </c>
      <c r="BC39" s="432">
        <f>SUM(BC34:BC38)</f>
        <v>166.0919206253779</v>
      </c>
      <c r="BD39" s="432">
        <f>SUM(BD34:BD38)</f>
        <v>773.80200000000002</v>
      </c>
      <c r="BE39" s="333"/>
      <c r="BF39" s="432">
        <f>SUM(BF34:BF38)</f>
        <v>6276.5986185300007</v>
      </c>
      <c r="BG39" s="432">
        <f>SUM(BG34:BG38)</f>
        <v>4044.3616185300002</v>
      </c>
    </row>
    <row r="40" spans="1:63">
      <c r="H40" s="336"/>
      <c r="I40" s="336"/>
      <c r="J40" s="336"/>
      <c r="K40" s="336"/>
      <c r="L40" s="336"/>
      <c r="M40" s="336"/>
      <c r="N40" s="336"/>
      <c r="O40" s="336"/>
      <c r="P40" s="336"/>
      <c r="Q40" s="336"/>
      <c r="R40" s="336"/>
      <c r="S40" s="336"/>
      <c r="T40" s="336"/>
      <c r="U40" s="336"/>
      <c r="V40" s="336"/>
      <c r="W40" s="336"/>
      <c r="X40" s="336"/>
      <c r="Y40" s="336"/>
      <c r="Z40" s="336"/>
      <c r="AA40" s="336"/>
      <c r="AB40" s="336"/>
      <c r="AF40" s="333"/>
      <c r="AG40" s="333"/>
      <c r="AH40" s="333"/>
      <c r="AI40" s="333"/>
      <c r="AJ40" s="337"/>
      <c r="AK40" s="337"/>
      <c r="AL40" s="337"/>
      <c r="AM40" s="337"/>
      <c r="AN40" s="36">
        <f>AL40-AL58</f>
        <v>0</v>
      </c>
      <c r="AO40" s="36">
        <f>AM37+AM34+AM31+AM30</f>
        <v>0</v>
      </c>
      <c r="AP40" s="333"/>
      <c r="AQ40" s="333"/>
      <c r="AR40" s="333">
        <f>+AR39+AR33</f>
        <v>2078.8939999999998</v>
      </c>
      <c r="AS40" s="333">
        <f>2013.172-AR40</f>
        <v>-65.721999999999753</v>
      </c>
      <c r="AT40" s="337"/>
      <c r="AU40" s="337"/>
      <c r="AV40" s="337">
        <f>+AV39+AV33</f>
        <v>12893.207468308497</v>
      </c>
      <c r="AW40" s="337"/>
      <c r="AZ40" s="333"/>
      <c r="BA40" s="333"/>
      <c r="BB40" s="333">
        <f>+BB39+BB33</f>
        <v>2576.1859999999997</v>
      </c>
      <c r="BC40" s="333">
        <f>2013.172-BB40</f>
        <v>-563.01399999999967</v>
      </c>
      <c r="BD40" s="337"/>
      <c r="BE40" s="337"/>
      <c r="BF40" s="337">
        <f>+BF39+BF33</f>
        <v>19997.989168369997</v>
      </c>
      <c r="BG40" s="337"/>
    </row>
    <row r="41" spans="1:63">
      <c r="H41" s="818"/>
      <c r="I41" s="818"/>
      <c r="J41" s="819"/>
      <c r="K41" s="819"/>
      <c r="L41" s="827"/>
      <c r="M41" s="827"/>
      <c r="N41" s="827"/>
      <c r="O41" s="827"/>
      <c r="P41" s="827"/>
      <c r="Q41" s="827"/>
      <c r="R41" s="827"/>
      <c r="S41" s="827"/>
      <c r="T41" s="827"/>
      <c r="U41" s="827"/>
      <c r="V41" s="827"/>
      <c r="W41" s="827"/>
      <c r="X41" s="827"/>
      <c r="Y41" s="827"/>
      <c r="Z41" s="827"/>
      <c r="AA41" s="827"/>
      <c r="AB41" s="827"/>
      <c r="AJ41" s="39"/>
      <c r="AK41" s="39"/>
      <c r="AL41" s="39"/>
      <c r="AM41" s="88"/>
      <c r="AN41" s="36">
        <f>AL40-L40</f>
        <v>0</v>
      </c>
      <c r="AT41" s="39" t="s">
        <v>570</v>
      </c>
      <c r="AU41" s="39"/>
      <c r="AV41" s="39">
        <f>AV40*0.7</f>
        <v>9025.2452278159471</v>
      </c>
      <c r="AW41" s="88">
        <f>AW39+AW33</f>
        <v>10473.641468308499</v>
      </c>
      <c r="BD41" s="39" t="s">
        <v>570</v>
      </c>
      <c r="BE41" s="39"/>
      <c r="BF41" s="39">
        <f>BF40*0.7</f>
        <v>13998.592417858998</v>
      </c>
      <c r="BG41" s="88"/>
    </row>
    <row r="42" spans="1:63">
      <c r="H42" s="818"/>
      <c r="I42" s="818"/>
      <c r="J42" s="819"/>
      <c r="K42" s="819"/>
      <c r="L42" s="827"/>
      <c r="M42" s="827"/>
      <c r="N42" s="827"/>
      <c r="O42" s="827"/>
      <c r="P42" s="827"/>
      <c r="Q42" s="827"/>
      <c r="R42" s="827"/>
      <c r="S42" s="827"/>
      <c r="T42" s="827"/>
      <c r="U42" s="827"/>
      <c r="V42" s="827"/>
      <c r="W42" s="827"/>
      <c r="X42" s="827"/>
      <c r="Y42" s="827"/>
      <c r="Z42" s="827"/>
      <c r="AA42" s="827"/>
      <c r="AB42" s="827"/>
      <c r="AJ42" s="39"/>
      <c r="AK42" s="88"/>
      <c r="AL42" s="39"/>
      <c r="AM42" s="88"/>
      <c r="AN42" s="36" t="e">
        <f>AL40/L40-1</f>
        <v>#DIV/0!</v>
      </c>
      <c r="AO42" s="827">
        <f>+AO40/IS!$AU$44</f>
        <v>0</v>
      </c>
      <c r="AT42" s="39" t="s">
        <v>571</v>
      </c>
      <c r="AU42" s="88"/>
      <c r="AV42" s="39">
        <f>AV41/IS!AQ44</f>
        <v>29.663971285161836</v>
      </c>
      <c r="AW42" s="88"/>
      <c r="BD42" s="39" t="s">
        <v>571</v>
      </c>
      <c r="BE42" s="88"/>
      <c r="BF42" s="39">
        <f>BF41/IS!AU44</f>
        <v>38.341908408018092</v>
      </c>
      <c r="BG42" s="88"/>
    </row>
    <row r="43" spans="1:63">
      <c r="H43" s="818"/>
      <c r="I43" s="818"/>
      <c r="J43" s="819"/>
      <c r="K43" s="819"/>
      <c r="L43" s="827"/>
      <c r="M43" s="827"/>
      <c r="N43" s="827"/>
      <c r="O43" s="827"/>
      <c r="P43" s="827"/>
      <c r="Q43" s="827"/>
      <c r="R43" s="827"/>
      <c r="S43" s="827"/>
      <c r="T43" s="827"/>
      <c r="U43" s="827"/>
      <c r="V43" s="827"/>
      <c r="W43" s="827"/>
      <c r="X43" s="827"/>
      <c r="Y43" s="827"/>
      <c r="Z43" s="827"/>
      <c r="AA43" s="827"/>
      <c r="AB43" s="827"/>
      <c r="AJ43" s="88"/>
      <c r="AK43" s="88"/>
      <c r="AL43" s="88"/>
      <c r="AM43" s="88"/>
      <c r="AO43" s="36">
        <f>AO42/2</f>
        <v>0</v>
      </c>
      <c r="AT43" s="88"/>
      <c r="AU43" s="88"/>
      <c r="AV43" s="88"/>
      <c r="AW43" s="88"/>
      <c r="BD43" s="88" t="s">
        <v>593</v>
      </c>
      <c r="BE43" s="88"/>
      <c r="BF43" s="39">
        <f>BF40/IS!AU44</f>
        <v>54.774154868597279</v>
      </c>
      <c r="BG43" s="88"/>
    </row>
    <row r="44" spans="1:63">
      <c r="A44" s="823"/>
      <c r="H44" s="816"/>
      <c r="I44" s="816"/>
      <c r="AP44" s="36" t="s">
        <v>351</v>
      </c>
    </row>
    <row r="45" spans="1:63">
      <c r="A45" s="100"/>
      <c r="B45" s="100"/>
      <c r="C45" s="335"/>
      <c r="D45" s="335"/>
      <c r="E45" s="335"/>
      <c r="F45" s="335"/>
      <c r="G45" s="335"/>
      <c r="H45" s="817"/>
      <c r="I45" s="817"/>
      <c r="J45" s="335"/>
      <c r="K45" s="335"/>
      <c r="L45" s="335"/>
      <c r="M45" s="335"/>
      <c r="N45" s="335"/>
      <c r="O45" s="335"/>
      <c r="P45" s="335"/>
      <c r="Q45" s="335"/>
      <c r="R45" s="335"/>
      <c r="S45" s="335"/>
      <c r="T45" s="335"/>
      <c r="U45" s="335"/>
      <c r="V45" s="335"/>
      <c r="W45" s="335"/>
      <c r="X45" s="335"/>
      <c r="Y45" s="335"/>
      <c r="Z45" s="335"/>
      <c r="AA45" s="335"/>
      <c r="AB45" s="335"/>
      <c r="AP45" s="333" t="s">
        <v>325</v>
      </c>
      <c r="AQ45" s="333">
        <v>36.83</v>
      </c>
    </row>
    <row r="46" spans="1:63">
      <c r="H46" s="36"/>
      <c r="I46" s="36"/>
      <c r="AC46" s="335"/>
      <c r="AF46" s="824"/>
      <c r="AG46" s="333"/>
      <c r="AH46" s="333"/>
      <c r="AI46" s="333"/>
      <c r="AJ46" s="251"/>
      <c r="AK46" s="333"/>
      <c r="AL46" s="333"/>
      <c r="AM46" s="333"/>
      <c r="AP46" s="333" t="s">
        <v>326</v>
      </c>
      <c r="AQ46" s="333">
        <v>8.43</v>
      </c>
      <c r="AZ46" s="36" t="s">
        <v>609</v>
      </c>
      <c r="BA46" s="36">
        <v>69856731</v>
      </c>
      <c r="BB46" s="36">
        <v>3</v>
      </c>
    </row>
    <row r="47" spans="1:63">
      <c r="H47" s="36"/>
      <c r="I47" s="36"/>
      <c r="AF47" s="432"/>
      <c r="AG47" s="432"/>
      <c r="AH47" s="337"/>
      <c r="AI47" s="337"/>
      <c r="AJ47" s="826"/>
      <c r="AK47" s="337"/>
      <c r="AL47" s="337"/>
      <c r="AM47" s="337" t="s">
        <v>355</v>
      </c>
      <c r="AP47" s="333" t="s">
        <v>109</v>
      </c>
      <c r="AQ47" s="333">
        <v>147.02000000000001</v>
      </c>
      <c r="BB47" s="36">
        <f>BB46*BA46</f>
        <v>209570193</v>
      </c>
    </row>
    <row r="48" spans="1:63">
      <c r="H48" s="36"/>
      <c r="I48" s="36"/>
      <c r="AF48" s="333"/>
      <c r="AG48" s="333"/>
      <c r="AH48" s="333"/>
      <c r="AI48" s="333"/>
      <c r="AJ48" s="333"/>
      <c r="AK48" s="333"/>
      <c r="AL48" s="333"/>
      <c r="AM48" s="333">
        <f>+AL48-AH48</f>
        <v>0</v>
      </c>
      <c r="AP48" s="36" t="s">
        <v>352</v>
      </c>
      <c r="BB48" s="36">
        <f>BB47/1000000</f>
        <v>209.57019299999999</v>
      </c>
    </row>
    <row r="49" spans="1:43">
      <c r="A49" s="100"/>
      <c r="C49" s="100"/>
      <c r="D49" s="100"/>
      <c r="E49" s="100"/>
      <c r="F49" s="100"/>
      <c r="G49" s="100"/>
      <c r="H49" s="100"/>
      <c r="I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F49" s="333"/>
      <c r="AG49" s="333"/>
      <c r="AH49" s="333"/>
      <c r="AI49" s="333"/>
      <c r="AJ49" s="333"/>
      <c r="AK49" s="333"/>
      <c r="AL49" s="333"/>
      <c r="AM49" s="333">
        <f>+AL49-AH49</f>
        <v>0</v>
      </c>
      <c r="AP49" s="333" t="s">
        <v>325</v>
      </c>
      <c r="AQ49" s="333">
        <f>AQ45</f>
        <v>36.83</v>
      </c>
    </row>
    <row r="50" spans="1:43">
      <c r="H50" s="36"/>
      <c r="I50" s="36"/>
      <c r="AF50" s="333"/>
      <c r="AG50" s="333"/>
      <c r="AH50" s="333"/>
      <c r="AI50" s="333"/>
      <c r="AJ50" s="333"/>
      <c r="AK50" s="333"/>
      <c r="AL50" s="333"/>
      <c r="AM50" s="333">
        <f>+AL50-AH50</f>
        <v>0</v>
      </c>
      <c r="AP50" s="333" t="s">
        <v>326</v>
      </c>
      <c r="AQ50" s="333">
        <f>AQ46</f>
        <v>8.43</v>
      </c>
    </row>
    <row r="51" spans="1:43">
      <c r="H51" s="36"/>
      <c r="I51" s="36"/>
      <c r="AF51" s="432"/>
      <c r="AG51" s="333"/>
      <c r="AH51" s="432"/>
      <c r="AI51" s="432"/>
      <c r="AJ51" s="432"/>
      <c r="AK51" s="333"/>
      <c r="AL51" s="432"/>
      <c r="AM51" s="432">
        <f>SUM(AM48:AM50)</f>
        <v>0</v>
      </c>
      <c r="AP51" s="333" t="s">
        <v>109</v>
      </c>
      <c r="AQ51" s="333">
        <f>AQ47</f>
        <v>147.02000000000001</v>
      </c>
    </row>
    <row r="52" spans="1:43">
      <c r="H52" s="36"/>
      <c r="I52" s="36"/>
      <c r="AF52" s="333"/>
      <c r="AG52" s="333"/>
      <c r="AH52" s="333"/>
      <c r="AI52" s="333"/>
      <c r="AJ52" s="333"/>
      <c r="AK52" s="333"/>
      <c r="AL52" s="333"/>
      <c r="AM52" s="333">
        <f>+AL52-AH52</f>
        <v>0</v>
      </c>
      <c r="AP52" s="333" t="s">
        <v>356</v>
      </c>
      <c r="AQ52" s="333">
        <v>85.83</v>
      </c>
    </row>
    <row r="53" spans="1:43">
      <c r="H53" s="36"/>
      <c r="I53" s="36"/>
      <c r="AF53" s="333"/>
      <c r="AG53" s="333"/>
      <c r="AH53" s="333"/>
      <c r="AI53" s="333"/>
      <c r="AJ53" s="333"/>
      <c r="AK53" s="333"/>
      <c r="AL53" s="333"/>
      <c r="AM53" s="333">
        <f>+AL53-AH53</f>
        <v>0</v>
      </c>
    </row>
    <row r="54" spans="1:43">
      <c r="AF54" s="333"/>
      <c r="AG54" s="333"/>
      <c r="AH54" s="333"/>
      <c r="AI54" s="333"/>
      <c r="AJ54" s="333"/>
      <c r="AK54" s="333"/>
      <c r="AL54" s="333"/>
      <c r="AM54" s="333">
        <f>+AL54-AH54</f>
        <v>0</v>
      </c>
    </row>
    <row r="55" spans="1:43">
      <c r="C55" s="100"/>
      <c r="D55" s="100"/>
      <c r="E55" s="100"/>
      <c r="F55" s="100"/>
      <c r="G55" s="100"/>
      <c r="H55" s="100"/>
      <c r="I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F55" s="333"/>
      <c r="AG55" s="333"/>
      <c r="AH55" s="333"/>
      <c r="AI55" s="333"/>
      <c r="AJ55" s="333"/>
      <c r="AK55" s="333"/>
      <c r="AL55" s="333"/>
      <c r="AM55" s="333">
        <f>+AL55-AH55</f>
        <v>0</v>
      </c>
    </row>
    <row r="56" spans="1:43">
      <c r="H56" s="336"/>
      <c r="I56" s="336"/>
      <c r="J56" s="336"/>
      <c r="K56" s="336"/>
      <c r="L56" s="336"/>
      <c r="M56" s="336"/>
      <c r="N56" s="336"/>
      <c r="O56" s="336"/>
      <c r="P56" s="336"/>
      <c r="Q56" s="336"/>
      <c r="R56" s="336"/>
      <c r="S56" s="336"/>
      <c r="T56" s="336"/>
      <c r="U56" s="336"/>
      <c r="V56" s="336"/>
      <c r="W56" s="336"/>
      <c r="X56" s="336"/>
      <c r="Y56" s="336"/>
      <c r="Z56" s="336"/>
      <c r="AA56" s="336"/>
      <c r="AB56" s="336"/>
      <c r="AC56" s="335"/>
      <c r="AF56" s="333"/>
      <c r="AG56" s="333"/>
      <c r="AH56" s="333"/>
      <c r="AI56" s="333"/>
      <c r="AJ56" s="249"/>
      <c r="AK56" s="333"/>
      <c r="AL56" s="333"/>
      <c r="AM56" s="333"/>
    </row>
    <row r="57" spans="1:43">
      <c r="H57" s="818"/>
      <c r="I57" s="818"/>
      <c r="J57" s="819"/>
      <c r="K57" s="819"/>
      <c r="L57" s="827"/>
      <c r="M57" s="827"/>
      <c r="N57" s="827"/>
      <c r="O57" s="827"/>
      <c r="P57" s="827"/>
      <c r="Q57" s="827"/>
      <c r="R57" s="827"/>
      <c r="S57" s="827"/>
      <c r="T57" s="827"/>
      <c r="U57" s="827"/>
      <c r="V57" s="827"/>
      <c r="W57" s="827"/>
      <c r="X57" s="827"/>
      <c r="Y57" s="827"/>
      <c r="Z57" s="827"/>
      <c r="AA57" s="827"/>
      <c r="AB57" s="827"/>
      <c r="AF57" s="333"/>
      <c r="AG57" s="333"/>
      <c r="AH57" s="432"/>
      <c r="AI57" s="432"/>
      <c r="AJ57" s="432"/>
      <c r="AK57" s="333"/>
      <c r="AL57" s="432"/>
      <c r="AM57" s="432">
        <f>SUM(AM52:AM56)</f>
        <v>0</v>
      </c>
      <c r="AN57" s="36">
        <f>AM55+AM52+AM49+AM48</f>
        <v>0</v>
      </c>
    </row>
    <row r="58" spans="1:43">
      <c r="AF58" s="333"/>
      <c r="AG58" s="333"/>
      <c r="AH58" s="333"/>
      <c r="AI58" s="333"/>
      <c r="AJ58" s="337"/>
      <c r="AK58" s="337"/>
      <c r="AL58" s="337"/>
      <c r="AM58" s="337"/>
      <c r="AN58" s="36" t="e">
        <f>AL58/L40-1</f>
        <v>#DIV/0!</v>
      </c>
    </row>
    <row r="59" spans="1:43">
      <c r="A59" s="823"/>
      <c r="H59" s="816"/>
      <c r="I59" s="816"/>
      <c r="AJ59" s="818"/>
      <c r="AK59" s="819"/>
      <c r="AL59" s="827"/>
      <c r="AM59" s="827">
        <f>AL59-50</f>
        <v>-50</v>
      </c>
    </row>
    <row r="60" spans="1:43">
      <c r="A60" s="100"/>
      <c r="B60" s="100"/>
      <c r="C60" s="335"/>
      <c r="D60" s="335"/>
      <c r="E60" s="335"/>
      <c r="F60" s="335"/>
      <c r="G60" s="335"/>
      <c r="H60" s="817"/>
      <c r="I60" s="817"/>
      <c r="J60" s="335"/>
      <c r="K60" s="335"/>
      <c r="L60" s="335"/>
      <c r="M60" s="335"/>
      <c r="N60" s="335"/>
      <c r="O60" s="335"/>
      <c r="P60" s="335"/>
      <c r="Q60" s="335"/>
      <c r="R60" s="335"/>
      <c r="S60" s="335"/>
      <c r="T60" s="335"/>
      <c r="U60" s="335"/>
      <c r="V60" s="335"/>
      <c r="W60" s="335"/>
      <c r="X60" s="335"/>
      <c r="Y60" s="335"/>
      <c r="Z60" s="335"/>
      <c r="AA60" s="335"/>
      <c r="AB60" s="335"/>
      <c r="AC60" s="335"/>
      <c r="AD60" s="335"/>
      <c r="AE60" s="335"/>
      <c r="AJ60" s="818"/>
      <c r="AK60" s="827"/>
      <c r="AL60" s="827"/>
      <c r="AM60" s="827"/>
      <c r="AN60" s="827">
        <f>+AN57/IS!$AU$44</f>
        <v>0</v>
      </c>
    </row>
    <row r="61" spans="1:43">
      <c r="H61" s="36"/>
      <c r="I61" s="36"/>
      <c r="AE61" s="469"/>
      <c r="AJ61" s="818"/>
      <c r="AK61" s="819"/>
      <c r="AL61" s="827"/>
      <c r="AM61" s="827">
        <f>AL58*0.7</f>
        <v>0</v>
      </c>
    </row>
    <row r="62" spans="1:43">
      <c r="H62" s="36"/>
      <c r="I62" s="36"/>
      <c r="AE62" s="469"/>
      <c r="AM62" s="827">
        <f>+AM61/IS!$AU$44</f>
        <v>0</v>
      </c>
    </row>
    <row r="63" spans="1:43">
      <c r="H63" s="36"/>
      <c r="I63" s="36"/>
      <c r="AE63" s="469"/>
    </row>
    <row r="64" spans="1:43">
      <c r="A64" s="100"/>
      <c r="C64" s="100"/>
      <c r="D64" s="100"/>
      <c r="E64" s="100"/>
      <c r="F64" s="100"/>
      <c r="G64" s="100"/>
      <c r="H64" s="100"/>
      <c r="I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E64" s="469"/>
    </row>
    <row r="65" spans="1:55">
      <c r="H65" s="36"/>
      <c r="I65" s="36"/>
      <c r="AE65" s="469"/>
    </row>
    <row r="66" spans="1:55">
      <c r="H66" s="36"/>
      <c r="I66" s="36"/>
      <c r="AE66" s="469"/>
      <c r="AF66" s="100"/>
      <c r="AG66" s="100"/>
      <c r="AH66" s="100"/>
      <c r="AI66" s="100"/>
    </row>
    <row r="67" spans="1:55">
      <c r="H67" s="36"/>
      <c r="I67" s="36"/>
      <c r="AE67" s="469"/>
    </row>
    <row r="68" spans="1:55">
      <c r="H68" s="36"/>
      <c r="I68" s="36"/>
      <c r="AE68" s="469"/>
      <c r="AF68" s="333"/>
      <c r="AG68" s="333"/>
      <c r="AH68" s="333"/>
    </row>
    <row r="69" spans="1:55">
      <c r="AE69" s="469"/>
      <c r="AF69" s="333"/>
      <c r="AG69" s="333"/>
      <c r="AH69" s="333"/>
    </row>
    <row r="70" spans="1:55">
      <c r="C70" s="100"/>
      <c r="D70" s="100"/>
      <c r="E70" s="100"/>
      <c r="F70" s="100"/>
      <c r="G70" s="100"/>
      <c r="H70" s="100"/>
      <c r="I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335"/>
      <c r="AE70" s="469"/>
      <c r="AF70" s="333"/>
      <c r="AG70" s="333"/>
      <c r="AH70" s="333"/>
    </row>
    <row r="71" spans="1:55">
      <c r="H71" s="336"/>
      <c r="I71" s="336"/>
      <c r="J71" s="336"/>
      <c r="K71" s="336"/>
      <c r="L71" s="336"/>
      <c r="M71" s="336"/>
      <c r="N71" s="336"/>
      <c r="O71" s="336"/>
      <c r="P71" s="336"/>
      <c r="Q71" s="336"/>
      <c r="R71" s="336"/>
      <c r="S71" s="336"/>
      <c r="T71" s="336"/>
      <c r="U71" s="336"/>
      <c r="V71" s="336"/>
      <c r="W71" s="336"/>
      <c r="X71" s="336"/>
      <c r="Y71" s="336"/>
      <c r="Z71" s="336"/>
      <c r="AA71" s="336"/>
      <c r="AB71" s="336"/>
      <c r="AE71" s="469"/>
      <c r="AF71" s="333"/>
      <c r="AG71" s="333"/>
      <c r="AH71" s="333"/>
    </row>
    <row r="72" spans="1:55">
      <c r="H72" s="818"/>
      <c r="I72" s="818"/>
      <c r="J72" s="819"/>
      <c r="K72" s="819"/>
      <c r="L72" s="827"/>
      <c r="M72" s="827"/>
      <c r="N72" s="827"/>
      <c r="O72" s="827"/>
      <c r="P72" s="827"/>
      <c r="Q72" s="827"/>
      <c r="R72" s="827"/>
      <c r="S72" s="827"/>
      <c r="T72" s="827"/>
      <c r="U72" s="827"/>
      <c r="V72" s="827"/>
      <c r="W72" s="827"/>
      <c r="X72" s="827"/>
      <c r="Y72" s="827"/>
      <c r="Z72" s="827"/>
      <c r="AA72" s="827"/>
      <c r="AB72" s="827"/>
      <c r="AE72" s="469"/>
      <c r="AF72" s="337"/>
      <c r="AG72" s="333"/>
      <c r="AH72" s="333"/>
      <c r="AJ72" s="335"/>
    </row>
    <row r="73" spans="1:55">
      <c r="A73" s="823"/>
      <c r="H73" s="816"/>
      <c r="I73" s="816"/>
      <c r="AE73" s="469"/>
      <c r="AF73" s="469"/>
      <c r="AG73" s="469"/>
      <c r="AH73" s="469"/>
      <c r="AI73" s="469"/>
      <c r="AJ73" s="469"/>
      <c r="AK73" s="469"/>
    </row>
    <row r="74" spans="1:55">
      <c r="A74" s="100"/>
      <c r="C74" s="335"/>
      <c r="D74" s="335"/>
      <c r="E74" s="335"/>
      <c r="F74" s="335"/>
      <c r="G74" s="335"/>
      <c r="H74" s="817"/>
      <c r="I74" s="817"/>
      <c r="J74" s="335"/>
      <c r="K74" s="335"/>
      <c r="L74" s="335"/>
      <c r="M74" s="335"/>
      <c r="N74" s="335"/>
      <c r="O74" s="335"/>
      <c r="P74" s="335"/>
      <c r="Q74" s="335"/>
      <c r="R74" s="335"/>
      <c r="S74" s="335"/>
      <c r="T74" s="335"/>
      <c r="U74" s="335"/>
      <c r="V74" s="335"/>
      <c r="W74" s="335"/>
      <c r="X74" s="335"/>
      <c r="Y74" s="335"/>
      <c r="Z74" s="335"/>
      <c r="AA74" s="335"/>
      <c r="AB74" s="335"/>
      <c r="AC74" s="335"/>
      <c r="AE74" s="469"/>
      <c r="AF74" s="469"/>
      <c r="AG74" s="469"/>
      <c r="AH74" s="469"/>
      <c r="AI74" s="469"/>
      <c r="AJ74" s="469"/>
      <c r="AK74" s="469"/>
    </row>
    <row r="75" spans="1:55">
      <c r="H75" s="36"/>
      <c r="I75" s="36"/>
      <c r="AE75" s="469"/>
      <c r="AF75" s="828"/>
      <c r="AG75" s="469"/>
      <c r="AH75" s="469"/>
      <c r="AI75" s="469"/>
      <c r="AJ75" s="469"/>
      <c r="AK75" s="469"/>
      <c r="AP75" s="828" t="s">
        <v>460</v>
      </c>
      <c r="AQ75" s="828"/>
      <c r="AR75" s="828"/>
      <c r="AS75" s="828"/>
      <c r="AU75" s="828" t="s">
        <v>460</v>
      </c>
      <c r="AV75" s="828"/>
      <c r="AW75" s="828"/>
      <c r="AX75" s="828"/>
      <c r="AZ75" s="828" t="s">
        <v>460</v>
      </c>
      <c r="BA75" s="828"/>
      <c r="BB75" s="828"/>
      <c r="BC75" s="828"/>
    </row>
    <row r="76" spans="1:55">
      <c r="H76" s="36"/>
      <c r="I76" s="36"/>
      <c r="AE76" s="469"/>
      <c r="AF76" s="829"/>
      <c r="AG76" s="830"/>
      <c r="AH76" s="830"/>
      <c r="AI76" s="830"/>
      <c r="AJ76" s="469"/>
      <c r="AK76" s="469"/>
      <c r="AP76" s="831" t="s">
        <v>463</v>
      </c>
      <c r="AQ76" s="832" t="s">
        <v>470</v>
      </c>
      <c r="AR76" s="832" t="s">
        <v>519</v>
      </c>
      <c r="AS76" s="832" t="s">
        <v>467</v>
      </c>
      <c r="AU76" s="831" t="s">
        <v>463</v>
      </c>
      <c r="AV76" s="832" t="s">
        <v>470</v>
      </c>
      <c r="AW76" s="832" t="s">
        <v>520</v>
      </c>
      <c r="AX76" s="832" t="s">
        <v>467</v>
      </c>
      <c r="AZ76" s="831" t="s">
        <v>463</v>
      </c>
      <c r="BA76" s="832" t="s">
        <v>470</v>
      </c>
      <c r="BB76" s="832" t="s">
        <v>520</v>
      </c>
      <c r="BC76" s="832" t="s">
        <v>467</v>
      </c>
    </row>
    <row r="77" spans="1:55" ht="13.5" thickBot="1">
      <c r="H77" s="36"/>
      <c r="I77" s="36"/>
      <c r="AF77" s="833"/>
      <c r="AG77" s="472"/>
      <c r="AH77" s="472"/>
      <c r="AI77" s="472"/>
      <c r="AJ77" s="469"/>
      <c r="AK77" s="469"/>
      <c r="AP77" s="834"/>
      <c r="AQ77" s="473" t="s">
        <v>469</v>
      </c>
      <c r="AR77" s="473" t="s">
        <v>466</v>
      </c>
      <c r="AS77" s="473" t="s">
        <v>468</v>
      </c>
      <c r="AU77" s="834"/>
      <c r="AV77" s="473" t="s">
        <v>469</v>
      </c>
      <c r="AW77" s="473" t="s">
        <v>466</v>
      </c>
      <c r="AX77" s="473" t="s">
        <v>468</v>
      </c>
      <c r="AZ77" s="834"/>
      <c r="BA77" s="473" t="s">
        <v>521</v>
      </c>
      <c r="BB77" s="473" t="s">
        <v>466</v>
      </c>
      <c r="BC77" s="473" t="s">
        <v>468</v>
      </c>
    </row>
    <row r="78" spans="1:55">
      <c r="A78" s="100"/>
      <c r="C78" s="100"/>
      <c r="D78" s="100"/>
      <c r="E78" s="100"/>
      <c r="F78" s="100"/>
      <c r="G78" s="100"/>
      <c r="H78" s="100"/>
      <c r="I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F78" s="469"/>
      <c r="AG78" s="469"/>
      <c r="AH78" s="469"/>
      <c r="AI78" s="469"/>
      <c r="AJ78" s="469"/>
      <c r="AK78" s="469"/>
      <c r="AP78" s="469" t="s">
        <v>107</v>
      </c>
      <c r="AQ78" s="469">
        <f>+$AG$78</f>
        <v>0</v>
      </c>
      <c r="AR78" s="469">
        <v>130.44999999999999</v>
      </c>
      <c r="AS78" s="469" t="e">
        <f>+AQ78*AR78/$AI$73</f>
        <v>#DIV/0!</v>
      </c>
      <c r="AU78" s="469" t="s">
        <v>107</v>
      </c>
      <c r="AV78" s="469">
        <f>+$AG$78</f>
        <v>0</v>
      </c>
      <c r="AW78" s="469">
        <v>125.8</v>
      </c>
      <c r="AX78" s="469" t="e">
        <f>+AV78*AW78/$AI$73</f>
        <v>#DIV/0!</v>
      </c>
      <c r="AZ78" s="469" t="s">
        <v>107</v>
      </c>
      <c r="BA78" s="469">
        <f>+J142</f>
        <v>0</v>
      </c>
      <c r="BB78" s="469">
        <v>125.8</v>
      </c>
      <c r="BC78" s="469" t="e">
        <f>+BA78*BB78/$AI$73</f>
        <v>#DIV/0!</v>
      </c>
    </row>
    <row r="79" spans="1:55">
      <c r="H79" s="36"/>
      <c r="I79" s="36"/>
      <c r="AF79" s="469"/>
      <c r="AG79" s="469"/>
      <c r="AH79" s="469"/>
      <c r="AI79" s="469"/>
      <c r="AJ79" s="469"/>
      <c r="AK79" s="469"/>
      <c r="AP79" s="469" t="s">
        <v>461</v>
      </c>
      <c r="AQ79" s="469">
        <f>+$AG$79</f>
        <v>0</v>
      </c>
      <c r="AR79" s="469">
        <v>41.15</v>
      </c>
      <c r="AS79" s="469" t="e">
        <f>+AQ79*AR79/$AI$73</f>
        <v>#DIV/0!</v>
      </c>
      <c r="AU79" s="469" t="s">
        <v>461</v>
      </c>
      <c r="AV79" s="469">
        <f>+$AG$79</f>
        <v>0</v>
      </c>
      <c r="AW79" s="469">
        <v>40.15</v>
      </c>
      <c r="AX79" s="469" t="e">
        <f>+AV79*AW79/$AI$73</f>
        <v>#DIV/0!</v>
      </c>
      <c r="AZ79" s="469" t="s">
        <v>461</v>
      </c>
      <c r="BA79" s="469">
        <f>+J143</f>
        <v>0</v>
      </c>
      <c r="BB79" s="469">
        <v>40.15</v>
      </c>
      <c r="BC79" s="469" t="e">
        <f>+BA79*BB79/$AI$73</f>
        <v>#DIV/0!</v>
      </c>
    </row>
    <row r="80" spans="1:55">
      <c r="H80" s="36"/>
      <c r="I80" s="36"/>
      <c r="AF80" s="469"/>
      <c r="AG80" s="469"/>
      <c r="AH80" s="469"/>
      <c r="AI80" s="469"/>
      <c r="AJ80" s="469"/>
      <c r="AK80" s="469"/>
      <c r="AP80" s="469" t="s">
        <v>462</v>
      </c>
      <c r="AQ80" s="469">
        <f>+$AG$80</f>
        <v>0</v>
      </c>
      <c r="AR80" s="469">
        <v>365</v>
      </c>
      <c r="AS80" s="469" t="e">
        <f>+AQ80*AR80/$AI$73</f>
        <v>#DIV/0!</v>
      </c>
      <c r="AU80" s="469" t="s">
        <v>462</v>
      </c>
      <c r="AV80" s="469">
        <f>+$AG$80</f>
        <v>0</v>
      </c>
      <c r="AW80" s="469">
        <v>352.4</v>
      </c>
      <c r="AX80" s="469" t="e">
        <f>+AV80*AW80/$AI$73</f>
        <v>#DIV/0!</v>
      </c>
      <c r="AZ80" s="469" t="s">
        <v>462</v>
      </c>
      <c r="BA80" s="469">
        <f>+J144</f>
        <v>0</v>
      </c>
      <c r="BB80" s="469">
        <v>352.4</v>
      </c>
      <c r="BC80" s="469" t="e">
        <f>+BA80*BB80/$AI$73</f>
        <v>#DIV/0!</v>
      </c>
    </row>
    <row r="81" spans="2:55">
      <c r="H81" s="36"/>
      <c r="I81" s="36"/>
      <c r="AF81" s="469"/>
      <c r="AG81" s="469"/>
      <c r="AH81" s="469"/>
      <c r="AI81" s="469"/>
      <c r="AJ81" s="469"/>
      <c r="AK81" s="469"/>
      <c r="AP81" s="469" t="s">
        <v>371</v>
      </c>
      <c r="AQ81" s="469">
        <f>+$AG$81</f>
        <v>0</v>
      </c>
      <c r="AR81" s="469">
        <v>329.95</v>
      </c>
      <c r="AS81" s="469" t="e">
        <f>+AQ81*AR81/$AI$73</f>
        <v>#DIV/0!</v>
      </c>
      <c r="AU81" s="469" t="s">
        <v>371</v>
      </c>
      <c r="AV81" s="469">
        <f>+$AG$81</f>
        <v>0</v>
      </c>
      <c r="AW81" s="469">
        <v>308.5</v>
      </c>
      <c r="AX81" s="469" t="e">
        <f>+AV81*AW81/$AI$73</f>
        <v>#DIV/0!</v>
      </c>
      <c r="AZ81" s="469" t="s">
        <v>371</v>
      </c>
      <c r="BA81" s="469">
        <f>+J145</f>
        <v>0</v>
      </c>
      <c r="BB81" s="469">
        <v>308.5</v>
      </c>
      <c r="BC81" s="469" t="e">
        <f>+BA81*BB81/$AI$73</f>
        <v>#DIV/0!</v>
      </c>
    </row>
    <row r="82" spans="2:55">
      <c r="H82" s="36"/>
      <c r="I82" s="36"/>
      <c r="AF82" s="474"/>
      <c r="AG82" s="474"/>
      <c r="AH82" s="474"/>
      <c r="AI82" s="474"/>
      <c r="AJ82" s="469"/>
      <c r="AK82" s="469"/>
      <c r="AP82" s="474" t="s">
        <v>465</v>
      </c>
      <c r="AQ82" s="474">
        <f>10998+1999+98000+2353+500+500</f>
        <v>114350</v>
      </c>
      <c r="AR82" s="474">
        <v>0</v>
      </c>
      <c r="AS82" s="474">
        <v>1.365</v>
      </c>
      <c r="AU82" s="474" t="s">
        <v>465</v>
      </c>
      <c r="AV82" s="474">
        <f>10998+1999+98000+2353+500+500</f>
        <v>114350</v>
      </c>
      <c r="AW82" s="474">
        <v>0</v>
      </c>
      <c r="AX82" s="474">
        <v>1.365</v>
      </c>
      <c r="AZ82" s="474" t="s">
        <v>465</v>
      </c>
      <c r="BA82" s="474">
        <f>10998+1999+98000+2353+500+500</f>
        <v>114350</v>
      </c>
      <c r="BB82" s="474">
        <v>0</v>
      </c>
      <c r="BC82" s="474">
        <v>1.365</v>
      </c>
    </row>
    <row r="83" spans="2:55">
      <c r="AF83" s="469"/>
      <c r="AG83" s="828"/>
      <c r="AH83" s="828"/>
      <c r="AI83" s="828"/>
      <c r="AJ83" s="469"/>
      <c r="AK83" s="469"/>
      <c r="AP83" s="469"/>
      <c r="AQ83" s="828"/>
      <c r="AR83" s="828"/>
      <c r="AS83" s="828" t="e">
        <f>SUM(AS78:AS82)</f>
        <v>#DIV/0!</v>
      </c>
      <c r="AU83" s="469"/>
      <c r="AV83" s="828"/>
      <c r="AW83" s="828"/>
      <c r="AX83" s="828" t="e">
        <f>SUM(AX78:AX82)</f>
        <v>#DIV/0!</v>
      </c>
      <c r="AZ83" s="469"/>
      <c r="BA83" s="828"/>
      <c r="BB83" s="828"/>
      <c r="BC83" s="828" t="e">
        <f>SUM(BC78:BC82)</f>
        <v>#DIV/0!</v>
      </c>
    </row>
    <row r="84" spans="2:55" ht="13.5" thickBot="1">
      <c r="C84" s="100"/>
      <c r="D84" s="100"/>
      <c r="E84" s="100"/>
      <c r="F84" s="100"/>
      <c r="G84" s="100"/>
      <c r="H84" s="100"/>
      <c r="I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335"/>
      <c r="AF84" s="835"/>
      <c r="AG84" s="835"/>
      <c r="AH84" s="833"/>
      <c r="AI84" s="836"/>
      <c r="AJ84" s="469"/>
      <c r="AK84" s="469"/>
      <c r="AP84" s="835" t="s">
        <v>464</v>
      </c>
      <c r="AQ84" s="836"/>
      <c r="AR84" s="836"/>
      <c r="AS84" s="836" t="e">
        <f>+ROUND(AS83/IS!$AU$44,1)</f>
        <v>#DIV/0!</v>
      </c>
      <c r="AU84" s="835" t="s">
        <v>464</v>
      </c>
      <c r="AV84" s="836"/>
      <c r="AW84" s="836"/>
      <c r="AX84" s="836" t="e">
        <f>+ROUND(AX83/IS!$AU$44,1)</f>
        <v>#DIV/0!</v>
      </c>
      <c r="AZ84" s="835" t="s">
        <v>464</v>
      </c>
      <c r="BA84" s="836"/>
      <c r="BB84" s="836"/>
      <c r="BC84" s="836" t="e">
        <f>+ROUND(BC83/IS!$AU$44,1)</f>
        <v>#DIV/0!</v>
      </c>
    </row>
    <row r="85" spans="2:55">
      <c r="H85" s="88"/>
      <c r="I85" s="88"/>
      <c r="J85" s="336"/>
      <c r="K85" s="336"/>
      <c r="L85" s="336"/>
      <c r="M85" s="336"/>
      <c r="N85" s="336"/>
      <c r="O85" s="336"/>
      <c r="P85" s="336"/>
      <c r="Q85" s="336"/>
      <c r="R85" s="336"/>
      <c r="S85" s="336"/>
      <c r="T85" s="336"/>
      <c r="U85" s="336"/>
      <c r="V85" s="336"/>
      <c r="W85" s="336"/>
      <c r="X85" s="336"/>
      <c r="Y85" s="336"/>
      <c r="Z85" s="336"/>
      <c r="AA85" s="336"/>
      <c r="AB85" s="336"/>
      <c r="AF85" s="469"/>
      <c r="AG85" s="469"/>
      <c r="AH85" s="469"/>
      <c r="AI85" s="469"/>
      <c r="AJ85" s="469"/>
      <c r="AK85" s="469"/>
    </row>
    <row r="86" spans="2:55">
      <c r="H86" s="818"/>
      <c r="I86" s="818"/>
      <c r="J86" s="819"/>
      <c r="K86" s="819"/>
      <c r="L86" s="827"/>
      <c r="M86" s="827"/>
      <c r="N86" s="827"/>
      <c r="O86" s="827"/>
      <c r="P86" s="827"/>
      <c r="Q86" s="827"/>
      <c r="R86" s="827"/>
      <c r="S86" s="827"/>
      <c r="T86" s="827"/>
      <c r="U86" s="827"/>
      <c r="V86" s="827"/>
      <c r="W86" s="827"/>
      <c r="X86" s="827"/>
      <c r="Y86" s="827"/>
      <c r="Z86" s="827"/>
      <c r="AA86" s="827"/>
      <c r="AB86" s="827"/>
      <c r="AF86" s="469"/>
      <c r="AG86" s="469"/>
      <c r="AH86" s="469"/>
      <c r="AI86" s="469"/>
      <c r="AJ86" s="469"/>
      <c r="AK86" s="469"/>
    </row>
    <row r="87" spans="2:55">
      <c r="H87" s="816"/>
      <c r="I87" s="816"/>
      <c r="AF87" s="469"/>
      <c r="AG87" s="469"/>
      <c r="AH87" s="469"/>
      <c r="AI87" s="469"/>
      <c r="AJ87" s="469"/>
      <c r="AK87" s="469"/>
    </row>
    <row r="88" spans="2:55">
      <c r="C88" s="335"/>
      <c r="D88" s="335"/>
      <c r="E88" s="335"/>
      <c r="F88" s="335"/>
      <c r="G88" s="335"/>
      <c r="H88" s="817"/>
      <c r="I88" s="817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  <c r="AA88" s="335"/>
      <c r="AB88" s="335"/>
      <c r="AF88" s="469"/>
      <c r="AG88" s="469"/>
      <c r="AH88" s="469"/>
      <c r="AI88" s="469"/>
      <c r="AJ88" s="469"/>
      <c r="AK88" s="469"/>
    </row>
    <row r="90" spans="2:55" ht="11.25" customHeight="1"/>
    <row r="91" spans="2:55" ht="11.25" customHeight="1"/>
    <row r="92" spans="2:55" ht="11.25" customHeight="1">
      <c r="C92" s="100"/>
      <c r="D92" s="100"/>
      <c r="E92" s="100"/>
      <c r="F92" s="100"/>
      <c r="G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</row>
    <row r="93" spans="2:55" ht="11.25" customHeight="1"/>
    <row r="94" spans="2:55"/>
    <row r="95" spans="2:55">
      <c r="AF95" s="100"/>
    </row>
    <row r="96" spans="2:55">
      <c r="AF96" s="100"/>
      <c r="AG96" s="513"/>
      <c r="AH96" s="335"/>
      <c r="AI96" s="100"/>
      <c r="AJ96" s="100"/>
      <c r="AK96" s="100"/>
      <c r="AL96" s="100"/>
      <c r="AM96" s="100" t="s">
        <v>60</v>
      </c>
      <c r="AN96" s="100" t="s">
        <v>215</v>
      </c>
    </row>
    <row r="98" spans="1:58">
      <c r="C98" s="100"/>
      <c r="D98" s="100"/>
      <c r="E98" s="100"/>
      <c r="F98" s="100"/>
      <c r="G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</row>
    <row r="99" spans="1:58">
      <c r="H99" s="820"/>
      <c r="I99" s="820"/>
      <c r="J99" s="336"/>
      <c r="K99" s="336"/>
      <c r="L99" s="336"/>
      <c r="M99" s="336"/>
      <c r="N99" s="336"/>
      <c r="O99" s="336"/>
      <c r="P99" s="336"/>
      <c r="Q99" s="336"/>
      <c r="R99" s="336"/>
      <c r="S99" s="336"/>
      <c r="T99" s="336"/>
      <c r="U99" s="336"/>
      <c r="V99" s="336"/>
      <c r="W99" s="336"/>
      <c r="X99" s="336"/>
      <c r="Y99" s="336"/>
      <c r="Z99" s="336"/>
      <c r="AA99" s="336"/>
      <c r="AB99" s="336"/>
    </row>
    <row r="100" spans="1:58">
      <c r="H100" s="818"/>
      <c r="I100" s="818"/>
      <c r="J100" s="819"/>
      <c r="K100" s="819"/>
      <c r="L100" s="827"/>
      <c r="M100" s="827"/>
      <c r="N100" s="827"/>
      <c r="O100" s="827"/>
      <c r="P100" s="827"/>
      <c r="Q100" s="827"/>
      <c r="R100" s="827"/>
      <c r="S100" s="827"/>
      <c r="T100" s="827"/>
      <c r="U100" s="827"/>
      <c r="V100" s="827"/>
      <c r="W100" s="827"/>
      <c r="X100" s="827"/>
      <c r="Y100" s="827"/>
      <c r="Z100" s="827"/>
      <c r="AA100" s="827"/>
      <c r="AB100" s="827"/>
      <c r="AF100" s="100"/>
      <c r="AH100" s="100"/>
      <c r="AI100" s="100"/>
      <c r="AJ100" s="100"/>
      <c r="AK100" s="100"/>
      <c r="AL100" s="100"/>
      <c r="AM100" s="100"/>
      <c r="AN100" s="100"/>
    </row>
    <row r="101" spans="1:58">
      <c r="H101" s="816"/>
      <c r="I101" s="816"/>
    </row>
    <row r="102" spans="1:58">
      <c r="C102" s="335"/>
      <c r="D102" s="335"/>
      <c r="E102" s="335"/>
      <c r="F102" s="335"/>
      <c r="G102" s="335"/>
      <c r="H102" s="817"/>
      <c r="I102" s="817"/>
      <c r="L102" s="335"/>
      <c r="M102" s="335"/>
      <c r="N102" s="335"/>
      <c r="O102" s="335"/>
      <c r="P102" s="335"/>
      <c r="Q102" s="335"/>
      <c r="R102" s="335"/>
      <c r="S102" s="335"/>
      <c r="T102" s="335"/>
      <c r="U102" s="335"/>
      <c r="V102" s="335"/>
      <c r="W102" s="335"/>
      <c r="X102" s="335"/>
      <c r="Y102" s="335"/>
      <c r="Z102" s="335"/>
      <c r="AA102" s="335"/>
      <c r="AB102" s="335"/>
    </row>
    <row r="106" spans="1:58">
      <c r="C106" s="100"/>
      <c r="D106" s="100"/>
      <c r="E106" s="100"/>
      <c r="F106" s="100"/>
      <c r="G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H106" s="100"/>
    </row>
    <row r="107" spans="1:58" ht="13.5" thickBot="1"/>
    <row r="108" spans="1:58">
      <c r="AC108" s="821"/>
      <c r="AD108" s="821"/>
      <c r="AE108" s="821"/>
    </row>
    <row r="110" spans="1:58" s="335" customFormat="1" ht="12" customHeight="1">
      <c r="A110" s="36"/>
      <c r="B110" s="36"/>
      <c r="C110" s="36"/>
      <c r="D110" s="36"/>
      <c r="E110" s="36"/>
      <c r="F110" s="36"/>
      <c r="G110" s="36"/>
      <c r="H110" s="91"/>
      <c r="I110" s="91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</row>
    <row r="111" spans="1:58" s="459" customFormat="1" ht="12" customHeight="1">
      <c r="A111" s="36"/>
      <c r="B111" s="36"/>
      <c r="C111" s="100"/>
      <c r="D111" s="100"/>
      <c r="E111" s="100"/>
      <c r="F111" s="100"/>
      <c r="G111" s="100"/>
      <c r="H111" s="91"/>
      <c r="I111" s="91"/>
      <c r="J111" s="36"/>
      <c r="K111" s="36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</row>
    <row r="113" spans="1:58">
      <c r="AG113" s="91"/>
    </row>
    <row r="114" spans="1:58">
      <c r="AG114" s="91"/>
    </row>
    <row r="115" spans="1:58">
      <c r="H115" s="36"/>
      <c r="I115" s="36"/>
      <c r="AG115" s="91"/>
    </row>
    <row r="116" spans="1:58">
      <c r="H116" s="36"/>
      <c r="I116" s="36"/>
      <c r="AG116" s="91"/>
    </row>
    <row r="117" spans="1:58">
      <c r="H117" s="36"/>
      <c r="I117" s="36"/>
      <c r="AG117" s="91"/>
    </row>
    <row r="118" spans="1:58">
      <c r="H118" s="36"/>
      <c r="I118" s="36"/>
      <c r="AH118" s="91"/>
    </row>
    <row r="119" spans="1:58">
      <c r="H119" s="36"/>
      <c r="I119" s="36"/>
      <c r="AH119" s="91"/>
    </row>
    <row r="120" spans="1:58">
      <c r="H120" s="36"/>
      <c r="I120" s="36"/>
      <c r="AC120" s="335"/>
      <c r="AD120" s="335"/>
      <c r="AE120" s="335"/>
      <c r="AH120" s="91"/>
    </row>
    <row r="121" spans="1:58" ht="13.5" thickBot="1">
      <c r="H121" s="36"/>
      <c r="I121" s="36"/>
      <c r="AC121" s="459"/>
      <c r="AD121" s="459"/>
      <c r="AE121" s="459"/>
      <c r="AG121" s="335"/>
      <c r="AH121" s="817"/>
      <c r="AI121" s="335"/>
      <c r="AJ121" s="335"/>
      <c r="AK121" s="335"/>
    </row>
    <row r="122" spans="1:58">
      <c r="C122" s="821"/>
      <c r="D122" s="821"/>
      <c r="E122" s="821"/>
      <c r="F122" s="821"/>
      <c r="G122" s="821"/>
      <c r="H122" s="821"/>
      <c r="I122" s="821"/>
      <c r="J122" s="821"/>
      <c r="K122" s="821"/>
      <c r="L122" s="821"/>
      <c r="M122" s="821"/>
      <c r="N122" s="821"/>
      <c r="O122" s="1430"/>
      <c r="P122" s="1430"/>
      <c r="Q122" s="1430"/>
      <c r="R122" s="1430"/>
      <c r="S122" s="1430"/>
      <c r="T122" s="1430"/>
      <c r="U122" s="1430"/>
      <c r="V122" s="1430"/>
      <c r="W122" s="1430"/>
      <c r="X122" s="1430"/>
      <c r="Y122" s="1430"/>
      <c r="Z122" s="1430"/>
      <c r="AA122" s="1430"/>
      <c r="AB122" s="1430"/>
      <c r="AG122" s="459"/>
      <c r="AH122" s="460"/>
      <c r="AI122" s="459"/>
      <c r="AJ122" s="459"/>
      <c r="AK122" s="459"/>
      <c r="AL122" s="335"/>
      <c r="AM122" s="335"/>
      <c r="AN122" s="335"/>
      <c r="AO122" s="335"/>
      <c r="AP122" s="335"/>
      <c r="AQ122" s="335"/>
      <c r="AR122" s="335"/>
      <c r="AS122" s="335"/>
      <c r="AT122" s="335"/>
      <c r="AU122" s="335"/>
      <c r="AV122" s="335"/>
      <c r="AW122" s="335"/>
      <c r="AX122" s="335"/>
      <c r="AY122" s="335"/>
      <c r="AZ122" s="335"/>
      <c r="BA122" s="335"/>
      <c r="BB122" s="335"/>
      <c r="BC122" s="335"/>
      <c r="BD122" s="335"/>
      <c r="BE122" s="335"/>
      <c r="BF122" s="335"/>
    </row>
    <row r="123" spans="1:58">
      <c r="A123" s="100"/>
      <c r="H123" s="36"/>
      <c r="I123" s="36"/>
      <c r="AH123" s="91"/>
      <c r="AL123" s="459"/>
      <c r="AM123" s="459"/>
      <c r="AN123" s="459"/>
      <c r="AO123" s="459"/>
      <c r="AP123" s="459"/>
      <c r="AQ123" s="459"/>
      <c r="AR123" s="459"/>
      <c r="AS123" s="459"/>
      <c r="AT123" s="459"/>
      <c r="AU123" s="459"/>
      <c r="AV123" s="459"/>
      <c r="AW123" s="459"/>
      <c r="AX123" s="459"/>
      <c r="AY123" s="459"/>
      <c r="AZ123" s="459"/>
      <c r="BA123" s="459"/>
      <c r="BB123" s="459"/>
      <c r="BC123" s="459"/>
      <c r="BD123" s="459"/>
      <c r="BE123" s="459"/>
      <c r="BF123" s="459"/>
    </row>
    <row r="124" spans="1:58">
      <c r="B124" s="335"/>
      <c r="H124" s="335"/>
      <c r="I124" s="335"/>
      <c r="AH124" s="91"/>
    </row>
    <row r="125" spans="1:58">
      <c r="B125" s="459"/>
      <c r="H125" s="459"/>
      <c r="I125" s="459"/>
      <c r="AH125" s="91"/>
    </row>
    <row r="126" spans="1:58">
      <c r="H126" s="36"/>
      <c r="I126" s="36"/>
      <c r="AH126" s="91"/>
    </row>
    <row r="127" spans="1:58">
      <c r="H127" s="36"/>
      <c r="I127" s="36"/>
      <c r="AC127" s="100"/>
      <c r="AE127" s="100"/>
      <c r="AH127" s="91"/>
    </row>
    <row r="128" spans="1:58">
      <c r="H128" s="36"/>
      <c r="I128" s="36"/>
      <c r="AH128" s="91"/>
    </row>
    <row r="129" spans="2:34">
      <c r="H129" s="36"/>
      <c r="I129" s="36"/>
      <c r="AH129" s="91"/>
    </row>
    <row r="130" spans="2:34">
      <c r="H130" s="36"/>
      <c r="I130" s="36"/>
      <c r="AH130" s="91"/>
    </row>
    <row r="131" spans="2:34">
      <c r="H131" s="36"/>
      <c r="I131" s="36"/>
      <c r="AH131" s="91"/>
    </row>
    <row r="132" spans="2:34">
      <c r="H132" s="36"/>
      <c r="I132" s="36"/>
      <c r="AH132" s="91"/>
    </row>
    <row r="133" spans="2:34">
      <c r="H133" s="36"/>
      <c r="I133" s="36"/>
      <c r="AC133" s="88"/>
      <c r="AH133" s="91"/>
    </row>
    <row r="134" spans="2:34">
      <c r="B134" s="335"/>
      <c r="H134" s="36"/>
      <c r="I134" s="36"/>
      <c r="J134" s="335"/>
      <c r="K134" s="335"/>
      <c r="L134" s="335"/>
      <c r="M134" s="335"/>
      <c r="N134" s="335"/>
      <c r="O134" s="335"/>
      <c r="P134" s="335"/>
      <c r="Q134" s="335"/>
      <c r="R134" s="335"/>
      <c r="S134" s="335"/>
      <c r="T134" s="335"/>
      <c r="U134" s="335"/>
      <c r="V134" s="335"/>
      <c r="W134" s="335"/>
      <c r="X134" s="335"/>
      <c r="Y134" s="335"/>
      <c r="Z134" s="335"/>
      <c r="AA134" s="335"/>
      <c r="AB134" s="335"/>
      <c r="AC134" s="88"/>
      <c r="AH134" s="91"/>
    </row>
    <row r="135" spans="2:34">
      <c r="B135" s="459"/>
      <c r="H135" s="36"/>
      <c r="I135" s="36"/>
      <c r="J135" s="459"/>
      <c r="K135" s="459"/>
      <c r="L135" s="459"/>
      <c r="M135" s="459"/>
      <c r="N135" s="459"/>
      <c r="O135" s="459"/>
      <c r="P135" s="459"/>
      <c r="Q135" s="459"/>
      <c r="R135" s="459"/>
      <c r="S135" s="459"/>
      <c r="T135" s="459"/>
      <c r="U135" s="459"/>
      <c r="V135" s="459"/>
      <c r="W135" s="459"/>
      <c r="X135" s="459"/>
      <c r="Y135" s="459"/>
      <c r="Z135" s="459"/>
      <c r="AA135" s="459"/>
      <c r="AB135" s="459"/>
      <c r="AC135" s="88"/>
      <c r="AH135" s="91"/>
    </row>
    <row r="136" spans="2:34">
      <c r="H136" s="36"/>
      <c r="I136" s="36"/>
      <c r="AC136" s="88"/>
      <c r="AG136" s="91"/>
    </row>
    <row r="137" spans="2:34">
      <c r="H137" s="36"/>
      <c r="I137" s="36"/>
      <c r="AC137" s="88"/>
      <c r="AG137" s="91"/>
    </row>
    <row r="138" spans="2:34">
      <c r="H138" s="36"/>
      <c r="I138" s="36"/>
      <c r="AC138" s="88"/>
      <c r="AG138" s="91"/>
    </row>
    <row r="139" spans="2:34">
      <c r="H139" s="36"/>
      <c r="I139" s="36"/>
      <c r="AC139" s="88"/>
      <c r="AG139" s="91"/>
    </row>
    <row r="140" spans="2:34">
      <c r="H140" s="36"/>
      <c r="I140" s="36"/>
      <c r="AC140" s="88"/>
      <c r="AG140" s="91"/>
    </row>
    <row r="141" spans="2:34">
      <c r="F141" s="100"/>
      <c r="G141" s="100"/>
      <c r="H141" s="36"/>
      <c r="I141" s="36"/>
      <c r="L141" s="100"/>
      <c r="M141" s="100"/>
      <c r="AC141" s="88"/>
      <c r="AG141" s="91"/>
    </row>
    <row r="142" spans="2:34">
      <c r="H142" s="36"/>
      <c r="I142" s="36"/>
      <c r="AC142" s="88"/>
      <c r="AG142" s="91"/>
    </row>
    <row r="143" spans="2:34">
      <c r="H143" s="36"/>
      <c r="I143" s="36"/>
      <c r="AC143" s="88"/>
      <c r="AG143" s="91"/>
    </row>
    <row r="144" spans="2:34">
      <c r="H144" s="36"/>
      <c r="I144" s="36"/>
      <c r="AC144" s="88"/>
      <c r="AG144" s="91"/>
    </row>
    <row r="145" spans="8:34">
      <c r="H145" s="36"/>
      <c r="I145" s="36"/>
      <c r="AC145" s="88"/>
      <c r="AG145" s="91"/>
    </row>
    <row r="146" spans="8:34">
      <c r="H146" s="36"/>
      <c r="I146" s="36"/>
      <c r="AG146" s="91"/>
    </row>
    <row r="147" spans="8:34">
      <c r="H147" s="36"/>
      <c r="I147" s="36"/>
      <c r="J147" s="88"/>
      <c r="K147" s="88"/>
      <c r="L147" s="39"/>
      <c r="M147" s="39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G147" s="91"/>
    </row>
    <row r="148" spans="8:34">
      <c r="H148" s="36"/>
      <c r="I148" s="36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G148" s="91"/>
    </row>
    <row r="149" spans="8:34">
      <c r="H149" s="36"/>
      <c r="I149" s="36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G149" s="91"/>
    </row>
    <row r="150" spans="8:34">
      <c r="H150" s="36"/>
      <c r="I150" s="36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G150" s="91"/>
    </row>
    <row r="151" spans="8:34">
      <c r="H151" s="36"/>
      <c r="I151" s="36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G151" s="91"/>
    </row>
    <row r="152" spans="8:34">
      <c r="H152" s="36"/>
      <c r="I152" s="36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G152" s="91"/>
    </row>
    <row r="153" spans="8:34">
      <c r="H153" s="36"/>
      <c r="I153" s="36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G153" s="91"/>
    </row>
    <row r="154" spans="8:34">
      <c r="H154" s="36"/>
      <c r="I154" s="36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G154" s="91"/>
    </row>
    <row r="155" spans="8:34">
      <c r="H155" s="36"/>
      <c r="I155" s="36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G155" s="91"/>
    </row>
    <row r="156" spans="8:34">
      <c r="H156" s="36"/>
      <c r="I156" s="36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G156" s="91"/>
    </row>
    <row r="157" spans="8:34">
      <c r="H157" s="36"/>
      <c r="I157" s="36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G157" s="91"/>
    </row>
    <row r="158" spans="8:34">
      <c r="H158" s="36"/>
      <c r="I158" s="36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G158" s="91"/>
    </row>
    <row r="159" spans="8:34">
      <c r="H159" s="36"/>
      <c r="I159" s="36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G159" s="91"/>
    </row>
    <row r="160" spans="8:34">
      <c r="H160" s="36"/>
      <c r="I160" s="36"/>
      <c r="AH160" s="91"/>
    </row>
    <row r="161" spans="1:35">
      <c r="H161" s="36"/>
      <c r="I161" s="36"/>
      <c r="AI161" s="91"/>
    </row>
    <row r="162" spans="1:35">
      <c r="H162" s="36"/>
      <c r="I162" s="36"/>
      <c r="AI162" s="91"/>
    </row>
    <row r="163" spans="1:35">
      <c r="B163" s="1429"/>
      <c r="C163" s="1429"/>
      <c r="D163" s="1429"/>
      <c r="E163" s="1429"/>
      <c r="F163" s="1429"/>
      <c r="G163" s="1429"/>
      <c r="H163" s="1429"/>
      <c r="I163" s="1429"/>
      <c r="J163" s="1429"/>
      <c r="K163" s="1429"/>
      <c r="L163" s="1429"/>
      <c r="M163" s="1429"/>
      <c r="N163" s="1429"/>
      <c r="O163" s="1429"/>
      <c r="P163" s="1429"/>
      <c r="Q163" s="1429"/>
      <c r="R163" s="1429"/>
      <c r="S163" s="1429"/>
      <c r="T163" s="1429"/>
      <c r="U163" s="822"/>
      <c r="V163" s="822"/>
      <c r="W163" s="822"/>
      <c r="X163" s="822"/>
      <c r="Y163" s="822"/>
      <c r="Z163" s="822"/>
      <c r="AA163" s="822"/>
      <c r="AB163" s="822"/>
      <c r="AC163" s="822"/>
      <c r="AI163" s="91"/>
    </row>
    <row r="164" spans="1:35">
      <c r="B164" s="100"/>
      <c r="C164" s="822"/>
      <c r="D164" s="100"/>
      <c r="E164" s="100"/>
      <c r="F164" s="822"/>
      <c r="G164" s="100"/>
      <c r="H164" s="822"/>
      <c r="I164" s="100"/>
      <c r="J164" s="822"/>
      <c r="K164" s="100"/>
      <c r="L164" s="822"/>
      <c r="M164" s="100"/>
      <c r="N164" s="822"/>
      <c r="O164" s="100"/>
      <c r="P164" s="822"/>
      <c r="Q164" s="100"/>
      <c r="R164" s="822"/>
      <c r="S164" s="100"/>
      <c r="T164" s="822"/>
      <c r="U164" s="822"/>
      <c r="V164" s="822"/>
      <c r="W164" s="822"/>
      <c r="X164" s="822"/>
      <c r="Y164" s="822"/>
      <c r="Z164" s="822"/>
      <c r="AA164" s="822"/>
      <c r="AB164" s="822"/>
      <c r="AC164" s="822"/>
      <c r="AI164" s="91"/>
    </row>
    <row r="165" spans="1:35">
      <c r="H165" s="36"/>
      <c r="I165" s="36"/>
      <c r="AI165" s="91"/>
    </row>
    <row r="166" spans="1:35">
      <c r="H166" s="36"/>
      <c r="I166" s="36"/>
    </row>
    <row r="167" spans="1:35">
      <c r="H167" s="36"/>
      <c r="I167" s="36"/>
    </row>
    <row r="168" spans="1:35">
      <c r="H168" s="36"/>
      <c r="I168" s="36"/>
    </row>
    <row r="169" spans="1:35">
      <c r="A169" s="100"/>
      <c r="B169" s="100"/>
      <c r="C169" s="100"/>
      <c r="D169" s="100"/>
      <c r="E169" s="100"/>
      <c r="F169" s="100"/>
      <c r="H169" s="100"/>
      <c r="I169" s="36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  <c r="AB169" s="100"/>
      <c r="AC169" s="100"/>
    </row>
    <row r="171" spans="1:35">
      <c r="H171" s="36"/>
    </row>
    <row r="172" spans="1:35">
      <c r="H172" s="36"/>
    </row>
    <row r="173" spans="1:35">
      <c r="H173" s="36"/>
      <c r="K173" s="91"/>
      <c r="M173" s="91"/>
    </row>
    <row r="174" spans="1:35">
      <c r="H174" s="36"/>
    </row>
    <row r="177" spans="6:29">
      <c r="F177" s="91"/>
      <c r="G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</row>
  </sheetData>
  <mergeCells count="16">
    <mergeCell ref="AA122:AB122"/>
    <mergeCell ref="O122:P122"/>
    <mergeCell ref="Q122:R122"/>
    <mergeCell ref="S122:T122"/>
    <mergeCell ref="U122:V122"/>
    <mergeCell ref="W122:X122"/>
    <mergeCell ref="Y122:Z122"/>
    <mergeCell ref="M163:N163"/>
    <mergeCell ref="O163:P163"/>
    <mergeCell ref="Q163:R163"/>
    <mergeCell ref="S163:T163"/>
    <mergeCell ref="B163:C163"/>
    <mergeCell ref="D163:F163"/>
    <mergeCell ref="G163:H163"/>
    <mergeCell ref="I163:J163"/>
    <mergeCell ref="K163:L163"/>
  </mergeCells>
  <phoneticPr fontId="8" type="noConversion"/>
  <pageMargins left="0" right="0" top="0" bottom="0" header="0" footer="0"/>
  <pageSetup scale="17" orientation="landscape" r:id="rId1"/>
  <headerFooter alignWithMargins="0"/>
  <ignoredErrors>
    <ignoredError sqref="AM51 AM33 BF33:BG33 L13" formula="1"/>
  </ignoredError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284"/>
  <sheetViews>
    <sheetView topLeftCell="B1" workbookViewId="0">
      <pane xSplit="5" ySplit="3" topLeftCell="G4" activePane="bottomRight" state="frozen"/>
      <selection activeCell="B1" sqref="B1"/>
      <selection pane="topRight" activeCell="G1" sqref="G1"/>
      <selection pane="bottomLeft" activeCell="B4" sqref="B4"/>
      <selection pane="bottomRight" activeCell="B1" sqref="B1"/>
    </sheetView>
  </sheetViews>
  <sheetFormatPr defaultColWidth="8" defaultRowHeight="12.75"/>
  <cols>
    <col min="1" max="1" width="1.5703125" style="1" customWidth="1"/>
    <col min="2" max="2" width="18.5703125" style="1" bestFit="1" customWidth="1"/>
    <col min="3" max="4" width="9" style="1" hidden="1" customWidth="1"/>
    <col min="5" max="6" width="9.85546875" style="1" hidden="1" customWidth="1"/>
    <col min="7" max="7" width="10.140625" style="10" customWidth="1"/>
    <col min="8" max="8" width="10" style="10" bestFit="1" customWidth="1"/>
    <col min="9" max="12" width="10" style="1" bestFit="1" customWidth="1"/>
    <col min="13" max="13" width="10.28515625" style="1" bestFit="1" customWidth="1"/>
    <col min="14" max="16" width="10" style="1" bestFit="1" customWidth="1"/>
    <col min="17" max="18" width="10" style="10" bestFit="1" customWidth="1"/>
    <col min="19" max="19" width="13.140625" style="10" customWidth="1"/>
    <col min="20" max="20" width="12.28515625" style="10" customWidth="1"/>
    <col min="21" max="21" width="10" style="76" bestFit="1" customWidth="1"/>
    <col min="22" max="31" width="10" style="1" bestFit="1" customWidth="1"/>
    <col min="32" max="16384" width="8" style="1"/>
  </cols>
  <sheetData>
    <row r="1" spans="2:31">
      <c r="B1" s="12">
        <f>DCF!E30</f>
        <v>140.12265388031514</v>
      </c>
      <c r="S1" s="10">
        <f>2357.706/3*4</f>
        <v>3143.6080000000002</v>
      </c>
      <c r="V1" s="76"/>
      <c r="W1" s="76"/>
      <c r="X1" s="76"/>
      <c r="Y1" s="76"/>
      <c r="Z1" s="76"/>
      <c r="AA1" s="76"/>
      <c r="AB1" s="76"/>
      <c r="AC1" s="76"/>
      <c r="AD1" s="76"/>
      <c r="AE1" s="76"/>
    </row>
    <row r="2" spans="2:31">
      <c r="B2" s="1" t="s">
        <v>78</v>
      </c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V2" s="76"/>
      <c r="W2" s="76"/>
      <c r="X2" s="76"/>
      <c r="Y2" s="76"/>
      <c r="Z2" s="76"/>
      <c r="AA2" s="76"/>
      <c r="AB2" s="76"/>
      <c r="AC2" s="76"/>
      <c r="AD2" s="76"/>
      <c r="AE2" s="76"/>
    </row>
    <row r="3" spans="2:31">
      <c r="B3" s="510" t="s">
        <v>300</v>
      </c>
      <c r="C3" s="81" t="s">
        <v>146</v>
      </c>
      <c r="D3" s="81" t="s">
        <v>147</v>
      </c>
      <c r="E3" s="81" t="s">
        <v>148</v>
      </c>
      <c r="F3" s="81" t="s">
        <v>149</v>
      </c>
      <c r="G3" s="82" t="s">
        <v>150</v>
      </c>
      <c r="H3" s="82" t="s">
        <v>151</v>
      </c>
      <c r="I3" s="81" t="s">
        <v>152</v>
      </c>
      <c r="J3" s="83" t="s">
        <v>191</v>
      </c>
      <c r="K3" s="83" t="s">
        <v>154</v>
      </c>
      <c r="L3" s="83" t="s">
        <v>155</v>
      </c>
      <c r="M3" s="83" t="s">
        <v>156</v>
      </c>
      <c r="N3" s="83" t="s">
        <v>157</v>
      </c>
      <c r="O3" s="83" t="s">
        <v>158</v>
      </c>
      <c r="P3" s="83" t="s">
        <v>159</v>
      </c>
      <c r="Q3" s="85" t="s">
        <v>538</v>
      </c>
      <c r="R3" s="85" t="s">
        <v>539</v>
      </c>
      <c r="S3" s="85" t="s">
        <v>543</v>
      </c>
      <c r="T3" s="85" t="s">
        <v>560</v>
      </c>
      <c r="U3" s="86" t="s">
        <v>587</v>
      </c>
      <c r="V3" s="86" t="s">
        <v>590</v>
      </c>
      <c r="W3" s="86" t="s">
        <v>619</v>
      </c>
      <c r="X3" s="86" t="s">
        <v>620</v>
      </c>
      <c r="Y3" s="86" t="s">
        <v>621</v>
      </c>
      <c r="Z3" s="86" t="s">
        <v>622</v>
      </c>
      <c r="AA3" s="86" t="s">
        <v>623</v>
      </c>
      <c r="AB3" s="86" t="s">
        <v>624</v>
      </c>
      <c r="AC3" s="86" t="s">
        <v>625</v>
      </c>
      <c r="AD3" s="86" t="s">
        <v>626</v>
      </c>
      <c r="AE3" s="86" t="s">
        <v>627</v>
      </c>
    </row>
    <row r="4" spans="2:31">
      <c r="B4" s="510"/>
      <c r="C4" s="81"/>
      <c r="D4" s="81"/>
      <c r="E4" s="81"/>
      <c r="F4" s="83"/>
      <c r="G4" s="82"/>
      <c r="H4" s="233">
        <f>H7/Assumptions!H7</f>
        <v>170.49140000000003</v>
      </c>
      <c r="I4" s="233">
        <f>I7/Assumptions!M7</f>
        <v>173.24455172413798</v>
      </c>
      <c r="J4" s="233">
        <f>J7/Assumptions!R7</f>
        <v>176.73356521739134</v>
      </c>
      <c r="K4" s="233">
        <f>K7/Assumptions!W7</f>
        <v>178.5237340153453</v>
      </c>
      <c r="L4" s="233">
        <f>L7/Assumptions!AB7</f>
        <v>189.02594319910406</v>
      </c>
      <c r="M4" s="233">
        <f>M7/Assumptions!AG7</f>
        <v>205.51822950819673</v>
      </c>
      <c r="N4" s="233">
        <f>N7/Assumptions!AL7</f>
        <v>441.01877660727638</v>
      </c>
      <c r="O4" s="233">
        <f>O7/Assumptions!AQ7</f>
        <v>380.44744398402963</v>
      </c>
      <c r="P4" s="233">
        <f>P7/Assumptions!AT7</f>
        <v>395.60589888386909</v>
      </c>
      <c r="Q4" s="233">
        <f>Q7/Assumptions!AY7</f>
        <v>407.28555048150258</v>
      </c>
      <c r="R4" s="233">
        <f>R7/Assumptions!BD7</f>
        <v>395.88956623943437</v>
      </c>
      <c r="S4" s="10" t="s">
        <v>823</v>
      </c>
      <c r="T4" s="273">
        <f>AVERAGE(Q6,J6,I6)</f>
        <v>2.0765789306122238E-2</v>
      </c>
      <c r="V4" s="76"/>
      <c r="W4" s="76"/>
      <c r="X4" s="76"/>
      <c r="Y4" s="76"/>
      <c r="Z4" s="76"/>
      <c r="AA4" s="76"/>
      <c r="AB4" s="76"/>
      <c r="AC4" s="76"/>
      <c r="AD4" s="76"/>
      <c r="AE4" s="76"/>
    </row>
    <row r="5" spans="2:31">
      <c r="B5" s="2" t="s">
        <v>17</v>
      </c>
      <c r="C5" s="81"/>
      <c r="D5" s="81"/>
      <c r="E5" s="81"/>
      <c r="F5" s="83"/>
      <c r="G5" s="82"/>
      <c r="H5" s="233">
        <f>-H8/Assumptions!H7</f>
        <v>3.0216666666666665</v>
      </c>
      <c r="I5" s="233">
        <f>I8/Assumptions!M7</f>
        <v>1.965448275862069</v>
      </c>
      <c r="J5" s="233">
        <f>J8/Assumptions!R7</f>
        <v>5.3606434782608696</v>
      </c>
      <c r="K5" s="233">
        <f>K8/Assumptions!W7</f>
        <v>14.282728047740836</v>
      </c>
      <c r="L5" s="233">
        <f>L8/Assumptions!AB7</f>
        <v>20.535797268609063</v>
      </c>
      <c r="M5" s="233">
        <f>M8/Assumptions!AG7</f>
        <v>247.01988524590163</v>
      </c>
      <c r="N5" s="233">
        <f>N8/Assumptions!AL7</f>
        <v>34.540528372760598</v>
      </c>
      <c r="O5" s="233">
        <f>O8/Assumptions!AQ7</f>
        <v>34.938749844032849</v>
      </c>
      <c r="P5" s="233">
        <f>P8/Assumptions!AT7</f>
        <v>28.542347417000318</v>
      </c>
      <c r="Q5" s="233">
        <f>Q8/Assumptions!AY7</f>
        <v>8.3984940699034887</v>
      </c>
      <c r="R5" s="233">
        <f>R8/Assumptions!BD7</f>
        <v>22.40680205477161</v>
      </c>
      <c r="V5" s="76"/>
      <c r="W5" s="76"/>
      <c r="X5" s="76"/>
      <c r="Y5" s="76"/>
      <c r="Z5" s="76"/>
      <c r="AA5" s="76"/>
      <c r="AB5" s="76"/>
      <c r="AC5" s="76"/>
      <c r="AD5" s="76"/>
      <c r="AE5" s="76"/>
    </row>
    <row r="6" spans="2:31">
      <c r="G6" s="45">
        <f>G8/G7</f>
        <v>0.11962536299362858</v>
      </c>
      <c r="H6" s="45">
        <f>-H8/H7</f>
        <v>1.7723279101858894E-2</v>
      </c>
      <c r="I6" s="45">
        <f t="shared" ref="I6:R6" si="0">I8/I7</f>
        <v>1.1344935562485716E-2</v>
      </c>
      <c r="J6" s="45">
        <f t="shared" si="0"/>
        <v>3.0331779204855646E-2</v>
      </c>
      <c r="K6" s="45">
        <f t="shared" si="0"/>
        <v>8.0004645469230112E-2</v>
      </c>
      <c r="L6" s="45">
        <f t="shared" si="0"/>
        <v>0.10864009945438219</v>
      </c>
      <c r="M6" s="45">
        <f t="shared" si="0"/>
        <v>1.2019366157299913</v>
      </c>
      <c r="N6" s="45">
        <f t="shared" si="0"/>
        <v>7.8319858937703823E-2</v>
      </c>
      <c r="O6" s="45">
        <f t="shared" si="0"/>
        <v>9.1835943167749345E-2</v>
      </c>
      <c r="P6" s="45">
        <f t="shared" si="0"/>
        <v>7.2148437365386661E-2</v>
      </c>
      <c r="Q6" s="45">
        <f t="shared" si="0"/>
        <v>2.0620653151025348E-2</v>
      </c>
      <c r="R6" s="45">
        <f t="shared" si="0"/>
        <v>5.6598617305362267E-2</v>
      </c>
      <c r="T6" s="273">
        <f>AVERAGE(Q6,J6,I6,H6)</f>
        <v>2.0005161755056403E-2</v>
      </c>
      <c r="V6" s="76"/>
      <c r="W6" s="76"/>
      <c r="X6" s="76"/>
      <c r="Y6" s="76"/>
      <c r="Z6" s="76"/>
      <c r="AA6" s="76"/>
      <c r="AB6" s="76"/>
      <c r="AC6" s="76"/>
      <c r="AD6" s="76"/>
      <c r="AE6" s="76"/>
    </row>
    <row r="7" spans="2:31">
      <c r="B7" s="1" t="s">
        <v>301</v>
      </c>
      <c r="C7" s="36">
        <v>1685.403</v>
      </c>
      <c r="D7" s="36">
        <f t="shared" ref="D7:AE7" si="1">C10</f>
        <v>1800.9449999999999</v>
      </c>
      <c r="E7" s="36">
        <f t="shared" si="1"/>
        <v>8193.8550000000014</v>
      </c>
      <c r="F7" s="36">
        <f t="shared" si="1"/>
        <v>8779.6720000000023</v>
      </c>
      <c r="G7" s="92">
        <f t="shared" si="1"/>
        <v>9136.5240000000031</v>
      </c>
      <c r="H7" s="92">
        <f t="shared" si="1"/>
        <v>10229.484000000002</v>
      </c>
      <c r="I7" s="511">
        <f t="shared" si="1"/>
        <v>10048.184000000003</v>
      </c>
      <c r="J7" s="511">
        <f t="shared" si="1"/>
        <v>10162.180000000002</v>
      </c>
      <c r="K7" s="511">
        <f t="shared" si="1"/>
        <v>10470.417000000001</v>
      </c>
      <c r="L7" s="511">
        <f t="shared" si="1"/>
        <v>11308.099000000002</v>
      </c>
      <c r="M7" s="511">
        <f t="shared" si="1"/>
        <v>12536.612000000001</v>
      </c>
      <c r="N7" s="511">
        <f t="shared" si="1"/>
        <v>27604.825000000001</v>
      </c>
      <c r="O7" s="511">
        <f t="shared" si="1"/>
        <v>29766.831000000002</v>
      </c>
      <c r="P7" s="511">
        <f t="shared" si="1"/>
        <v>32500.496000000003</v>
      </c>
      <c r="Q7" s="811">
        <f t="shared" si="1"/>
        <v>34845.356</v>
      </c>
      <c r="R7" s="811">
        <f t="shared" si="1"/>
        <v>35563.89</v>
      </c>
      <c r="S7" s="1324">
        <f>R10</f>
        <v>37576.756999999998</v>
      </c>
      <c r="T7" s="1324">
        <f t="shared" si="1"/>
        <v>41190.782999999996</v>
      </c>
      <c r="U7" s="596">
        <f t="shared" si="1"/>
        <v>44561.533999999992</v>
      </c>
      <c r="V7" s="596">
        <f t="shared" si="1"/>
        <v>45452.994695723435</v>
      </c>
      <c r="W7" s="596">
        <f t="shared" si="1"/>
        <v>46362.289206863104</v>
      </c>
      <c r="X7" s="596">
        <f t="shared" si="1"/>
        <v>47289.774301781108</v>
      </c>
      <c r="Y7" s="596">
        <f t="shared" si="1"/>
        <v>48235.813886048345</v>
      </c>
      <c r="Z7" s="596">
        <f t="shared" si="1"/>
        <v>49200.779145225541</v>
      </c>
      <c r="AA7" s="596">
        <f t="shared" si="1"/>
        <v>50185.048690500582</v>
      </c>
      <c r="AB7" s="596">
        <f t="shared" si="1"/>
        <v>51189.008707239431</v>
      </c>
      <c r="AC7" s="596">
        <f t="shared" si="1"/>
        <v>52213.053106508749</v>
      </c>
      <c r="AD7" s="596">
        <f t="shared" si="1"/>
        <v>53257.58367962981</v>
      </c>
      <c r="AE7" s="596">
        <f t="shared" si="1"/>
        <v>54323.010255824258</v>
      </c>
    </row>
    <row r="8" spans="2:31" s="922" customFormat="1">
      <c r="B8" s="922" t="s">
        <v>302</v>
      </c>
      <c r="C8" s="922">
        <f>118.552-3.01</f>
        <v>115.542</v>
      </c>
      <c r="D8" s="922">
        <f>6416.283-23.373</f>
        <v>6392.9100000000008</v>
      </c>
      <c r="E8" s="922">
        <f>604.868-19.051</f>
        <v>585.81700000000001</v>
      </c>
      <c r="F8" s="922">
        <f>310.048+58.787-11.983</f>
        <v>356.85199999999998</v>
      </c>
      <c r="G8" s="922">
        <f>1141.812-48.852</f>
        <v>1092.9599999999998</v>
      </c>
      <c r="H8" s="922">
        <f>41.734-223.034</f>
        <v>-181.29999999999998</v>
      </c>
      <c r="I8" s="922">
        <f>231.912-134.642+16.726</f>
        <v>113.99600000000001</v>
      </c>
      <c r="J8" s="922">
        <f>230.947-12.928+90.218</f>
        <v>308.23700000000002</v>
      </c>
      <c r="K8" s="922">
        <f>848.544-13.429+2.567</f>
        <v>837.68200000000002</v>
      </c>
      <c r="L8" s="922">
        <f>1235.686-14.961+7.788</f>
        <v>1228.5129999999999</v>
      </c>
      <c r="M8" s="922">
        <f>14947.469-26.259+147.003</f>
        <v>15068.213</v>
      </c>
      <c r="N8" s="922">
        <f>2126.86-29.702-59.951+124.799</f>
        <v>2162.0059999999999</v>
      </c>
      <c r="O8" s="920">
        <f>2733.729-5.11+5.046</f>
        <v>2733.6649999999995</v>
      </c>
      <c r="P8" s="920">
        <f>2364.052-19.192</f>
        <v>2344.86</v>
      </c>
      <c r="Q8" s="920">
        <f>764.442-45.908</f>
        <v>718.53399999999999</v>
      </c>
      <c r="R8" s="920">
        <f>2039.5-26.633</f>
        <v>2012.867</v>
      </c>
      <c r="S8" s="26">
        <f>3750.42-136.394</f>
        <v>3614.0259999999998</v>
      </c>
      <c r="T8" s="26">
        <f>3465.403-94.652</f>
        <v>3370.7509999999997</v>
      </c>
      <c r="U8" s="920">
        <f>$T$6*U7</f>
        <v>891.46069572344538</v>
      </c>
      <c r="V8" s="920">
        <f t="shared" ref="V8:AE8" si="2">$T$6*V7</f>
        <v>909.29451113966797</v>
      </c>
      <c r="W8" s="920">
        <f t="shared" si="2"/>
        <v>927.48509491800201</v>
      </c>
      <c r="X8" s="920">
        <f t="shared" si="2"/>
        <v>946.03958426724057</v>
      </c>
      <c r="Y8" s="920">
        <f t="shared" si="2"/>
        <v>964.96525917719293</v>
      </c>
      <c r="Z8" s="920">
        <f t="shared" si="2"/>
        <v>984.26954527504267</v>
      </c>
      <c r="AA8" s="920">
        <f t="shared" si="2"/>
        <v>1003.9600167388456</v>
      </c>
      <c r="AB8" s="920">
        <f t="shared" si="2"/>
        <v>1024.0443992693156</v>
      </c>
      <c r="AC8" s="920">
        <f t="shared" si="2"/>
        <v>1044.5305731210578</v>
      </c>
      <c r="AD8" s="920">
        <f t="shared" si="2"/>
        <v>1065.4265761944464</v>
      </c>
      <c r="AE8" s="920">
        <f t="shared" si="2"/>
        <v>1086.7406071893522</v>
      </c>
    </row>
    <row r="9" spans="2:31" s="36" customFormat="1">
      <c r="B9" s="36" t="s">
        <v>250</v>
      </c>
      <c r="G9" s="92"/>
      <c r="H9" s="92"/>
      <c r="I9" s="92"/>
      <c r="J9" s="92">
        <v>1126.1079999999999</v>
      </c>
      <c r="K9" s="92">
        <v>3983.1750000000002</v>
      </c>
      <c r="L9" s="92">
        <v>11759.677</v>
      </c>
      <c r="M9" s="92">
        <v>1907.0630000000001</v>
      </c>
      <c r="N9" s="92">
        <v>2488.3069999999998</v>
      </c>
      <c r="O9" s="92">
        <v>1750.2080000000001</v>
      </c>
      <c r="P9" s="92">
        <v>465.65</v>
      </c>
      <c r="Q9" s="92">
        <v>1373.82</v>
      </c>
      <c r="R9" s="92"/>
      <c r="S9" s="92"/>
      <c r="T9" s="92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</row>
    <row r="10" spans="2:31">
      <c r="B10" s="1" t="s">
        <v>303</v>
      </c>
      <c r="C10" s="36">
        <f t="shared" ref="C10:H10" si="3">+C7+C8</f>
        <v>1800.9449999999999</v>
      </c>
      <c r="D10" s="36">
        <f t="shared" si="3"/>
        <v>8193.8550000000014</v>
      </c>
      <c r="E10" s="36">
        <f t="shared" si="3"/>
        <v>8779.6720000000023</v>
      </c>
      <c r="F10" s="36">
        <f t="shared" si="3"/>
        <v>9136.5240000000031</v>
      </c>
      <c r="G10" s="92">
        <f t="shared" si="3"/>
        <v>10229.484000000002</v>
      </c>
      <c r="H10" s="92">
        <f t="shared" si="3"/>
        <v>10048.184000000003</v>
      </c>
      <c r="I10" s="511">
        <f t="shared" ref="I10:P10" si="4">+I7+I8</f>
        <v>10162.180000000002</v>
      </c>
      <c r="J10" s="511">
        <f t="shared" si="4"/>
        <v>10470.417000000001</v>
      </c>
      <c r="K10" s="511">
        <f>+K7+K8</f>
        <v>11308.099000000002</v>
      </c>
      <c r="L10" s="511">
        <f>+L7+L8</f>
        <v>12536.612000000001</v>
      </c>
      <c r="M10" s="511">
        <f>+M7+M8</f>
        <v>27604.825000000001</v>
      </c>
      <c r="N10" s="511">
        <f t="shared" si="4"/>
        <v>29766.831000000002</v>
      </c>
      <c r="O10" s="511">
        <f t="shared" si="4"/>
        <v>32500.496000000003</v>
      </c>
      <c r="P10" s="511">
        <f t="shared" si="4"/>
        <v>34845.356</v>
      </c>
      <c r="Q10" s="811">
        <f>+Q7+Q8</f>
        <v>35563.89</v>
      </c>
      <c r="R10" s="811">
        <f>R7+R8+R9</f>
        <v>37576.756999999998</v>
      </c>
      <c r="S10" s="811">
        <f>S7+S8+S9</f>
        <v>41190.782999999996</v>
      </c>
      <c r="T10" s="811">
        <f>T7+T8</f>
        <v>44561.533999999992</v>
      </c>
      <c r="U10" s="596">
        <f>U7+U8</f>
        <v>45452.994695723435</v>
      </c>
      <c r="V10" s="596">
        <f t="shared" ref="V10:AE10" si="5">V7+V8</f>
        <v>46362.289206863104</v>
      </c>
      <c r="W10" s="596">
        <f t="shared" si="5"/>
        <v>47289.774301781108</v>
      </c>
      <c r="X10" s="596">
        <f t="shared" si="5"/>
        <v>48235.813886048345</v>
      </c>
      <c r="Y10" s="596">
        <f t="shared" si="5"/>
        <v>49200.779145225541</v>
      </c>
      <c r="Z10" s="596">
        <f t="shared" si="5"/>
        <v>50185.048690500582</v>
      </c>
      <c r="AA10" s="596">
        <f t="shared" si="5"/>
        <v>51189.008707239431</v>
      </c>
      <c r="AB10" s="596">
        <f t="shared" si="5"/>
        <v>52213.053106508749</v>
      </c>
      <c r="AC10" s="596">
        <f t="shared" si="5"/>
        <v>53257.58367962981</v>
      </c>
      <c r="AD10" s="596">
        <f t="shared" si="5"/>
        <v>54323.010255824258</v>
      </c>
      <c r="AE10" s="596">
        <f t="shared" si="5"/>
        <v>55409.750863013607</v>
      </c>
    </row>
    <row r="11" spans="2:31">
      <c r="C11" s="36"/>
      <c r="D11" s="36"/>
      <c r="E11" s="36"/>
      <c r="L11" s="12"/>
      <c r="R11" s="31"/>
      <c r="V11" s="76"/>
      <c r="W11" s="76"/>
      <c r="X11" s="76"/>
      <c r="Y11" s="76"/>
      <c r="Z11" s="76"/>
      <c r="AA11" s="76"/>
      <c r="AB11" s="76"/>
      <c r="AC11" s="76"/>
      <c r="AD11" s="76"/>
      <c r="AE11" s="76"/>
    </row>
    <row r="12" spans="2:31">
      <c r="B12" s="1" t="s">
        <v>304</v>
      </c>
      <c r="C12" s="34">
        <f>+C15/C10</f>
        <v>5.5671883372340636E-2</v>
      </c>
      <c r="D12" s="34">
        <f>+D15/D10</f>
        <v>1.7717667691214935E-2</v>
      </c>
      <c r="E12" s="34">
        <f>+E15/E10</f>
        <v>8.6858711806090227E-2</v>
      </c>
      <c r="F12" s="34">
        <f>+F15/F10</f>
        <v>7.759986182929085E-2</v>
      </c>
      <c r="G12" s="260">
        <f t="shared" ref="G12:L12" si="6">+G15/(G10-G16)</f>
        <v>0.10030548911056006</v>
      </c>
      <c r="H12" s="260">
        <f t="shared" si="6"/>
        <v>4.537921525763975E-2</v>
      </c>
      <c r="I12" s="260">
        <f t="shared" si="6"/>
        <v>4.718534422463154E-2</v>
      </c>
      <c r="J12" s="260">
        <f t="shared" si="6"/>
        <v>5.1192191920531274E-2</v>
      </c>
      <c r="K12" s="260">
        <f>+K15/(K10-K16)</f>
        <v>4.8928868544948032E-2</v>
      </c>
      <c r="L12" s="260">
        <f t="shared" si="6"/>
        <v>4.4436322029049992E-2</v>
      </c>
      <c r="M12" s="260">
        <f t="shared" ref="M12:AE12" si="7">+M15/(AVERAGE(L10:M10)-AVERAGE(L16:M16))</f>
        <v>3.1490080374482449E-2</v>
      </c>
      <c r="N12" s="260">
        <f t="shared" si="7"/>
        <v>5.8016202564853861E-2</v>
      </c>
      <c r="O12" s="260">
        <f t="shared" si="7"/>
        <v>5.4764330526247899E-2</v>
      </c>
      <c r="P12" s="260">
        <f t="shared" si="7"/>
        <v>5.3149054089548745E-2</v>
      </c>
      <c r="Q12" s="260">
        <f t="shared" si="7"/>
        <v>5.4268029875813625E-2</v>
      </c>
      <c r="R12" s="260">
        <f t="shared" si="7"/>
        <v>5.4993528238070889E-2</v>
      </c>
      <c r="S12" s="260">
        <f t="shared" si="7"/>
        <v>5.6927146760912456E-2</v>
      </c>
      <c r="T12" s="260">
        <f t="shared" si="7"/>
        <v>6.0166329463897619E-2</v>
      </c>
      <c r="U12" s="260">
        <f t="shared" si="7"/>
        <v>5.7812025766832482E-2</v>
      </c>
      <c r="V12" s="260">
        <f t="shared" si="7"/>
        <v>6.0664848494261611E-2</v>
      </c>
      <c r="W12" s="260">
        <f t="shared" si="7"/>
        <v>6.3717126182773962E-2</v>
      </c>
      <c r="X12" s="260">
        <f t="shared" si="7"/>
        <v>6.7023177325416516E-2</v>
      </c>
      <c r="Y12" s="260">
        <f t="shared" si="7"/>
        <v>7.0615288383654815E-2</v>
      </c>
      <c r="Z12" s="260">
        <f t="shared" si="7"/>
        <v>7.4531462730384662E-2</v>
      </c>
      <c r="AA12" s="260">
        <f t="shared" si="7"/>
        <v>7.8816744717254097E-2</v>
      </c>
      <c r="AB12" s="260">
        <f t="shared" si="7"/>
        <v>8.3524929610180251E-2</v>
      </c>
      <c r="AC12" s="260">
        <f t="shared" si="7"/>
        <v>8.8720797284781272E-2</v>
      </c>
      <c r="AD12" s="260">
        <f t="shared" si="7"/>
        <v>9.4483066918741365E-2</v>
      </c>
      <c r="AE12" s="260">
        <f t="shared" si="7"/>
        <v>0.10090835963047227</v>
      </c>
    </row>
    <row r="13" spans="2:31">
      <c r="C13" s="36"/>
      <c r="D13" s="36"/>
      <c r="E13" s="36"/>
      <c r="F13" s="36"/>
      <c r="G13" s="92"/>
      <c r="H13" s="92"/>
      <c r="I13" s="512">
        <f t="shared" ref="I13:S13" si="8">I15/I10</f>
        <v>2.9906968780320755E-2</v>
      </c>
      <c r="J13" s="512">
        <f t="shared" si="8"/>
        <v>3.1563212811867948E-2</v>
      </c>
      <c r="K13" s="605">
        <f t="shared" si="8"/>
        <v>3.0140079247625965E-2</v>
      </c>
      <c r="L13" s="605">
        <f t="shared" si="8"/>
        <v>2.7880339600523645E-2</v>
      </c>
      <c r="M13" s="605">
        <f t="shared" si="8"/>
        <v>1.7371093640332805E-2</v>
      </c>
      <c r="N13" s="605">
        <f t="shared" si="8"/>
        <v>4.5674831828755973E-2</v>
      </c>
      <c r="O13" s="605">
        <f t="shared" si="8"/>
        <v>4.211828028716854E-2</v>
      </c>
      <c r="P13" s="605">
        <f t="shared" si="8"/>
        <v>3.9964120326392995E-2</v>
      </c>
      <c r="Q13" s="812">
        <f t="shared" si="8"/>
        <v>4.0220853230622411E-2</v>
      </c>
      <c r="R13" s="812">
        <f t="shared" si="8"/>
        <v>3.8526794635311397E-2</v>
      </c>
      <c r="S13" s="812">
        <f t="shared" si="8"/>
        <v>3.830359330629865E-2</v>
      </c>
      <c r="T13" s="812">
        <v>3.85E-2</v>
      </c>
      <c r="U13" s="606">
        <f t="shared" ref="U13:AE13" si="9">T13</f>
        <v>3.85E-2</v>
      </c>
      <c r="V13" s="606">
        <f t="shared" si="9"/>
        <v>3.85E-2</v>
      </c>
      <c r="W13" s="606">
        <f t="shared" si="9"/>
        <v>3.85E-2</v>
      </c>
      <c r="X13" s="606">
        <f t="shared" si="9"/>
        <v>3.85E-2</v>
      </c>
      <c r="Y13" s="606">
        <f t="shared" si="9"/>
        <v>3.85E-2</v>
      </c>
      <c r="Z13" s="606">
        <f t="shared" si="9"/>
        <v>3.85E-2</v>
      </c>
      <c r="AA13" s="606">
        <f t="shared" si="9"/>
        <v>3.85E-2</v>
      </c>
      <c r="AB13" s="606">
        <f t="shared" si="9"/>
        <v>3.85E-2</v>
      </c>
      <c r="AC13" s="606">
        <f t="shared" si="9"/>
        <v>3.85E-2</v>
      </c>
      <c r="AD13" s="606">
        <f t="shared" si="9"/>
        <v>3.85E-2</v>
      </c>
      <c r="AE13" s="606">
        <f t="shared" si="9"/>
        <v>3.85E-2</v>
      </c>
    </row>
    <row r="14" spans="2:31">
      <c r="C14" s="36"/>
      <c r="D14" s="36"/>
      <c r="E14" s="36"/>
      <c r="F14" s="36"/>
      <c r="G14" s="92"/>
      <c r="H14" s="92"/>
      <c r="K14" s="12"/>
      <c r="V14" s="76"/>
      <c r="W14" s="76"/>
      <c r="X14" s="76"/>
      <c r="Y14" s="76"/>
      <c r="Z14" s="76"/>
      <c r="AA14" s="76"/>
      <c r="AB14" s="76"/>
      <c r="AC14" s="76"/>
      <c r="AD14" s="76"/>
      <c r="AE14" s="76"/>
    </row>
    <row r="15" spans="2:31">
      <c r="B15" s="1" t="s">
        <v>305</v>
      </c>
      <c r="C15" s="36">
        <v>100.262</v>
      </c>
      <c r="D15" s="36">
        <v>145.17599999999999</v>
      </c>
      <c r="E15" s="36">
        <f>767.624-5.033</f>
        <v>762.59100000000001</v>
      </c>
      <c r="F15" s="36">
        <f>715.993-7</f>
        <v>708.99300000000005</v>
      </c>
      <c r="G15" s="92">
        <f>755.388</f>
        <v>755.38800000000003</v>
      </c>
      <c r="H15" s="92">
        <f>300.627</f>
        <v>300.62700000000001</v>
      </c>
      <c r="I15" s="511">
        <f>303.92</f>
        <v>303.92</v>
      </c>
      <c r="J15" s="511">
        <f>330.48</f>
        <v>330.48</v>
      </c>
      <c r="K15" s="513">
        <f>340.827</f>
        <v>340.827</v>
      </c>
      <c r="L15" s="513">
        <v>349.52499999999998</v>
      </c>
      <c r="M15" s="513">
        <v>479.52600000000001</v>
      </c>
      <c r="N15" s="513">
        <v>1359.595</v>
      </c>
      <c r="O15" s="513">
        <v>1368.865</v>
      </c>
      <c r="P15" s="513">
        <v>1392.5640000000001</v>
      </c>
      <c r="Q15" s="813">
        <f>1430.41</f>
        <v>1430.41</v>
      </c>
      <c r="R15" s="813">
        <v>1447.712</v>
      </c>
      <c r="S15" s="813">
        <v>1577.7550000000001</v>
      </c>
      <c r="T15" s="813">
        <f>1790.002</f>
        <v>1790.002</v>
      </c>
      <c r="U15" s="598">
        <f t="shared" ref="U15:AE15" si="10">+U13*U10</f>
        <v>1749.9402957853522</v>
      </c>
      <c r="V15" s="598">
        <f t="shared" si="10"/>
        <v>1784.9481344642295</v>
      </c>
      <c r="W15" s="598">
        <f t="shared" si="10"/>
        <v>1820.6563106185727</v>
      </c>
      <c r="X15" s="598">
        <f t="shared" si="10"/>
        <v>1857.0788346128613</v>
      </c>
      <c r="Y15" s="598">
        <f t="shared" si="10"/>
        <v>1894.2299970911833</v>
      </c>
      <c r="Z15" s="598">
        <f t="shared" si="10"/>
        <v>1932.1243745842723</v>
      </c>
      <c r="AA15" s="598">
        <f t="shared" si="10"/>
        <v>1970.776835228718</v>
      </c>
      <c r="AB15" s="598">
        <f t="shared" si="10"/>
        <v>2010.2025446005869</v>
      </c>
      <c r="AC15" s="598">
        <f t="shared" si="10"/>
        <v>2050.4169716657475</v>
      </c>
      <c r="AD15" s="598">
        <f t="shared" si="10"/>
        <v>2091.435894849234</v>
      </c>
      <c r="AE15" s="598">
        <f t="shared" si="10"/>
        <v>2133.275408226024</v>
      </c>
    </row>
    <row r="16" spans="2:31">
      <c r="B16" s="1" t="s">
        <v>306</v>
      </c>
      <c r="C16" s="36"/>
      <c r="D16" s="36">
        <f>C18</f>
        <v>996.89800000000002</v>
      </c>
      <c r="E16" s="36">
        <f>D18</f>
        <v>1142.0740000000001</v>
      </c>
      <c r="F16" s="36">
        <f>E18+89.016</f>
        <v>1989.6170000000002</v>
      </c>
      <c r="G16" s="92">
        <f t="shared" ref="G16:AE16" si="11">F18</f>
        <v>2698.61</v>
      </c>
      <c r="H16" s="92">
        <f t="shared" si="11"/>
        <v>3423.4110000000001</v>
      </c>
      <c r="I16" s="511">
        <f t="shared" si="11"/>
        <v>3721.1970000000001</v>
      </c>
      <c r="J16" s="511">
        <f t="shared" si="11"/>
        <v>4014.7450000000003</v>
      </c>
      <c r="K16" s="511">
        <f t="shared" si="11"/>
        <v>4342.3340000000007</v>
      </c>
      <c r="L16" s="511">
        <f t="shared" si="11"/>
        <v>4670.862000000001</v>
      </c>
      <c r="M16" s="511">
        <f t="shared" si="11"/>
        <v>5014.889000000001</v>
      </c>
      <c r="N16" s="511">
        <f t="shared" si="11"/>
        <v>5487.2740000000013</v>
      </c>
      <c r="O16" s="511">
        <f t="shared" si="11"/>
        <v>6788.9370000000017</v>
      </c>
      <c r="P16" s="511">
        <f t="shared" si="11"/>
        <v>8154.7030000000013</v>
      </c>
      <c r="Q16" s="811">
        <f t="shared" si="11"/>
        <v>9538.0540000000019</v>
      </c>
      <c r="R16" s="811">
        <f t="shared" si="11"/>
        <v>10952.325000000003</v>
      </c>
      <c r="S16" s="1324">
        <f>R18+0.001</f>
        <v>12384.543000000001</v>
      </c>
      <c r="T16" s="811">
        <f>S18</f>
        <v>13865.989000000003</v>
      </c>
      <c r="U16" s="596">
        <f t="shared" si="11"/>
        <v>15609.568000000003</v>
      </c>
      <c r="V16" s="596">
        <f t="shared" si="11"/>
        <v>17359.508295785356</v>
      </c>
      <c r="W16" s="596">
        <f t="shared" si="11"/>
        <v>19144.456430249586</v>
      </c>
      <c r="X16" s="596">
        <f t="shared" si="11"/>
        <v>20965.112740868157</v>
      </c>
      <c r="Y16" s="596">
        <f t="shared" si="11"/>
        <v>22822.191575481018</v>
      </c>
      <c r="Z16" s="596">
        <f t="shared" si="11"/>
        <v>24716.421572572202</v>
      </c>
      <c r="AA16" s="596">
        <f t="shared" si="11"/>
        <v>26648.545947156475</v>
      </c>
      <c r="AB16" s="596">
        <f t="shared" si="11"/>
        <v>28619.322782385192</v>
      </c>
      <c r="AC16" s="596">
        <f t="shared" si="11"/>
        <v>30629.525326985779</v>
      </c>
      <c r="AD16" s="596">
        <f t="shared" si="11"/>
        <v>32679.942298651527</v>
      </c>
      <c r="AE16" s="596">
        <f t="shared" si="11"/>
        <v>34771.378193500765</v>
      </c>
    </row>
    <row r="17" spans="2:31">
      <c r="B17" s="1" t="s">
        <v>334</v>
      </c>
      <c r="C17" s="36"/>
      <c r="D17" s="36"/>
      <c r="E17" s="36"/>
      <c r="F17" s="36"/>
      <c r="G17" s="92">
        <v>30.587</v>
      </c>
      <c r="H17" s="92">
        <v>2.8410000000000002</v>
      </c>
      <c r="I17" s="511">
        <v>10.372</v>
      </c>
      <c r="J17" s="511">
        <v>2.891</v>
      </c>
      <c r="K17" s="511">
        <v>12.298999999999999</v>
      </c>
      <c r="L17" s="511">
        <v>5.4980000000000002</v>
      </c>
      <c r="M17" s="511">
        <v>7.141</v>
      </c>
      <c r="N17" s="511">
        <f>7.715+50.217</f>
        <v>57.932000000000002</v>
      </c>
      <c r="O17" s="511">
        <v>3.0990000000000002</v>
      </c>
      <c r="P17" s="511">
        <v>9.2129999999999992</v>
      </c>
      <c r="Q17" s="811">
        <v>16.138999999999999</v>
      </c>
      <c r="R17" s="811">
        <v>15.494999999999999</v>
      </c>
      <c r="S17" s="811">
        <v>96.308999999999997</v>
      </c>
      <c r="T17" s="811">
        <v>46.423000000000002</v>
      </c>
      <c r="U17" s="596"/>
      <c r="V17" s="596"/>
      <c r="W17" s="596"/>
      <c r="X17" s="596"/>
      <c r="Y17" s="596"/>
      <c r="Z17" s="596"/>
      <c r="AA17" s="596"/>
      <c r="AB17" s="596"/>
      <c r="AC17" s="596"/>
      <c r="AD17" s="596"/>
      <c r="AE17" s="596"/>
    </row>
    <row r="18" spans="2:31">
      <c r="B18" s="1" t="s">
        <v>307</v>
      </c>
      <c r="C18" s="36">
        <v>996.89800000000002</v>
      </c>
      <c r="D18" s="36">
        <f>D15+D16</f>
        <v>1142.0740000000001</v>
      </c>
      <c r="E18" s="36">
        <v>1900.6010000000001</v>
      </c>
      <c r="F18" s="36">
        <f>F15+F16</f>
        <v>2698.61</v>
      </c>
      <c r="G18" s="92">
        <f t="shared" ref="G18:L18" si="12">G15+G16-G17</f>
        <v>3423.4110000000001</v>
      </c>
      <c r="H18" s="92">
        <f t="shared" si="12"/>
        <v>3721.1970000000001</v>
      </c>
      <c r="I18" s="92">
        <f t="shared" si="12"/>
        <v>4014.7450000000003</v>
      </c>
      <c r="J18" s="92">
        <f t="shared" si="12"/>
        <v>4342.3340000000007</v>
      </c>
      <c r="K18" s="92">
        <f>K15+K16-K17</f>
        <v>4670.862000000001</v>
      </c>
      <c r="L18" s="92">
        <f t="shared" si="12"/>
        <v>5014.889000000001</v>
      </c>
      <c r="M18" s="511">
        <f t="shared" ref="M18:U18" si="13">M15+M16-M17</f>
        <v>5487.2740000000013</v>
      </c>
      <c r="N18" s="511">
        <f t="shared" si="13"/>
        <v>6788.9370000000017</v>
      </c>
      <c r="O18" s="511">
        <f t="shared" si="13"/>
        <v>8154.7030000000013</v>
      </c>
      <c r="P18" s="511">
        <f t="shared" si="13"/>
        <v>9538.0540000000019</v>
      </c>
      <c r="Q18" s="811">
        <f t="shared" si="13"/>
        <v>10952.325000000003</v>
      </c>
      <c r="R18" s="811">
        <f t="shared" si="13"/>
        <v>12384.542000000001</v>
      </c>
      <c r="S18" s="1323">
        <f>S15+S16-S17</f>
        <v>13865.989000000003</v>
      </c>
      <c r="T18" s="1322">
        <f>T15+T16-T17</f>
        <v>15609.568000000003</v>
      </c>
      <c r="U18" s="596">
        <f t="shared" si="13"/>
        <v>17359.508295785356</v>
      </c>
      <c r="V18" s="596">
        <f t="shared" ref="V18:AE18" si="14">V15+V16-V17</f>
        <v>19144.456430249586</v>
      </c>
      <c r="W18" s="596">
        <f t="shared" si="14"/>
        <v>20965.112740868157</v>
      </c>
      <c r="X18" s="596">
        <f t="shared" si="14"/>
        <v>22822.191575481018</v>
      </c>
      <c r="Y18" s="596">
        <f t="shared" si="14"/>
        <v>24716.421572572202</v>
      </c>
      <c r="Z18" s="596">
        <f t="shared" si="14"/>
        <v>26648.545947156475</v>
      </c>
      <c r="AA18" s="596">
        <f t="shared" si="14"/>
        <v>28619.322782385192</v>
      </c>
      <c r="AB18" s="596">
        <f t="shared" si="14"/>
        <v>30629.525326985779</v>
      </c>
      <c r="AC18" s="596">
        <f t="shared" si="14"/>
        <v>32679.942298651527</v>
      </c>
      <c r="AD18" s="596">
        <f t="shared" si="14"/>
        <v>34771.378193500765</v>
      </c>
      <c r="AE18" s="596">
        <f t="shared" si="14"/>
        <v>36904.653601726786</v>
      </c>
    </row>
    <row r="19" spans="2:31">
      <c r="C19" s="36"/>
      <c r="D19" s="36"/>
      <c r="E19" s="36"/>
      <c r="F19" s="36"/>
      <c r="G19" s="92"/>
      <c r="H19" s="92"/>
      <c r="I19" s="511"/>
      <c r="J19" s="511"/>
      <c r="K19" s="511"/>
      <c r="L19" s="511"/>
      <c r="M19" s="511"/>
      <c r="N19" s="511"/>
      <c r="O19" s="511"/>
      <c r="P19" s="511"/>
      <c r="Q19" s="811"/>
      <c r="R19" s="811"/>
      <c r="S19" s="811"/>
      <c r="T19" s="811"/>
      <c r="U19" s="596"/>
      <c r="V19" s="596"/>
      <c r="W19" s="596"/>
      <c r="X19" s="596"/>
      <c r="Y19" s="596"/>
      <c r="Z19" s="596"/>
      <c r="AA19" s="596"/>
      <c r="AB19" s="596"/>
      <c r="AC19" s="596"/>
      <c r="AD19" s="596"/>
      <c r="AE19" s="596"/>
    </row>
    <row r="20" spans="2:31">
      <c r="B20" s="1" t="s">
        <v>308</v>
      </c>
      <c r="C20" s="36">
        <f t="shared" ref="C20:H20" si="15">+C10-C18</f>
        <v>804.04699999999991</v>
      </c>
      <c r="D20" s="36">
        <f t="shared" si="15"/>
        <v>7051.7810000000009</v>
      </c>
      <c r="E20" s="36">
        <f t="shared" si="15"/>
        <v>6879.0710000000017</v>
      </c>
      <c r="F20" s="36">
        <f t="shared" si="15"/>
        <v>6437.9140000000025</v>
      </c>
      <c r="G20" s="92">
        <f t="shared" si="15"/>
        <v>6806.0730000000021</v>
      </c>
      <c r="H20" s="92">
        <f t="shared" si="15"/>
        <v>6326.9870000000028</v>
      </c>
      <c r="I20" s="511">
        <f t="shared" ref="I20:P20" si="16">+I10-I18</f>
        <v>6147.4350000000013</v>
      </c>
      <c r="J20" s="511">
        <f t="shared" si="16"/>
        <v>6128.0830000000005</v>
      </c>
      <c r="K20" s="511">
        <f>+K10-K18</f>
        <v>6637.237000000001</v>
      </c>
      <c r="L20" s="511">
        <f t="shared" si="16"/>
        <v>7521.723</v>
      </c>
      <c r="M20" s="511">
        <f>+M10-M18</f>
        <v>22117.550999999999</v>
      </c>
      <c r="N20" s="511">
        <f t="shared" si="16"/>
        <v>22977.894</v>
      </c>
      <c r="O20" s="511">
        <f t="shared" si="16"/>
        <v>24345.793000000001</v>
      </c>
      <c r="P20" s="511">
        <f t="shared" si="16"/>
        <v>25307.301999999996</v>
      </c>
      <c r="Q20" s="811">
        <f>+Q10-Q18</f>
        <v>24611.564999999995</v>
      </c>
      <c r="R20" s="811">
        <f>+R10-R18</f>
        <v>25192.214999999997</v>
      </c>
      <c r="S20" s="811">
        <f>S10-S18</f>
        <v>27324.793999999994</v>
      </c>
      <c r="T20" s="1324">
        <f>+T10-T18</f>
        <v>28951.965999999989</v>
      </c>
      <c r="U20" s="596">
        <f t="shared" ref="U20:AE20" si="17">+U10-U18</f>
        <v>28093.48639993808</v>
      </c>
      <c r="V20" s="596">
        <f t="shared" si="17"/>
        <v>27217.832776613519</v>
      </c>
      <c r="W20" s="596">
        <f t="shared" si="17"/>
        <v>26324.661560912951</v>
      </c>
      <c r="X20" s="596">
        <f t="shared" si="17"/>
        <v>25413.622310567327</v>
      </c>
      <c r="Y20" s="596">
        <f t="shared" si="17"/>
        <v>24484.357572653338</v>
      </c>
      <c r="Z20" s="596">
        <f t="shared" si="17"/>
        <v>23536.502743344106</v>
      </c>
      <c r="AA20" s="596">
        <f t="shared" si="17"/>
        <v>22569.685924854239</v>
      </c>
      <c r="AB20" s="596">
        <f t="shared" si="17"/>
        <v>21583.52777952297</v>
      </c>
      <c r="AC20" s="596">
        <f t="shared" si="17"/>
        <v>20577.641380978283</v>
      </c>
      <c r="AD20" s="596">
        <f t="shared" si="17"/>
        <v>19551.632062323493</v>
      </c>
      <c r="AE20" s="596">
        <f t="shared" si="17"/>
        <v>18505.097261286821</v>
      </c>
    </row>
    <row r="21" spans="2:31">
      <c r="T21" s="26">
        <f>T15/Assumptions!BN32*1000000</f>
        <v>452.42295220457623</v>
      </c>
      <c r="U21" s="94">
        <f>U15/Assumptions!BR32*1000000</f>
        <v>432.64285977982462</v>
      </c>
      <c r="V21" s="94">
        <f>V15/Assumptions!BS32*1000000</f>
        <v>431.59444989747533</v>
      </c>
      <c r="W21" s="76"/>
      <c r="X21" s="76"/>
      <c r="Y21" s="76"/>
      <c r="Z21" s="76"/>
      <c r="AA21" s="76"/>
      <c r="AB21" s="76"/>
      <c r="AC21" s="76"/>
      <c r="AD21" s="76"/>
      <c r="AE21" s="76"/>
    </row>
    <row r="22" spans="2:31">
      <c r="O22" s="12"/>
      <c r="R22" s="26">
        <v>2464853</v>
      </c>
      <c r="V22" s="76"/>
      <c r="W22" s="76"/>
      <c r="X22" s="76"/>
      <c r="Y22" s="76"/>
      <c r="Z22" s="76"/>
      <c r="AA22" s="76"/>
      <c r="AB22" s="76"/>
      <c r="AC22" s="76"/>
      <c r="AD22" s="76"/>
      <c r="AE22" s="76"/>
    </row>
    <row r="23" spans="2:31">
      <c r="O23" s="12"/>
      <c r="P23" s="12"/>
      <c r="Q23" s="31"/>
      <c r="R23" s="22">
        <v>2456270</v>
      </c>
      <c r="S23" s="31"/>
      <c r="T23" s="31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</row>
    <row r="24" spans="2:31">
      <c r="B24" s="1" t="s">
        <v>309</v>
      </c>
      <c r="V24" s="76"/>
      <c r="W24" s="76"/>
      <c r="X24" s="76"/>
      <c r="Y24" s="76"/>
      <c r="Z24" s="76"/>
      <c r="AA24" s="76"/>
      <c r="AB24" s="76"/>
      <c r="AC24" s="76"/>
      <c r="AD24" s="76"/>
      <c r="AE24" s="76"/>
    </row>
    <row r="25" spans="2:31">
      <c r="B25" s="1" t="s">
        <v>310</v>
      </c>
      <c r="C25" s="36">
        <v>92.828000000000003</v>
      </c>
      <c r="D25" s="36">
        <v>138.37799999999999</v>
      </c>
      <c r="E25" s="36">
        <v>761.70399999999995</v>
      </c>
      <c r="F25" s="511">
        <v>710.55499999999995</v>
      </c>
      <c r="G25" s="92">
        <f>(750.681/755.388)*$G$15</f>
        <v>750.68100000000004</v>
      </c>
      <c r="H25" s="92">
        <v>296.31700000000001</v>
      </c>
      <c r="I25" s="36">
        <v>298.89499999999998</v>
      </c>
      <c r="J25" s="511">
        <v>317.15499999999997</v>
      </c>
      <c r="K25" s="511">
        <v>330.1</v>
      </c>
      <c r="L25" s="511">
        <v>341.94</v>
      </c>
      <c r="M25" s="511">
        <v>469.36700000000002</v>
      </c>
      <c r="N25" s="511">
        <v>1346.4280000000001</v>
      </c>
      <c r="O25" s="511">
        <v>1354.8510000000001</v>
      </c>
      <c r="P25" s="511">
        <v>1392.5640000000001</v>
      </c>
      <c r="Q25" s="811">
        <v>1414.9680000000001</v>
      </c>
      <c r="R25" s="811">
        <v>1429.3789999999999</v>
      </c>
      <c r="S25" s="811">
        <v>1475.6669999999999</v>
      </c>
      <c r="T25" s="811">
        <f>T$15*T30</f>
        <v>1674.180643594221</v>
      </c>
      <c r="U25" s="596">
        <f t="shared" ref="U25:AE25" si="18">U$15*U30</f>
        <v>1636.711115769358</v>
      </c>
      <c r="V25" s="596">
        <f t="shared" si="18"/>
        <v>1669.4537863866228</v>
      </c>
      <c r="W25" s="596">
        <f t="shared" si="18"/>
        <v>1702.8514794258788</v>
      </c>
      <c r="X25" s="596">
        <f t="shared" si="18"/>
        <v>1736.9172987166305</v>
      </c>
      <c r="Y25" s="596">
        <f t="shared" si="18"/>
        <v>1771.6646102326124</v>
      </c>
      <c r="Z25" s="596">
        <f t="shared" si="18"/>
        <v>1807.1070473360246</v>
      </c>
      <c r="AA25" s="596">
        <f t="shared" si="18"/>
        <v>1843.2585161266843</v>
      </c>
      <c r="AB25" s="596">
        <f t="shared" si="18"/>
        <v>1880.133200898184</v>
      </c>
      <c r="AC25" s="596">
        <f t="shared" si="18"/>
        <v>1917.745569703204</v>
      </c>
      <c r="AD25" s="596">
        <f t="shared" si="18"/>
        <v>1956.1103800301598</v>
      </c>
      <c r="AE25" s="596">
        <f t="shared" si="18"/>
        <v>1995.2426845934078</v>
      </c>
    </row>
    <row r="26" spans="2:31">
      <c r="B26" s="1" t="s">
        <v>311</v>
      </c>
      <c r="C26" s="36">
        <v>7.2270000000000003</v>
      </c>
      <c r="D26" s="36">
        <v>5.976</v>
      </c>
      <c r="E26" s="36">
        <v>5.109</v>
      </c>
      <c r="F26" s="511">
        <v>4.7480000000000002</v>
      </c>
      <c r="G26" s="92">
        <f>(4.018/755.388)*$G$15</f>
        <v>4.0179999999999998</v>
      </c>
      <c r="H26" s="92">
        <v>3.7669999999999999</v>
      </c>
      <c r="I26" s="36">
        <v>4.6779999999999999</v>
      </c>
      <c r="J26" s="511">
        <v>12.425000000000001</v>
      </c>
      <c r="K26" s="511">
        <v>9.7420000000000009</v>
      </c>
      <c r="L26" s="511">
        <v>7.2610000000000001</v>
      </c>
      <c r="M26" s="511">
        <v>9.0269999999999992</v>
      </c>
      <c r="N26" s="511">
        <v>11.843999999999999</v>
      </c>
      <c r="O26" s="511">
        <v>12.679</v>
      </c>
      <c r="P26" s="511">
        <v>11.906000000000001</v>
      </c>
      <c r="Q26" s="811">
        <v>12.752000000000001</v>
      </c>
      <c r="R26" s="811">
        <v>15.577999999999999</v>
      </c>
      <c r="S26" s="811">
        <v>97.951999999999998</v>
      </c>
      <c r="T26" s="811">
        <f>T$15*T31</f>
        <v>111.12896229389227</v>
      </c>
      <c r="U26" s="596">
        <f t="shared" ref="U26:AE26" si="19">U$15*U31</f>
        <v>108.64180551021344</v>
      </c>
      <c r="V26" s="596">
        <f t="shared" si="19"/>
        <v>110.81520240280666</v>
      </c>
      <c r="W26" s="596">
        <f t="shared" si="19"/>
        <v>113.03207845179412</v>
      </c>
      <c r="X26" s="596">
        <f t="shared" si="19"/>
        <v>115.29330346473249</v>
      </c>
      <c r="Y26" s="596">
        <f t="shared" si="19"/>
        <v>117.59976464981926</v>
      </c>
      <c r="Z26" s="596">
        <f t="shared" si="19"/>
        <v>119.95236696399546</v>
      </c>
      <c r="AA26" s="596">
        <f t="shared" si="19"/>
        <v>122.35203346801208</v>
      </c>
      <c r="AB26" s="596">
        <f t="shared" si="19"/>
        <v>124.79970568859974</v>
      </c>
      <c r="AC26" s="596">
        <f t="shared" si="19"/>
        <v>127.29634398788362</v>
      </c>
      <c r="AD26" s="596">
        <f t="shared" si="19"/>
        <v>129.84292794018856</v>
      </c>
      <c r="AE26" s="596">
        <f t="shared" si="19"/>
        <v>132.44045671638213</v>
      </c>
    </row>
    <row r="27" spans="2:31">
      <c r="B27" s="1" t="s">
        <v>312</v>
      </c>
      <c r="C27" s="36">
        <v>0.20699999999999999</v>
      </c>
      <c r="D27" s="36">
        <v>0.82199999999999995</v>
      </c>
      <c r="E27" s="36">
        <v>0.81100000000000005</v>
      </c>
      <c r="F27" s="511">
        <v>0.69</v>
      </c>
      <c r="G27" s="92">
        <f>(0.689/755.388)*$G$15</f>
        <v>0.68899999999999995</v>
      </c>
      <c r="H27" s="92">
        <v>0.54300000000000004</v>
      </c>
      <c r="I27" s="36">
        <v>0.34699999999999998</v>
      </c>
      <c r="J27" s="511">
        <v>0.9</v>
      </c>
      <c r="K27" s="511">
        <v>0.98499999999999999</v>
      </c>
      <c r="L27" s="511">
        <v>0.32400000000000001</v>
      </c>
      <c r="M27" s="511">
        <v>1.1319999999999999</v>
      </c>
      <c r="N27" s="511">
        <v>1.323</v>
      </c>
      <c r="O27" s="511">
        <v>1.335</v>
      </c>
      <c r="P27" s="511">
        <v>1.373</v>
      </c>
      <c r="Q27" s="811">
        <v>2.69</v>
      </c>
      <c r="R27" s="811">
        <v>2.7549999999999999</v>
      </c>
      <c r="S27" s="811">
        <v>4.1360000000000001</v>
      </c>
      <c r="T27" s="811">
        <f>T$15*T32</f>
        <v>4.6923941118868271</v>
      </c>
      <c r="U27" s="596">
        <f t="shared" ref="U27:AE27" si="20">U$15*U32</f>
        <v>4.5873745057808195</v>
      </c>
      <c r="V27" s="596">
        <f t="shared" si="20"/>
        <v>4.6791456747999876</v>
      </c>
      <c r="W27" s="596">
        <f t="shared" si="20"/>
        <v>4.7727527408998336</v>
      </c>
      <c r="X27" s="596">
        <f t="shared" si="20"/>
        <v>4.8682324314984236</v>
      </c>
      <c r="Y27" s="596">
        <f t="shared" si="20"/>
        <v>4.9656222087517614</v>
      </c>
      <c r="Z27" s="596">
        <f t="shared" si="20"/>
        <v>5.06496028425234</v>
      </c>
      <c r="AA27" s="596">
        <f t="shared" si="20"/>
        <v>5.1662856340217447</v>
      </c>
      <c r="AB27" s="596">
        <f t="shared" si="20"/>
        <v>5.2696380138031751</v>
      </c>
      <c r="AC27" s="596">
        <f t="shared" si="20"/>
        <v>5.3750579746599012</v>
      </c>
      <c r="AD27" s="596">
        <f t="shared" si="20"/>
        <v>5.4825868788857797</v>
      </c>
      <c r="AE27" s="596">
        <f t="shared" si="20"/>
        <v>5.5922669162340384</v>
      </c>
    </row>
    <row r="28" spans="2:31">
      <c r="B28" s="1" t="s">
        <v>215</v>
      </c>
      <c r="C28" s="36">
        <f t="shared" ref="C28:T28" si="21">SUM(C25:C27)</f>
        <v>100.262</v>
      </c>
      <c r="D28" s="36">
        <f t="shared" si="21"/>
        <v>145.17599999999999</v>
      </c>
      <c r="E28" s="36">
        <f t="shared" si="21"/>
        <v>767.62400000000002</v>
      </c>
      <c r="F28" s="36">
        <f t="shared" si="21"/>
        <v>715.99300000000005</v>
      </c>
      <c r="G28" s="92">
        <f t="shared" si="21"/>
        <v>755.38800000000003</v>
      </c>
      <c r="H28" s="92">
        <f t="shared" si="21"/>
        <v>300.62700000000001</v>
      </c>
      <c r="I28" s="36">
        <f t="shared" si="21"/>
        <v>303.91999999999996</v>
      </c>
      <c r="J28" s="36">
        <f t="shared" si="21"/>
        <v>330.47999999999996</v>
      </c>
      <c r="K28" s="36">
        <f t="shared" si="21"/>
        <v>340.82700000000006</v>
      </c>
      <c r="L28" s="36">
        <f t="shared" si="21"/>
        <v>349.52500000000003</v>
      </c>
      <c r="M28" s="36">
        <f t="shared" si="21"/>
        <v>479.52600000000001</v>
      </c>
      <c r="N28" s="36">
        <f t="shared" si="21"/>
        <v>1359.5950000000003</v>
      </c>
      <c r="O28" s="36">
        <f t="shared" si="21"/>
        <v>1368.8650000000002</v>
      </c>
      <c r="P28" s="36">
        <f t="shared" si="21"/>
        <v>1405.8430000000001</v>
      </c>
      <c r="Q28" s="92">
        <f t="shared" si="21"/>
        <v>1430.41</v>
      </c>
      <c r="R28" s="92">
        <f t="shared" si="21"/>
        <v>1447.712</v>
      </c>
      <c r="S28" s="92">
        <f t="shared" si="21"/>
        <v>1577.7549999999999</v>
      </c>
      <c r="T28" s="92">
        <f t="shared" si="21"/>
        <v>1790.0020000000002</v>
      </c>
      <c r="U28" s="93">
        <f t="shared" ref="U28:AE28" si="22">SUM(U25:U27)</f>
        <v>1749.9402957853524</v>
      </c>
      <c r="V28" s="93">
        <f t="shared" si="22"/>
        <v>1784.9481344642293</v>
      </c>
      <c r="W28" s="93">
        <f t="shared" si="22"/>
        <v>1820.6563106185729</v>
      </c>
      <c r="X28" s="93">
        <f t="shared" si="22"/>
        <v>1857.0788346128613</v>
      </c>
      <c r="Y28" s="93">
        <f t="shared" si="22"/>
        <v>1894.2299970911833</v>
      </c>
      <c r="Z28" s="93">
        <f t="shared" si="22"/>
        <v>1932.1243745842723</v>
      </c>
      <c r="AA28" s="93">
        <f t="shared" si="22"/>
        <v>1970.776835228718</v>
      </c>
      <c r="AB28" s="93">
        <f t="shared" si="22"/>
        <v>2010.2025446005869</v>
      </c>
      <c r="AC28" s="93">
        <f t="shared" si="22"/>
        <v>2050.4169716657475</v>
      </c>
      <c r="AD28" s="93">
        <f t="shared" si="22"/>
        <v>2091.435894849234</v>
      </c>
      <c r="AE28" s="93">
        <f t="shared" si="22"/>
        <v>2133.275408226024</v>
      </c>
    </row>
    <row r="29" spans="2:31">
      <c r="B29" s="1" t="s">
        <v>313</v>
      </c>
      <c r="C29" s="36"/>
      <c r="D29" s="36"/>
      <c r="E29" s="36"/>
      <c r="V29" s="76"/>
      <c r="W29" s="76"/>
      <c r="X29" s="76"/>
      <c r="Y29" s="76"/>
      <c r="Z29" s="76"/>
      <c r="AA29" s="76"/>
      <c r="AB29" s="76"/>
      <c r="AC29" s="76"/>
      <c r="AD29" s="76"/>
      <c r="AE29" s="76"/>
    </row>
    <row r="30" spans="2:31">
      <c r="B30" s="1" t="s">
        <v>310</v>
      </c>
      <c r="C30" s="37">
        <f t="shared" ref="C30:H30" si="23">C25/C$28</f>
        <v>0.925854261833995</v>
      </c>
      <c r="D30" s="37">
        <f t="shared" si="23"/>
        <v>0.95317407836005952</v>
      </c>
      <c r="E30" s="37">
        <f t="shared" si="23"/>
        <v>0.99228789094660919</v>
      </c>
      <c r="F30" s="37">
        <f t="shared" si="23"/>
        <v>0.9924049536797146</v>
      </c>
      <c r="G30" s="314">
        <f t="shared" si="23"/>
        <v>0.99376876519086876</v>
      </c>
      <c r="H30" s="314">
        <f t="shared" si="23"/>
        <v>0.98566329704251443</v>
      </c>
      <c r="I30" s="314">
        <f t="shared" ref="I30:P32" si="24">I25/I$28</f>
        <v>0.98346604369570945</v>
      </c>
      <c r="J30" s="314">
        <f t="shared" si="24"/>
        <v>0.95967985959816027</v>
      </c>
      <c r="K30" s="314">
        <f t="shared" ref="K30:P30" si="25">K25/K$28</f>
        <v>0.96852655452766345</v>
      </c>
      <c r="L30" s="314">
        <f t="shared" si="25"/>
        <v>0.97829912023460397</v>
      </c>
      <c r="M30" s="314">
        <f t="shared" si="25"/>
        <v>0.97881449598144832</v>
      </c>
      <c r="N30" s="314">
        <f t="shared" si="25"/>
        <v>0.99031549836532196</v>
      </c>
      <c r="O30" s="314">
        <f t="shared" si="25"/>
        <v>0.9897623213392116</v>
      </c>
      <c r="P30" s="314">
        <f t="shared" si="25"/>
        <v>0.99055442179532138</v>
      </c>
      <c r="Q30" s="314">
        <f t="shared" ref="Q30:R32" si="26">Q25/Q$28</f>
        <v>0.98920449381645825</v>
      </c>
      <c r="R30" s="314">
        <f t="shared" si="26"/>
        <v>0.98733656970447159</v>
      </c>
      <c r="S30" s="314">
        <f t="shared" ref="S30" si="27">S25/S$28</f>
        <v>0.93529540391252131</v>
      </c>
      <c r="T30" s="814">
        <f>S30</f>
        <v>0.93529540391252131</v>
      </c>
      <c r="U30" s="599">
        <f>T30</f>
        <v>0.93529540391252131</v>
      </c>
      <c r="V30" s="599">
        <f t="shared" ref="V30:AE30" si="28">U30</f>
        <v>0.93529540391252131</v>
      </c>
      <c r="W30" s="599">
        <f t="shared" si="28"/>
        <v>0.93529540391252131</v>
      </c>
      <c r="X30" s="599">
        <f t="shared" si="28"/>
        <v>0.93529540391252131</v>
      </c>
      <c r="Y30" s="599">
        <f t="shared" si="28"/>
        <v>0.93529540391252131</v>
      </c>
      <c r="Z30" s="599">
        <f t="shared" si="28"/>
        <v>0.93529540391252131</v>
      </c>
      <c r="AA30" s="599">
        <f t="shared" si="28"/>
        <v>0.93529540391252131</v>
      </c>
      <c r="AB30" s="599">
        <f t="shared" si="28"/>
        <v>0.93529540391252131</v>
      </c>
      <c r="AC30" s="599">
        <f t="shared" si="28"/>
        <v>0.93529540391252131</v>
      </c>
      <c r="AD30" s="599">
        <f t="shared" si="28"/>
        <v>0.93529540391252131</v>
      </c>
      <c r="AE30" s="599">
        <f t="shared" si="28"/>
        <v>0.93529540391252131</v>
      </c>
    </row>
    <row r="31" spans="2:31">
      <c r="B31" s="1" t="s">
        <v>311</v>
      </c>
      <c r="C31" s="37">
        <f t="shared" ref="C31:E33" si="29">C26/C$28</f>
        <v>7.2081147393828177E-2</v>
      </c>
      <c r="D31" s="37">
        <f t="shared" si="29"/>
        <v>4.1163828732021825E-2</v>
      </c>
      <c r="E31" s="37">
        <f t="shared" si="29"/>
        <v>6.655602221921149E-3</v>
      </c>
      <c r="F31" s="37">
        <f>F26/F$28</f>
        <v>6.6313497478327297E-3</v>
      </c>
      <c r="G31" s="314">
        <f t="shared" ref="G31:H33" si="30">G26/G$28</f>
        <v>5.3191207697236382E-3</v>
      </c>
      <c r="H31" s="314">
        <f>H26/H$28</f>
        <v>1.2530477967714143E-2</v>
      </c>
      <c r="I31" s="314">
        <f t="shared" si="24"/>
        <v>1.5392208475914717E-2</v>
      </c>
      <c r="J31" s="314">
        <f t="shared" si="24"/>
        <v>3.7596828854998793E-2</v>
      </c>
      <c r="K31" s="314">
        <f t="shared" si="24"/>
        <v>2.8583416219959096E-2</v>
      </c>
      <c r="L31" s="314">
        <f t="shared" si="24"/>
        <v>2.0773907445819324E-2</v>
      </c>
      <c r="M31" s="314">
        <f t="shared" si="24"/>
        <v>1.8824839529034919E-2</v>
      </c>
      <c r="N31" s="314">
        <f t="shared" si="24"/>
        <v>8.7114177383706155E-3</v>
      </c>
      <c r="O31" s="314">
        <f t="shared" si="24"/>
        <v>9.2624181347320568E-3</v>
      </c>
      <c r="P31" s="314">
        <f t="shared" si="24"/>
        <v>8.4689399883201757E-3</v>
      </c>
      <c r="Q31" s="314">
        <f t="shared" si="26"/>
        <v>8.9149264896078752E-3</v>
      </c>
      <c r="R31" s="314">
        <f t="shared" si="26"/>
        <v>1.0760427488340222E-2</v>
      </c>
      <c r="S31" s="314">
        <f t="shared" ref="S31" si="31">S26/S$28</f>
        <v>6.2083149791951224E-2</v>
      </c>
      <c r="T31" s="814">
        <f>S31</f>
        <v>6.2083149791951224E-2</v>
      </c>
      <c r="U31" s="599">
        <f t="shared" ref="U31:AE32" si="32">T31</f>
        <v>6.2083149791951224E-2</v>
      </c>
      <c r="V31" s="599">
        <f t="shared" si="32"/>
        <v>6.2083149791951224E-2</v>
      </c>
      <c r="W31" s="599">
        <f t="shared" si="32"/>
        <v>6.2083149791951224E-2</v>
      </c>
      <c r="X31" s="599">
        <f t="shared" si="32"/>
        <v>6.2083149791951224E-2</v>
      </c>
      <c r="Y31" s="599">
        <f t="shared" si="32"/>
        <v>6.2083149791951224E-2</v>
      </c>
      <c r="Z31" s="599">
        <f t="shared" si="32"/>
        <v>6.2083149791951224E-2</v>
      </c>
      <c r="AA31" s="599">
        <f t="shared" si="32"/>
        <v>6.2083149791951224E-2</v>
      </c>
      <c r="AB31" s="599">
        <f t="shared" si="32"/>
        <v>6.2083149791951224E-2</v>
      </c>
      <c r="AC31" s="599">
        <f t="shared" si="32"/>
        <v>6.2083149791951224E-2</v>
      </c>
      <c r="AD31" s="599">
        <f t="shared" si="32"/>
        <v>6.2083149791951224E-2</v>
      </c>
      <c r="AE31" s="599">
        <f t="shared" si="32"/>
        <v>6.2083149791951224E-2</v>
      </c>
    </row>
    <row r="32" spans="2:31">
      <c r="B32" s="1" t="s">
        <v>312</v>
      </c>
      <c r="C32" s="37">
        <f t="shared" si="29"/>
        <v>2.0645907721768965E-3</v>
      </c>
      <c r="D32" s="37">
        <f t="shared" si="29"/>
        <v>5.6620929079186644E-3</v>
      </c>
      <c r="E32" s="37">
        <f t="shared" si="29"/>
        <v>1.0565068314695738E-3</v>
      </c>
      <c r="F32" s="37">
        <f>F27/F$28</f>
        <v>9.6369657245252386E-4</v>
      </c>
      <c r="G32" s="314">
        <f t="shared" si="30"/>
        <v>9.1211403940756261E-4</v>
      </c>
      <c r="H32" s="314">
        <f>H27/H$28</f>
        <v>1.8062249897713779E-3</v>
      </c>
      <c r="I32" s="314">
        <f t="shared" si="24"/>
        <v>1.1417478283758885E-3</v>
      </c>
      <c r="J32" s="314">
        <f t="shared" si="24"/>
        <v>2.7233115468409592E-3</v>
      </c>
      <c r="K32" s="314">
        <f t="shared" si="24"/>
        <v>2.8900292523773054E-3</v>
      </c>
      <c r="L32" s="314">
        <f t="shared" si="24"/>
        <v>9.2697231957656809E-4</v>
      </c>
      <c r="M32" s="314">
        <f t="shared" si="24"/>
        <v>2.3606644895167307E-3</v>
      </c>
      <c r="N32" s="314">
        <f t="shared" si="24"/>
        <v>9.7308389630735605E-4</v>
      </c>
      <c r="O32" s="314">
        <f t="shared" si="24"/>
        <v>9.7526052605625805E-4</v>
      </c>
      <c r="P32" s="314">
        <f t="shared" si="24"/>
        <v>9.7663821635844109E-4</v>
      </c>
      <c r="Q32" s="314">
        <f t="shared" si="26"/>
        <v>1.8805796939339069E-3</v>
      </c>
      <c r="R32" s="314">
        <f t="shared" si="26"/>
        <v>1.90300280718817E-3</v>
      </c>
      <c r="S32" s="314">
        <f t="shared" ref="S32" si="33">S27/S$28</f>
        <v>2.621446295527506E-3</v>
      </c>
      <c r="T32" s="814">
        <f>S32</f>
        <v>2.621446295527506E-3</v>
      </c>
      <c r="U32" s="599">
        <f t="shared" si="32"/>
        <v>2.621446295527506E-3</v>
      </c>
      <c r="V32" s="599">
        <f t="shared" si="32"/>
        <v>2.621446295527506E-3</v>
      </c>
      <c r="W32" s="599">
        <f t="shared" si="32"/>
        <v>2.621446295527506E-3</v>
      </c>
      <c r="X32" s="599">
        <f t="shared" si="32"/>
        <v>2.621446295527506E-3</v>
      </c>
      <c r="Y32" s="599">
        <f t="shared" si="32"/>
        <v>2.621446295527506E-3</v>
      </c>
      <c r="Z32" s="599">
        <f t="shared" si="32"/>
        <v>2.621446295527506E-3</v>
      </c>
      <c r="AA32" s="599">
        <f t="shared" si="32"/>
        <v>2.621446295527506E-3</v>
      </c>
      <c r="AB32" s="599">
        <f t="shared" si="32"/>
        <v>2.621446295527506E-3</v>
      </c>
      <c r="AC32" s="599">
        <f t="shared" si="32"/>
        <v>2.621446295527506E-3</v>
      </c>
      <c r="AD32" s="599">
        <f t="shared" si="32"/>
        <v>2.621446295527506E-3</v>
      </c>
      <c r="AE32" s="599">
        <f t="shared" si="32"/>
        <v>2.621446295527506E-3</v>
      </c>
    </row>
    <row r="33" spans="2:31">
      <c r="B33" s="1" t="s">
        <v>215</v>
      </c>
      <c r="C33" s="37">
        <f t="shared" si="29"/>
        <v>1</v>
      </c>
      <c r="D33" s="37">
        <f t="shared" si="29"/>
        <v>1</v>
      </c>
      <c r="E33" s="37">
        <f t="shared" si="29"/>
        <v>1</v>
      </c>
      <c r="F33" s="37">
        <f>F28/F$28</f>
        <v>1</v>
      </c>
      <c r="G33" s="314">
        <f t="shared" si="30"/>
        <v>1</v>
      </c>
      <c r="H33" s="314">
        <f t="shared" si="30"/>
        <v>1</v>
      </c>
      <c r="I33" s="514">
        <f>I28/I$28</f>
        <v>1</v>
      </c>
      <c r="J33" s="514">
        <f>J28/J$28</f>
        <v>1</v>
      </c>
      <c r="K33" s="514">
        <f t="shared" ref="K33:U33" si="34">SUM(K30:K32)</f>
        <v>0.99999999999999989</v>
      </c>
      <c r="L33" s="514">
        <f t="shared" si="34"/>
        <v>0.99999999999999989</v>
      </c>
      <c r="M33" s="514">
        <f t="shared" si="34"/>
        <v>1</v>
      </c>
      <c r="N33" s="514">
        <f t="shared" si="34"/>
        <v>0.99999999999999989</v>
      </c>
      <c r="O33" s="514">
        <f t="shared" si="34"/>
        <v>0.99999999999999989</v>
      </c>
      <c r="P33" s="514">
        <f t="shared" si="34"/>
        <v>1</v>
      </c>
      <c r="Q33" s="814">
        <f t="shared" si="34"/>
        <v>1</v>
      </c>
      <c r="R33" s="814">
        <f t="shared" si="34"/>
        <v>1</v>
      </c>
      <c r="S33" s="814">
        <f t="shared" si="34"/>
        <v>1</v>
      </c>
      <c r="T33" s="814">
        <f t="shared" si="34"/>
        <v>1</v>
      </c>
      <c r="U33" s="599">
        <f t="shared" si="34"/>
        <v>1</v>
      </c>
      <c r="V33" s="599">
        <f t="shared" ref="V33:AE33" si="35">SUM(V30:V32)</f>
        <v>1</v>
      </c>
      <c r="W33" s="599">
        <f t="shared" si="35"/>
        <v>1</v>
      </c>
      <c r="X33" s="599">
        <f t="shared" si="35"/>
        <v>1</v>
      </c>
      <c r="Y33" s="599">
        <f t="shared" si="35"/>
        <v>1</v>
      </c>
      <c r="Z33" s="599">
        <f t="shared" si="35"/>
        <v>1</v>
      </c>
      <c r="AA33" s="599">
        <f t="shared" si="35"/>
        <v>1</v>
      </c>
      <c r="AB33" s="599">
        <f t="shared" si="35"/>
        <v>1</v>
      </c>
      <c r="AC33" s="599">
        <f t="shared" si="35"/>
        <v>1</v>
      </c>
      <c r="AD33" s="599">
        <f t="shared" si="35"/>
        <v>1</v>
      </c>
      <c r="AE33" s="599">
        <f t="shared" si="35"/>
        <v>1</v>
      </c>
    </row>
    <row r="34" spans="2:31">
      <c r="C34" s="36"/>
      <c r="D34" s="36"/>
      <c r="E34" s="36"/>
      <c r="M34" s="49"/>
      <c r="N34" s="49"/>
      <c r="O34" s="49"/>
      <c r="P34" s="49"/>
      <c r="Q34" s="273"/>
      <c r="R34" s="273"/>
      <c r="S34" s="273"/>
      <c r="T34" s="273"/>
      <c r="U34" s="600"/>
      <c r="V34" s="600"/>
      <c r="W34" s="600"/>
      <c r="X34" s="600"/>
      <c r="Y34" s="600"/>
      <c r="Z34" s="600"/>
      <c r="AA34" s="600"/>
      <c r="AB34" s="600"/>
      <c r="AC34" s="600"/>
      <c r="AD34" s="600"/>
      <c r="AE34" s="600"/>
    </row>
    <row r="35" spans="2:31">
      <c r="C35" s="36"/>
      <c r="D35" s="36"/>
      <c r="E35" s="36"/>
      <c r="M35" s="49"/>
      <c r="N35" s="49"/>
      <c r="O35" s="49"/>
      <c r="P35" s="49"/>
      <c r="Q35" s="273"/>
      <c r="R35" s="273"/>
      <c r="S35" s="273"/>
      <c r="T35" s="273"/>
      <c r="U35" s="600"/>
      <c r="V35" s="600"/>
      <c r="W35" s="600"/>
      <c r="X35" s="600"/>
      <c r="Y35" s="600"/>
      <c r="Z35" s="600"/>
      <c r="AA35" s="600"/>
      <c r="AB35" s="600"/>
      <c r="AC35" s="600"/>
      <c r="AD35" s="600"/>
      <c r="AE35" s="600"/>
    </row>
    <row r="36" spans="2:31">
      <c r="B36" s="353" t="s">
        <v>386</v>
      </c>
      <c r="C36" s="36"/>
      <c r="D36" s="36"/>
      <c r="E36" s="36"/>
      <c r="M36" s="49"/>
      <c r="N36" s="49"/>
      <c r="O36" s="49"/>
      <c r="P36" s="49"/>
      <c r="Q36" s="273"/>
      <c r="R36" s="273"/>
      <c r="S36" s="273"/>
      <c r="T36" s="273"/>
      <c r="U36" s="600"/>
      <c r="V36" s="600"/>
      <c r="W36" s="600"/>
      <c r="X36" s="600"/>
      <c r="Y36" s="600"/>
      <c r="Z36" s="600"/>
      <c r="AA36" s="600"/>
      <c r="AB36" s="600"/>
      <c r="AC36" s="600"/>
      <c r="AD36" s="600"/>
      <c r="AE36" s="600"/>
    </row>
    <row r="37" spans="2:31">
      <c r="B37" s="32" t="s">
        <v>2</v>
      </c>
      <c r="C37" s="36"/>
      <c r="D37" s="36"/>
      <c r="E37" s="36"/>
      <c r="K37" s="515">
        <v>0.1</v>
      </c>
      <c r="L37" s="515">
        <v>0.1</v>
      </c>
      <c r="M37" s="515">
        <v>0.1</v>
      </c>
      <c r="N37" s="515">
        <v>0.1</v>
      </c>
      <c r="O37" s="515">
        <v>0.1</v>
      </c>
      <c r="P37" s="515">
        <v>0.1</v>
      </c>
      <c r="Q37" s="515">
        <v>0.1</v>
      </c>
      <c r="R37" s="515">
        <v>0.1</v>
      </c>
      <c r="S37" s="515">
        <v>0.1</v>
      </c>
      <c r="T37" s="515">
        <v>0.1</v>
      </c>
      <c r="U37" s="601">
        <v>0.1</v>
      </c>
      <c r="V37" s="601">
        <v>0.1</v>
      </c>
      <c r="W37" s="601">
        <v>0.1</v>
      </c>
      <c r="X37" s="601">
        <v>0.1</v>
      </c>
      <c r="Y37" s="601">
        <v>0.1</v>
      </c>
      <c r="Z37" s="601">
        <v>0.1</v>
      </c>
      <c r="AA37" s="601">
        <v>0.1</v>
      </c>
      <c r="AB37" s="601">
        <v>0.1</v>
      </c>
      <c r="AC37" s="601">
        <v>0.1</v>
      </c>
      <c r="AD37" s="601">
        <v>0.1</v>
      </c>
      <c r="AE37" s="601">
        <v>0.1</v>
      </c>
    </row>
    <row r="38" spans="2:31" s="36" customFormat="1">
      <c r="B38" s="36" t="s">
        <v>387</v>
      </c>
      <c r="G38" s="92"/>
      <c r="H38" s="92"/>
      <c r="J38" s="443">
        <f t="shared" ref="J38:O38" si="36">+J8*0.5</f>
        <v>154.11850000000001</v>
      </c>
      <c r="K38" s="443">
        <f>+K8*0.5</f>
        <v>418.84100000000001</v>
      </c>
      <c r="L38" s="443">
        <f t="shared" si="36"/>
        <v>614.25649999999996</v>
      </c>
      <c r="M38" s="443">
        <f>+M8*0.5</f>
        <v>7534.1064999999999</v>
      </c>
      <c r="N38" s="443">
        <f>+N8*0.5</f>
        <v>1081.0029999999999</v>
      </c>
      <c r="O38" s="443">
        <f t="shared" si="36"/>
        <v>1366.8324999999998</v>
      </c>
      <c r="P38" s="443">
        <f t="shared" ref="P38:U38" si="37">+P8*0.5</f>
        <v>1172.43</v>
      </c>
      <c r="Q38" s="443">
        <f t="shared" si="37"/>
        <v>359.267</v>
      </c>
      <c r="R38" s="443">
        <f t="shared" si="37"/>
        <v>1006.4335</v>
      </c>
      <c r="S38" s="443">
        <f t="shared" si="37"/>
        <v>1807.0129999999999</v>
      </c>
      <c r="T38" s="443">
        <f t="shared" si="37"/>
        <v>1685.3754999999999</v>
      </c>
      <c r="U38" s="602">
        <f t="shared" si="37"/>
        <v>445.73034786172269</v>
      </c>
      <c r="V38" s="602">
        <f t="shared" ref="V38:AE38" si="38">+V8*0.5</f>
        <v>454.64725556983399</v>
      </c>
      <c r="W38" s="602">
        <f t="shared" si="38"/>
        <v>463.742547459001</v>
      </c>
      <c r="X38" s="602">
        <f t="shared" si="38"/>
        <v>473.01979213362029</v>
      </c>
      <c r="Y38" s="602">
        <f t="shared" si="38"/>
        <v>482.48262958859647</v>
      </c>
      <c r="Z38" s="602">
        <f t="shared" si="38"/>
        <v>492.13477263752134</v>
      </c>
      <c r="AA38" s="602">
        <f t="shared" si="38"/>
        <v>501.98000836942282</v>
      </c>
      <c r="AB38" s="602">
        <f t="shared" si="38"/>
        <v>512.0221996346578</v>
      </c>
      <c r="AC38" s="602">
        <f t="shared" si="38"/>
        <v>522.26528656052892</v>
      </c>
      <c r="AD38" s="602">
        <f t="shared" si="38"/>
        <v>532.7132880972232</v>
      </c>
      <c r="AE38" s="602">
        <f t="shared" si="38"/>
        <v>543.3703035946761</v>
      </c>
    </row>
    <row r="39" spans="2:31" s="36" customFormat="1">
      <c r="B39" s="36" t="s">
        <v>17</v>
      </c>
      <c r="G39" s="92"/>
      <c r="H39" s="92"/>
      <c r="L39" s="36">
        <f t="shared" ref="L39:AE39" si="39">+K44*L$37</f>
        <v>440.20159999999998</v>
      </c>
      <c r="M39" s="36">
        <f t="shared" si="39"/>
        <v>457.60708999999997</v>
      </c>
      <c r="N39" s="36">
        <f t="shared" si="39"/>
        <v>1165.2570309999999</v>
      </c>
      <c r="O39" s="36">
        <f t="shared" si="39"/>
        <v>1156.8316278999998</v>
      </c>
      <c r="P39" s="36">
        <f t="shared" si="39"/>
        <v>1177.8317151099998</v>
      </c>
      <c r="Q39" s="92">
        <f t="shared" si="39"/>
        <v>1177.2915435989999</v>
      </c>
      <c r="R39" s="92">
        <f t="shared" si="39"/>
        <v>1095.4890892390999</v>
      </c>
      <c r="S39" s="92">
        <f t="shared" si="39"/>
        <v>1086.5835303151898</v>
      </c>
      <c r="T39" s="92">
        <f t="shared" si="39"/>
        <v>1158.626477283671</v>
      </c>
      <c r="U39" s="93">
        <f t="shared" si="39"/>
        <v>1211.3013795553038</v>
      </c>
      <c r="V39" s="93">
        <f t="shared" si="39"/>
        <v>1134.7442763859456</v>
      </c>
      <c r="W39" s="93">
        <f t="shared" si="39"/>
        <v>1066.7345743043345</v>
      </c>
      <c r="X39" s="93">
        <f t="shared" si="39"/>
        <v>1006.4353716198011</v>
      </c>
      <c r="Y39" s="93">
        <f t="shared" si="39"/>
        <v>953.09381367118294</v>
      </c>
      <c r="Z39" s="93">
        <f t="shared" si="39"/>
        <v>906.03269526292434</v>
      </c>
      <c r="AA39" s="93">
        <f t="shared" si="39"/>
        <v>864.64290300038397</v>
      </c>
      <c r="AB39" s="93">
        <f t="shared" si="39"/>
        <v>828.37661353728788</v>
      </c>
      <c r="AC39" s="93">
        <f t="shared" si="39"/>
        <v>796.74117214702483</v>
      </c>
      <c r="AD39" s="93">
        <f t="shared" si="39"/>
        <v>769.29358358837533</v>
      </c>
      <c r="AE39" s="93">
        <f t="shared" si="39"/>
        <v>745.63555403926011</v>
      </c>
    </row>
    <row r="40" spans="2:31" s="36" customFormat="1">
      <c r="G40" s="92"/>
      <c r="H40" s="92"/>
      <c r="Q40" s="92"/>
      <c r="R40" s="92"/>
      <c r="S40" s="92"/>
      <c r="T40" s="92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</row>
    <row r="41" spans="2:31" s="36" customFormat="1">
      <c r="G41" s="92"/>
      <c r="H41" s="92"/>
      <c r="Q41" s="92"/>
      <c r="R41" s="92"/>
      <c r="S41" s="92"/>
      <c r="T41" s="92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</row>
    <row r="42" spans="2:31" s="36" customFormat="1">
      <c r="B42" s="36" t="s">
        <v>215</v>
      </c>
      <c r="G42" s="92"/>
      <c r="H42" s="92"/>
      <c r="J42" s="443">
        <f t="shared" ref="J42:T42" si="40">SUM(J38:J41)</f>
        <v>154.11850000000001</v>
      </c>
      <c r="K42" s="443">
        <f t="shared" si="40"/>
        <v>418.84100000000001</v>
      </c>
      <c r="L42" s="443">
        <f t="shared" si="40"/>
        <v>1054.4580999999998</v>
      </c>
      <c r="M42" s="443">
        <f t="shared" si="40"/>
        <v>7991.7135899999994</v>
      </c>
      <c r="N42" s="443">
        <f t="shared" si="40"/>
        <v>2246.2600309999998</v>
      </c>
      <c r="O42" s="443">
        <f t="shared" si="40"/>
        <v>2523.6641278999996</v>
      </c>
      <c r="P42" s="443">
        <f t="shared" si="40"/>
        <v>2350.2617151099998</v>
      </c>
      <c r="Q42" s="443">
        <f t="shared" si="40"/>
        <v>1536.5585435989999</v>
      </c>
      <c r="R42" s="443">
        <f t="shared" si="40"/>
        <v>2101.9225892391</v>
      </c>
      <c r="S42" s="443">
        <f t="shared" si="40"/>
        <v>2893.5965303151897</v>
      </c>
      <c r="T42" s="443">
        <f t="shared" si="40"/>
        <v>2844.0019772836708</v>
      </c>
      <c r="U42" s="602">
        <f t="shared" ref="U42:AE42" si="41">SUM(U38:U41)</f>
        <v>1657.0317274170266</v>
      </c>
      <c r="V42" s="602">
        <f t="shared" si="41"/>
        <v>1589.3915319557796</v>
      </c>
      <c r="W42" s="602">
        <f t="shared" si="41"/>
        <v>1530.4771217633356</v>
      </c>
      <c r="X42" s="602">
        <f t="shared" si="41"/>
        <v>1479.4551637534214</v>
      </c>
      <c r="Y42" s="602">
        <f t="shared" si="41"/>
        <v>1435.5764432597794</v>
      </c>
      <c r="Z42" s="602">
        <f t="shared" si="41"/>
        <v>1398.1674679004457</v>
      </c>
      <c r="AA42" s="602">
        <f t="shared" si="41"/>
        <v>1366.6229113698068</v>
      </c>
      <c r="AB42" s="602">
        <f t="shared" si="41"/>
        <v>1340.3988131719457</v>
      </c>
      <c r="AC42" s="602">
        <f t="shared" si="41"/>
        <v>1319.0064587075537</v>
      </c>
      <c r="AD42" s="602">
        <f t="shared" si="41"/>
        <v>1302.0068716855985</v>
      </c>
      <c r="AE42" s="602">
        <f t="shared" si="41"/>
        <v>1289.0058576339361</v>
      </c>
    </row>
    <row r="43" spans="2:31" s="36" customFormat="1">
      <c r="G43" s="92"/>
      <c r="H43" s="92"/>
      <c r="Q43" s="92"/>
      <c r="R43" s="92"/>
      <c r="S43" s="92"/>
      <c r="T43" s="92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</row>
    <row r="44" spans="2:31" s="36" customFormat="1">
      <c r="B44" s="36" t="s">
        <v>388</v>
      </c>
      <c r="G44" s="92"/>
      <c r="H44" s="92"/>
      <c r="J44" s="443"/>
      <c r="K44" s="443">
        <f>+(K8+K9-K42+J44)</f>
        <v>4402.0159999999996</v>
      </c>
      <c r="L44" s="443">
        <f>+(L8-L42+K44)</f>
        <v>4576.0708999999997</v>
      </c>
      <c r="M44" s="443">
        <f t="shared" ref="M44:AE44" si="42">+(M8)-M42+L44</f>
        <v>11652.570309999999</v>
      </c>
      <c r="N44" s="443">
        <f t="shared" si="42"/>
        <v>11568.316278999999</v>
      </c>
      <c r="O44" s="443">
        <f t="shared" si="42"/>
        <v>11778.317151099998</v>
      </c>
      <c r="P44" s="443">
        <f t="shared" si="42"/>
        <v>11772.915435989999</v>
      </c>
      <c r="Q44" s="443">
        <f t="shared" si="42"/>
        <v>10954.890892390998</v>
      </c>
      <c r="R44" s="443">
        <f t="shared" si="42"/>
        <v>10865.835303151898</v>
      </c>
      <c r="S44" s="443">
        <f t="shared" si="42"/>
        <v>11586.264772836708</v>
      </c>
      <c r="T44" s="443">
        <f t="shared" si="42"/>
        <v>12113.013795553037</v>
      </c>
      <c r="U44" s="602">
        <f t="shared" si="42"/>
        <v>11347.442763859455</v>
      </c>
      <c r="V44" s="602">
        <f t="shared" si="42"/>
        <v>10667.345743043345</v>
      </c>
      <c r="W44" s="602">
        <f t="shared" si="42"/>
        <v>10064.353716198011</v>
      </c>
      <c r="X44" s="602">
        <f t="shared" si="42"/>
        <v>9530.9381367118294</v>
      </c>
      <c r="Y44" s="602">
        <f t="shared" si="42"/>
        <v>9060.3269526292424</v>
      </c>
      <c r="Z44" s="602">
        <f t="shared" si="42"/>
        <v>8646.4290300038392</v>
      </c>
      <c r="AA44" s="602">
        <f t="shared" si="42"/>
        <v>8283.7661353728781</v>
      </c>
      <c r="AB44" s="602">
        <f t="shared" si="42"/>
        <v>7967.4117214702483</v>
      </c>
      <c r="AC44" s="602">
        <f t="shared" si="42"/>
        <v>7692.9358358837526</v>
      </c>
      <c r="AD44" s="602">
        <f t="shared" si="42"/>
        <v>7456.3555403926002</v>
      </c>
      <c r="AE44" s="602">
        <f t="shared" si="42"/>
        <v>7254.0902899480161</v>
      </c>
    </row>
    <row r="45" spans="2:31" s="36" customFormat="1">
      <c r="G45" s="92"/>
      <c r="H45" s="92"/>
      <c r="Q45" s="92"/>
      <c r="R45" s="92"/>
      <c r="S45" s="92"/>
      <c r="T45" s="92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</row>
    <row r="46" spans="2:31" s="36" customFormat="1">
      <c r="B46" s="36" t="s">
        <v>389</v>
      </c>
      <c r="G46" s="92"/>
      <c r="H46" s="92"/>
      <c r="K46" s="36">
        <f t="shared" ref="K46:P46" si="43">+K42-K15</f>
        <v>78.01400000000001</v>
      </c>
      <c r="L46" s="100">
        <f t="shared" si="43"/>
        <v>704.93309999999985</v>
      </c>
      <c r="M46" s="36">
        <f>+M42-M15</f>
        <v>7512.1875899999995</v>
      </c>
      <c r="N46" s="36">
        <f t="shared" si="43"/>
        <v>886.66503099999977</v>
      </c>
      <c r="O46" s="36">
        <f t="shared" si="43"/>
        <v>1154.7991278999996</v>
      </c>
      <c r="P46" s="36">
        <f t="shared" si="43"/>
        <v>957.69771510999976</v>
      </c>
      <c r="Q46" s="92">
        <f t="shared" ref="Q46:AE46" si="44">+Q42-Q15</f>
        <v>106.14854359899982</v>
      </c>
      <c r="R46" s="92">
        <f t="shared" si="44"/>
        <v>654.21058923910005</v>
      </c>
      <c r="S46" s="92">
        <f t="shared" si="44"/>
        <v>1315.8415303151896</v>
      </c>
      <c r="T46" s="92">
        <f t="shared" si="44"/>
        <v>1053.9999772836709</v>
      </c>
      <c r="U46" s="93">
        <f t="shared" si="44"/>
        <v>-92.908568368325632</v>
      </c>
      <c r="V46" s="93">
        <f t="shared" si="44"/>
        <v>-195.55660250844994</v>
      </c>
      <c r="W46" s="93">
        <f t="shared" si="44"/>
        <v>-290.17918885523704</v>
      </c>
      <c r="X46" s="93">
        <f t="shared" si="44"/>
        <v>-377.62367085943993</v>
      </c>
      <c r="Y46" s="93">
        <f t="shared" si="44"/>
        <v>-458.653553831404</v>
      </c>
      <c r="Z46" s="93">
        <f t="shared" si="44"/>
        <v>-533.95690668382667</v>
      </c>
      <c r="AA46" s="93">
        <f t="shared" si="44"/>
        <v>-604.15392385891118</v>
      </c>
      <c r="AB46" s="93">
        <f t="shared" si="44"/>
        <v>-669.80373142864119</v>
      </c>
      <c r="AC46" s="93">
        <f t="shared" si="44"/>
        <v>-731.41051295819375</v>
      </c>
      <c r="AD46" s="93">
        <f t="shared" si="44"/>
        <v>-789.42902316363552</v>
      </c>
      <c r="AE46" s="93">
        <f t="shared" si="44"/>
        <v>-844.26955059208785</v>
      </c>
    </row>
    <row r="47" spans="2:31" s="36" customFormat="1">
      <c r="G47" s="92"/>
      <c r="H47" s="92"/>
      <c r="Q47" s="92"/>
      <c r="R47" s="92"/>
      <c r="S47" s="92"/>
      <c r="T47" s="92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</row>
    <row r="48" spans="2:31" s="36" customFormat="1">
      <c r="B48" s="36" t="s">
        <v>390</v>
      </c>
      <c r="G48" s="92"/>
      <c r="H48" s="92"/>
      <c r="K48" s="36">
        <f>+IS!W25-DEp!K46</f>
        <v>2043.2570000000005</v>
      </c>
      <c r="L48" s="36">
        <f>+IS!AB25-DEp!L46</f>
        <v>2753.1729000000005</v>
      </c>
      <c r="M48" s="36">
        <f>+IS!AG25-DEp!M46</f>
        <v>-5777.5535899999995</v>
      </c>
      <c r="N48" s="36">
        <f>+IS!AL25-DEp!N46</f>
        <v>-1137.5950310000005</v>
      </c>
      <c r="O48" s="36">
        <f>+IS!AQ25-DEp!O46</f>
        <v>-377.89453730000037</v>
      </c>
      <c r="P48" s="36">
        <f>+IS!AU25-DEp!P46</f>
        <v>-9.2635361099978581</v>
      </c>
      <c r="Q48" s="92">
        <f>+IS!AZ25-DEp!Q46</f>
        <v>495.04345640100132</v>
      </c>
      <c r="R48" s="92">
        <f>+IS!BE25-DEp!R46</f>
        <v>3398.2554107608989</v>
      </c>
      <c r="S48" s="92">
        <f>+IS!BJ25-DEp!S46</f>
        <v>5780.0164696848078</v>
      </c>
      <c r="T48" s="92">
        <f>+IS!BV25-DEp!T46</f>
        <v>9877.1800027647623</v>
      </c>
      <c r="U48" s="93">
        <f>+IS!BW25-DEp!U46</f>
        <v>11334.837169217881</v>
      </c>
      <c r="V48" s="93">
        <f>+IS!BX25-DEp!V46</f>
        <v>12014.893272470208</v>
      </c>
      <c r="W48" s="93">
        <f>+IS!BY25-DEp!W46</f>
        <v>12081.977921767822</v>
      </c>
      <c r="X48" s="93">
        <f>+IS!BZ25-DEp!X46</f>
        <v>12377.795846258505</v>
      </c>
      <c r="Y48" s="93">
        <f>+IS!CA25-DEp!Y46</f>
        <v>12703.728915135243</v>
      </c>
      <c r="Z48" s="93">
        <f>+IS!CB25-DEp!Z46</f>
        <v>13089.556613278744</v>
      </c>
      <c r="AA48" s="93">
        <f>+IS!CC25-DEp!AA46</f>
        <v>13530.948621690659</v>
      </c>
      <c r="AB48" s="93">
        <f>+IS!CD25-DEp!AB46</f>
        <v>14050.875096495263</v>
      </c>
      <c r="AC48" s="93">
        <f>+IS!CE25-DEp!AC46</f>
        <v>16804.922375797294</v>
      </c>
      <c r="AD48" s="93">
        <f>+IS!CF25-DEp!AD46</f>
        <v>789.42902316363552</v>
      </c>
      <c r="AE48" s="93">
        <f>+IS!CG25-DEp!AE46</f>
        <v>844.26955059208785</v>
      </c>
    </row>
    <row r="49" spans="2:31" s="36" customFormat="1">
      <c r="G49" s="92"/>
      <c r="H49" s="92"/>
      <c r="Q49" s="92"/>
      <c r="R49" s="92"/>
      <c r="S49" s="92"/>
      <c r="T49" s="92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</row>
    <row r="50" spans="2:31" s="36" customFormat="1">
      <c r="B50" s="353" t="s">
        <v>401</v>
      </c>
      <c r="G50" s="92"/>
      <c r="H50" s="92"/>
      <c r="K50" s="36">
        <f>+K48*0.35</f>
        <v>715.13995000000011</v>
      </c>
      <c r="L50" s="36">
        <f>+L48*0.35</f>
        <v>963.61051500000008</v>
      </c>
      <c r="M50" s="36">
        <f>+M48*Assumptions!AG198</f>
        <v>-2022.1437564999997</v>
      </c>
      <c r="N50" s="36">
        <f>+N48*Assumptions!AL198</f>
        <v>-398.15826085000015</v>
      </c>
      <c r="O50" s="36">
        <f>+O48*Assumptions!AQ198</f>
        <v>-132.26308805500011</v>
      </c>
      <c r="P50" s="36">
        <f>+P48*Assumptions!AT198</f>
        <v>-3.2422376384992502</v>
      </c>
      <c r="Q50" s="92">
        <f>+Q48*Assumptions!AY198</f>
        <v>173.26520974035046</v>
      </c>
      <c r="R50" s="92">
        <f>+R48*Assumptions!BD198</f>
        <v>1189.3893937663145</v>
      </c>
      <c r="S50" s="92">
        <f>+S48*Assumptions!BI198</f>
        <v>2023.0057643896826</v>
      </c>
      <c r="T50" s="92">
        <f>+T48*Assumptions!BN198</f>
        <v>3457.0130009676668</v>
      </c>
      <c r="U50" s="93">
        <f>+U48*Assumptions!BR198</f>
        <v>3967.1930092262578</v>
      </c>
      <c r="V50" s="93">
        <f>+V48*Assumptions!BS198</f>
        <v>4205.2126453645724</v>
      </c>
      <c r="W50" s="93">
        <f>+W48*Assumptions!BT198</f>
        <v>4228.6922726187377</v>
      </c>
      <c r="X50" s="93">
        <f>+X48*Assumptions!BU198</f>
        <v>4332.2285461904767</v>
      </c>
      <c r="Y50" s="93">
        <f>+Y48*Assumptions!BV198</f>
        <v>4446.3051202973347</v>
      </c>
      <c r="Z50" s="93">
        <f>+Z48*Assumptions!BW198</f>
        <v>4581.3448146475603</v>
      </c>
      <c r="AA50" s="93">
        <f>+AA48*Assumptions!BX198</f>
        <v>4735.8320175917306</v>
      </c>
      <c r="AB50" s="93">
        <f>+AB48*Assumptions!BY198</f>
        <v>4917.8062837733414</v>
      </c>
      <c r="AC50" s="93">
        <f>+AC48*Assumptions!BZ198</f>
        <v>5881.7228315290522</v>
      </c>
      <c r="AD50" s="93">
        <f>+AD48*Assumptions!CA198</f>
        <v>276.30015810727241</v>
      </c>
      <c r="AE50" s="93">
        <f>+AE48*Assumptions!CB198</f>
        <v>295.49434270723071</v>
      </c>
    </row>
    <row r="51" spans="2:31" s="36" customFormat="1">
      <c r="G51" s="92"/>
      <c r="H51" s="92"/>
      <c r="Q51" s="92"/>
      <c r="R51" s="92"/>
      <c r="S51" s="92"/>
      <c r="T51" s="92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</row>
    <row r="52" spans="2:31" s="36" customFormat="1">
      <c r="B52" s="353" t="s">
        <v>402</v>
      </c>
      <c r="G52" s="92"/>
      <c r="H52" s="92"/>
      <c r="K52" s="516">
        <f>+K54/0.35</f>
        <v>3869.3600000000006</v>
      </c>
      <c r="L52" s="516">
        <f t="shared" ref="L52:R52" si="45">+K52+L46</f>
        <v>4574.2931000000008</v>
      </c>
      <c r="M52" s="516">
        <f t="shared" si="45"/>
        <v>12086.48069</v>
      </c>
      <c r="N52" s="516">
        <f t="shared" si="45"/>
        <v>12973.145721000001</v>
      </c>
      <c r="O52" s="516">
        <f t="shared" si="45"/>
        <v>14127.944848900001</v>
      </c>
      <c r="P52" s="516">
        <f t="shared" si="45"/>
        <v>15085.642564010001</v>
      </c>
      <c r="Q52" s="516">
        <f t="shared" si="45"/>
        <v>15191.791107609</v>
      </c>
      <c r="R52" s="516">
        <f t="shared" si="45"/>
        <v>15846.0016968481</v>
      </c>
      <c r="S52" s="516">
        <f t="shared" ref="S52:AE52" si="46">+R52+S46</f>
        <v>17161.843227163288</v>
      </c>
      <c r="T52" s="516">
        <f t="shared" si="46"/>
        <v>18215.843204446959</v>
      </c>
      <c r="U52" s="603">
        <f t="shared" si="46"/>
        <v>18122.934636078633</v>
      </c>
      <c r="V52" s="603">
        <f t="shared" si="46"/>
        <v>17927.378033570181</v>
      </c>
      <c r="W52" s="603">
        <f t="shared" si="46"/>
        <v>17637.198844714945</v>
      </c>
      <c r="X52" s="603">
        <f t="shared" si="46"/>
        <v>17259.575173855505</v>
      </c>
      <c r="Y52" s="603">
        <f t="shared" si="46"/>
        <v>16800.921620024099</v>
      </c>
      <c r="Z52" s="603">
        <f t="shared" si="46"/>
        <v>16266.964713340272</v>
      </c>
      <c r="AA52" s="603">
        <f t="shared" si="46"/>
        <v>15662.810789481362</v>
      </c>
      <c r="AB52" s="603">
        <f t="shared" si="46"/>
        <v>14993.007058052721</v>
      </c>
      <c r="AC52" s="603">
        <f t="shared" si="46"/>
        <v>14261.596545094528</v>
      </c>
      <c r="AD52" s="603">
        <f t="shared" si="46"/>
        <v>13472.167521930893</v>
      </c>
      <c r="AE52" s="603">
        <f t="shared" si="46"/>
        <v>12627.897971338805</v>
      </c>
    </row>
    <row r="53" spans="2:31" s="36" customFormat="1">
      <c r="G53" s="92"/>
      <c r="H53" s="92"/>
      <c r="Q53" s="92"/>
      <c r="R53" s="92"/>
      <c r="S53" s="92"/>
      <c r="T53" s="92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</row>
    <row r="54" spans="2:31" s="36" customFormat="1">
      <c r="B54" s="353" t="s">
        <v>403</v>
      </c>
      <c r="G54" s="92"/>
      <c r="H54" s="92"/>
      <c r="K54" s="36">
        <v>1354.2760000000001</v>
      </c>
      <c r="L54" s="36">
        <v>1581.21</v>
      </c>
      <c r="M54" s="36">
        <f>+M52*Assumptions!AG198</f>
        <v>4230.2682414999999</v>
      </c>
      <c r="N54" s="36">
        <f>+N52*Assumptions!AL198</f>
        <v>4540.6010023500003</v>
      </c>
      <c r="O54" s="36">
        <f>+O52*Assumptions!AQ198</f>
        <v>4944.7806971150003</v>
      </c>
      <c r="P54" s="36">
        <f>+P52*Assumptions!AT198</f>
        <v>5279.9748974035001</v>
      </c>
      <c r="Q54" s="92">
        <f>+Q52*Assumptions!AY198</f>
        <v>5317.1268876631502</v>
      </c>
      <c r="R54" s="92">
        <f>+R52*Assumptions!BD198</f>
        <v>5546.1005938968347</v>
      </c>
      <c r="S54" s="92">
        <f>+S52*Assumptions!BI198</f>
        <v>6006.6451295071502</v>
      </c>
      <c r="T54" s="92">
        <f>+T52*Assumptions!BN198</f>
        <v>6375.5451215564353</v>
      </c>
      <c r="U54" s="93">
        <f>+U52*Assumptions!BR198</f>
        <v>6343.0271226275208</v>
      </c>
      <c r="V54" s="93">
        <f>+V52*Assumptions!BS198</f>
        <v>6274.5823117495629</v>
      </c>
      <c r="W54" s="93">
        <f>+W52*Assumptions!BT198</f>
        <v>6173.0195956502303</v>
      </c>
      <c r="X54" s="93">
        <f>+X52*Assumptions!BU198</f>
        <v>6040.8513108494262</v>
      </c>
      <c r="Y54" s="93">
        <f>+Y52*Assumptions!BV198</f>
        <v>5880.3225670084339</v>
      </c>
      <c r="Z54" s="93">
        <f>+Z52*Assumptions!BW198</f>
        <v>5693.4376496690948</v>
      </c>
      <c r="AA54" s="93">
        <f>+AA52*Assumptions!BX198</f>
        <v>5481.983776318476</v>
      </c>
      <c r="AB54" s="93">
        <f>+AB52*Assumptions!BY198</f>
        <v>5247.5524703184519</v>
      </c>
      <c r="AC54" s="93">
        <f>+AC52*Assumptions!BZ198</f>
        <v>4991.5587907830841</v>
      </c>
      <c r="AD54" s="93">
        <f>+AD52*Assumptions!CA198</f>
        <v>4715.2586326758119</v>
      </c>
      <c r="AE54" s="93">
        <f>+AE52*Assumptions!CB198</f>
        <v>4419.7642899685816</v>
      </c>
    </row>
    <row r="55" spans="2:31" s="36" customFormat="1">
      <c r="G55" s="92"/>
      <c r="H55" s="92"/>
      <c r="Q55" s="92"/>
      <c r="R55" s="92"/>
      <c r="S55" s="92"/>
      <c r="T55" s="92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</row>
    <row r="56" spans="2:31" s="36" customFormat="1">
      <c r="B56" s="353" t="s">
        <v>404</v>
      </c>
      <c r="G56" s="92"/>
      <c r="H56" s="92"/>
      <c r="K56" s="516">
        <f t="shared" ref="K56:AE56" si="47">+J54</f>
        <v>0</v>
      </c>
      <c r="L56" s="516">
        <f>+K54</f>
        <v>1354.2760000000001</v>
      </c>
      <c r="M56" s="516">
        <f>+L54</f>
        <v>1581.21</v>
      </c>
      <c r="N56" s="516">
        <f t="shared" si="47"/>
        <v>4230.2682414999999</v>
      </c>
      <c r="O56" s="516">
        <f t="shared" si="47"/>
        <v>4540.6010023500003</v>
      </c>
      <c r="P56" s="516">
        <f t="shared" si="47"/>
        <v>4944.7806971150003</v>
      </c>
      <c r="Q56" s="516">
        <f t="shared" si="47"/>
        <v>5279.9748974035001</v>
      </c>
      <c r="R56" s="516">
        <f t="shared" si="47"/>
        <v>5317.1268876631502</v>
      </c>
      <c r="S56" s="516">
        <f t="shared" si="47"/>
        <v>5546.1005938968347</v>
      </c>
      <c r="T56" s="516">
        <f t="shared" si="47"/>
        <v>6006.6451295071502</v>
      </c>
      <c r="U56" s="603">
        <f t="shared" si="47"/>
        <v>6375.5451215564353</v>
      </c>
      <c r="V56" s="603">
        <f t="shared" si="47"/>
        <v>6343.0271226275208</v>
      </c>
      <c r="W56" s="603">
        <f t="shared" si="47"/>
        <v>6274.5823117495629</v>
      </c>
      <c r="X56" s="603">
        <f t="shared" si="47"/>
        <v>6173.0195956502303</v>
      </c>
      <c r="Y56" s="603">
        <f t="shared" si="47"/>
        <v>6040.8513108494262</v>
      </c>
      <c r="Z56" s="603">
        <f t="shared" si="47"/>
        <v>5880.3225670084339</v>
      </c>
      <c r="AA56" s="603">
        <f t="shared" si="47"/>
        <v>5693.4376496690948</v>
      </c>
      <c r="AB56" s="603">
        <f t="shared" si="47"/>
        <v>5481.983776318476</v>
      </c>
      <c r="AC56" s="603">
        <f t="shared" si="47"/>
        <v>5247.5524703184519</v>
      </c>
      <c r="AD56" s="603">
        <f t="shared" si="47"/>
        <v>4991.5587907830841</v>
      </c>
      <c r="AE56" s="603">
        <f t="shared" si="47"/>
        <v>4715.2586326758119</v>
      </c>
    </row>
    <row r="57" spans="2:31" s="36" customFormat="1">
      <c r="B57" s="353" t="s">
        <v>405</v>
      </c>
      <c r="G57" s="92"/>
      <c r="H57" s="92"/>
      <c r="K57" s="516">
        <f t="shared" ref="K57:T57" si="48">+K54-K56</f>
        <v>1354.2760000000001</v>
      </c>
      <c r="L57" s="516">
        <f t="shared" si="48"/>
        <v>226.93399999999997</v>
      </c>
      <c r="M57" s="516">
        <f>+M54-M56</f>
        <v>2649.0582414999999</v>
      </c>
      <c r="N57" s="516">
        <f t="shared" si="48"/>
        <v>310.33276085000034</v>
      </c>
      <c r="O57" s="516">
        <f t="shared" si="48"/>
        <v>404.17969476500002</v>
      </c>
      <c r="P57" s="516">
        <f t="shared" si="48"/>
        <v>335.19420028849981</v>
      </c>
      <c r="Q57" s="516">
        <f t="shared" si="48"/>
        <v>37.15199025965012</v>
      </c>
      <c r="R57" s="516">
        <f t="shared" si="48"/>
        <v>228.97370623368442</v>
      </c>
      <c r="S57" s="516">
        <f t="shared" si="48"/>
        <v>460.54453561031551</v>
      </c>
      <c r="T57" s="516">
        <f t="shared" si="48"/>
        <v>368.89999204928517</v>
      </c>
      <c r="U57" s="603">
        <f t="shared" ref="U57:AE57" si="49">+U54-U56</f>
        <v>-32.517998928914494</v>
      </c>
      <c r="V57" s="603">
        <f t="shared" si="49"/>
        <v>-68.444810877957934</v>
      </c>
      <c r="W57" s="603">
        <f t="shared" si="49"/>
        <v>-101.56271609933265</v>
      </c>
      <c r="X57" s="603">
        <f t="shared" si="49"/>
        <v>-132.16828480080403</v>
      </c>
      <c r="Y57" s="603">
        <f t="shared" si="49"/>
        <v>-160.52874384099232</v>
      </c>
      <c r="Z57" s="603">
        <f t="shared" si="49"/>
        <v>-186.88491733933915</v>
      </c>
      <c r="AA57" s="603">
        <f t="shared" si="49"/>
        <v>-211.45387335061878</v>
      </c>
      <c r="AB57" s="603">
        <f t="shared" si="49"/>
        <v>-234.43130600002405</v>
      </c>
      <c r="AC57" s="603">
        <f t="shared" si="49"/>
        <v>-255.99367953536785</v>
      </c>
      <c r="AD57" s="603">
        <f t="shared" si="49"/>
        <v>-276.30015810727218</v>
      </c>
      <c r="AE57" s="603">
        <f t="shared" si="49"/>
        <v>-295.49434270723032</v>
      </c>
    </row>
    <row r="58" spans="2:31" s="36" customFormat="1">
      <c r="B58" s="353"/>
      <c r="G58" s="92"/>
      <c r="H58" s="92"/>
      <c r="K58" s="516"/>
      <c r="L58" s="516"/>
      <c r="M58" s="516"/>
      <c r="N58" s="516"/>
      <c r="O58" s="516"/>
      <c r="P58" s="516"/>
      <c r="Q58" s="516"/>
      <c r="R58" s="516"/>
      <c r="S58" s="516"/>
      <c r="T58" s="516"/>
      <c r="U58" s="603"/>
      <c r="V58" s="603"/>
      <c r="W58" s="603"/>
      <c r="X58" s="603"/>
      <c r="Y58" s="603"/>
      <c r="Z58" s="603"/>
      <c r="AA58" s="603"/>
      <c r="AB58" s="603"/>
      <c r="AC58" s="603"/>
      <c r="AD58" s="603"/>
      <c r="AE58" s="603"/>
    </row>
    <row r="59" spans="2:31" s="36" customFormat="1">
      <c r="G59" s="92"/>
      <c r="H59" s="92"/>
      <c r="K59" s="443">
        <f t="shared" ref="K59:P59" si="50">+K57+K50</f>
        <v>2069.4159500000001</v>
      </c>
      <c r="L59" s="443">
        <f>+L57+L50</f>
        <v>1190.544515</v>
      </c>
      <c r="M59" s="443">
        <f>+M57+M50</f>
        <v>626.91448500000024</v>
      </c>
      <c r="N59" s="443">
        <f>+N57+N50</f>
        <v>-87.825499999999806</v>
      </c>
      <c r="O59" s="443">
        <f t="shared" si="50"/>
        <v>271.91660670999988</v>
      </c>
      <c r="P59" s="443">
        <f t="shared" si="50"/>
        <v>331.95196265000055</v>
      </c>
      <c r="Q59" s="443">
        <f t="shared" ref="Q59:AE59" si="51">+Q57+Q50</f>
        <v>210.41720000000058</v>
      </c>
      <c r="R59" s="443">
        <f t="shared" si="51"/>
        <v>1418.3630999999989</v>
      </c>
      <c r="S59" s="443">
        <f t="shared" si="51"/>
        <v>2483.5502999999981</v>
      </c>
      <c r="T59" s="443">
        <f t="shared" si="51"/>
        <v>3825.912993016952</v>
      </c>
      <c r="U59" s="602">
        <f t="shared" si="51"/>
        <v>3934.6750102973433</v>
      </c>
      <c r="V59" s="602">
        <f t="shared" si="51"/>
        <v>4136.7678344866144</v>
      </c>
      <c r="W59" s="602">
        <f t="shared" si="51"/>
        <v>4127.129556519405</v>
      </c>
      <c r="X59" s="602">
        <f t="shared" si="51"/>
        <v>4200.0602613896726</v>
      </c>
      <c r="Y59" s="602">
        <f t="shared" si="51"/>
        <v>4285.7763764563424</v>
      </c>
      <c r="Z59" s="602">
        <f t="shared" si="51"/>
        <v>4394.4598973082211</v>
      </c>
      <c r="AA59" s="602">
        <f t="shared" si="51"/>
        <v>4524.3781442411118</v>
      </c>
      <c r="AB59" s="602">
        <f t="shared" si="51"/>
        <v>4683.3749777733174</v>
      </c>
      <c r="AC59" s="602">
        <f t="shared" si="51"/>
        <v>5625.7291519936844</v>
      </c>
      <c r="AD59" s="602">
        <f t="shared" si="51"/>
        <v>0</v>
      </c>
      <c r="AE59" s="602">
        <f t="shared" si="51"/>
        <v>0</v>
      </c>
    </row>
    <row r="60" spans="2:31" s="36" customFormat="1">
      <c r="G60" s="92"/>
      <c r="H60" s="92"/>
      <c r="Q60" s="92"/>
      <c r="R60" s="92"/>
      <c r="S60" s="92"/>
      <c r="T60" s="92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</row>
    <row r="61" spans="2:31" s="36" customFormat="1">
      <c r="B61" s="36" t="s">
        <v>400</v>
      </c>
      <c r="G61" s="92"/>
      <c r="H61" s="92"/>
      <c r="K61" s="36">
        <f>+K59*0.35</f>
        <v>724.29558250000002</v>
      </c>
      <c r="L61" s="36">
        <f>+(L46*Assumptions!AF198)</f>
        <v>-268.98031244042613</v>
      </c>
      <c r="M61" s="36">
        <f>IS!AG28</f>
        <v>65</v>
      </c>
      <c r="N61" s="36">
        <f>IS!AL28</f>
        <v>-305</v>
      </c>
      <c r="O61" s="36">
        <f>IS!AQ28</f>
        <v>122.57599999999999</v>
      </c>
      <c r="P61" s="36">
        <f>IS!AU28</f>
        <v>24.382999999999999</v>
      </c>
      <c r="Q61" s="92">
        <f>+(Q46*Assumptions!AY198)</f>
        <v>37.151990259649935</v>
      </c>
      <c r="R61" s="92">
        <f>+(R46*Assumptions!BD198)</f>
        <v>228.97370623368499</v>
      </c>
      <c r="S61" s="92">
        <f>+(S46*Assumptions!BI198)</f>
        <v>460.54453561031636</v>
      </c>
      <c r="T61" s="92">
        <f>+(T46*Assumptions!BN198)</f>
        <v>368.89999204928478</v>
      </c>
      <c r="U61" s="93">
        <f>+(U46*Assumptions!BR198)</f>
        <v>-32.517998928913968</v>
      </c>
      <c r="V61" s="93">
        <f>+(V46*Assumptions!BS198)</f>
        <v>-68.44481087795748</v>
      </c>
      <c r="W61" s="93">
        <f>+(W46*Assumptions!BT198)</f>
        <v>-101.56271609933296</v>
      </c>
      <c r="X61" s="93">
        <f>+(X46*Assumptions!BU198)</f>
        <v>-132.16828480080397</v>
      </c>
      <c r="Y61" s="93">
        <f>+(Y46*Assumptions!BV198)</f>
        <v>-160.52874384099138</v>
      </c>
      <c r="Z61" s="93">
        <f>+(Z46*Assumptions!BW198)</f>
        <v>-186.88491733933932</v>
      </c>
      <c r="AA61" s="93">
        <f>+(AA46*Assumptions!BX198)</f>
        <v>-211.45387335061889</v>
      </c>
      <c r="AB61" s="93">
        <f>+(AB46*Assumptions!BY198)</f>
        <v>-234.43130600002439</v>
      </c>
      <c r="AC61" s="93">
        <f>+(AC46*Assumptions!BZ198)</f>
        <v>-255.99367953536779</v>
      </c>
      <c r="AD61" s="93">
        <f>+(AD46*Assumptions!CA198)</f>
        <v>-276.30015810727241</v>
      </c>
      <c r="AE61" s="93">
        <f>+(AE46*Assumptions!CB198)</f>
        <v>-295.49434270723071</v>
      </c>
    </row>
    <row r="62" spans="2:31" s="36" customFormat="1">
      <c r="G62" s="92"/>
      <c r="H62" s="92"/>
      <c r="Q62" s="92"/>
      <c r="R62" s="92"/>
      <c r="S62" s="92"/>
      <c r="T62" s="92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</row>
    <row r="63" spans="2:31">
      <c r="B63" s="2" t="s">
        <v>391</v>
      </c>
      <c r="C63" s="36"/>
      <c r="D63" s="36"/>
      <c r="E63" s="36"/>
      <c r="M63" s="12">
        <f>+M46-M61</f>
        <v>7447.1875899999995</v>
      </c>
      <c r="N63" s="12">
        <f>+M63-(M63*Assumptions!AL198)</f>
        <v>4840.6719334999998</v>
      </c>
      <c r="O63" s="12">
        <f>+N63-(N63*Assumptions!AQ198)</f>
        <v>3146.436756775</v>
      </c>
      <c r="P63" s="12">
        <f>+O63-(O63*Assumptions!AT198)</f>
        <v>2045.18389190375</v>
      </c>
      <c r="Q63" s="31">
        <f>+P63-(P63*Assumptions!AY198)</f>
        <v>1329.3695297374375</v>
      </c>
      <c r="R63" s="31">
        <f>+Q63-(Q63*Assumptions!BD198)</f>
        <v>864.09019432933439</v>
      </c>
      <c r="S63" s="31">
        <f>+R63-(R63*Assumptions!BI198)</f>
        <v>561.65862631406731</v>
      </c>
      <c r="T63" s="31">
        <f>+S63-(S63*Assumptions!BS198)</f>
        <v>365.07810710414378</v>
      </c>
      <c r="U63" s="79">
        <f>+T63-(T63*Assumptions!BT198)</f>
        <v>237.30076961769345</v>
      </c>
      <c r="V63" s="79">
        <f>+U63-(U63*Assumptions!BU198)</f>
        <v>154.24550025150074</v>
      </c>
      <c r="W63" s="79">
        <f>+V63-(V63*Assumptions!BV198)</f>
        <v>100.25957516347549</v>
      </c>
      <c r="X63" s="79">
        <f>+W63-(W63*Assumptions!BW198)</f>
        <v>65.168723856259078</v>
      </c>
      <c r="Y63" s="79">
        <f>+X63-(X63*Assumptions!BX198)</f>
        <v>42.359670506568406</v>
      </c>
      <c r="Z63" s="79">
        <f>+Y63-(Y63*Assumptions!BY198)</f>
        <v>27.533785829269465</v>
      </c>
      <c r="AA63" s="79">
        <f>+Z63-(Z63*Assumptions!BZ198)</f>
        <v>17.896960789025151</v>
      </c>
      <c r="AB63" s="79">
        <f>+AA63-(AA63*Assumptions!CA198)</f>
        <v>11.633024512866349</v>
      </c>
      <c r="AC63" s="79">
        <f>+AB63-(AB63*Assumptions!CB198)</f>
        <v>7.5614659333631273</v>
      </c>
      <c r="AD63" s="79">
        <f>+AC63-(AC63*Assumptions!CC198)</f>
        <v>7.5614659333631273</v>
      </c>
      <c r="AE63" s="79">
        <f>+AD63-(AD63*Assumptions!CD198)</f>
        <v>7.5614659333631273</v>
      </c>
    </row>
    <row r="64" spans="2:31">
      <c r="C64" s="36"/>
      <c r="D64" s="36"/>
      <c r="E64" s="36"/>
      <c r="V64" s="76"/>
      <c r="W64" s="76"/>
      <c r="X64" s="76"/>
      <c r="Y64" s="76"/>
      <c r="Z64" s="76"/>
      <c r="AA64" s="76"/>
      <c r="AB64" s="76"/>
      <c r="AC64" s="76"/>
      <c r="AD64" s="76"/>
      <c r="AE64" s="76"/>
    </row>
    <row r="65" spans="2:31">
      <c r="B65" s="1" t="s">
        <v>301</v>
      </c>
      <c r="C65" s="36">
        <v>90.941999999999993</v>
      </c>
      <c r="D65" s="36">
        <f t="shared" ref="D65:AE65" si="52">C67</f>
        <v>13.5</v>
      </c>
      <c r="E65" s="36">
        <f t="shared" si="52"/>
        <v>283.5</v>
      </c>
      <c r="F65" s="36">
        <f t="shared" si="52"/>
        <v>190</v>
      </c>
      <c r="G65" s="92">
        <f t="shared" si="52"/>
        <v>436.03100000000001</v>
      </c>
      <c r="H65" s="92">
        <f t="shared" si="52"/>
        <v>27.348000000000013</v>
      </c>
      <c r="I65" s="511">
        <f t="shared" si="52"/>
        <v>125.70500000000001</v>
      </c>
      <c r="J65" s="511">
        <f t="shared" si="52"/>
        <v>271.70500000000004</v>
      </c>
      <c r="K65" s="511">
        <f t="shared" si="52"/>
        <v>181.56300000000005</v>
      </c>
      <c r="L65" s="511">
        <f t="shared" si="52"/>
        <v>346.05200000000002</v>
      </c>
      <c r="M65" s="511">
        <f t="shared" si="52"/>
        <v>336.15200000000004</v>
      </c>
      <c r="N65" s="511">
        <f t="shared" si="52"/>
        <v>154.88300000000004</v>
      </c>
      <c r="O65" s="511">
        <f t="shared" si="52"/>
        <v>10.333000000000027</v>
      </c>
      <c r="P65" s="511">
        <f t="shared" si="52"/>
        <v>25.333000000000027</v>
      </c>
      <c r="Q65" s="811">
        <f t="shared" si="52"/>
        <v>40.333000000000027</v>
      </c>
      <c r="R65" s="811">
        <f t="shared" si="52"/>
        <v>55.333000000000027</v>
      </c>
      <c r="S65" s="811">
        <f t="shared" si="52"/>
        <v>70.333000000000027</v>
      </c>
      <c r="T65" s="811">
        <f t="shared" si="52"/>
        <v>85.333000000000027</v>
      </c>
      <c r="U65" s="596">
        <f t="shared" si="52"/>
        <v>100.33300000000003</v>
      </c>
      <c r="V65" s="596">
        <f t="shared" si="52"/>
        <v>115.33300000000003</v>
      </c>
      <c r="W65" s="596">
        <f t="shared" si="52"/>
        <v>130.33300000000003</v>
      </c>
      <c r="X65" s="596">
        <f t="shared" si="52"/>
        <v>145.33300000000003</v>
      </c>
      <c r="Y65" s="596">
        <f t="shared" si="52"/>
        <v>160.33300000000003</v>
      </c>
      <c r="Z65" s="596">
        <f t="shared" si="52"/>
        <v>175.33300000000003</v>
      </c>
      <c r="AA65" s="596">
        <f t="shared" si="52"/>
        <v>190.33300000000003</v>
      </c>
      <c r="AB65" s="596">
        <f t="shared" si="52"/>
        <v>205.33300000000003</v>
      </c>
      <c r="AC65" s="596">
        <f t="shared" si="52"/>
        <v>220.33300000000003</v>
      </c>
      <c r="AD65" s="596">
        <f t="shared" si="52"/>
        <v>235.33300000000003</v>
      </c>
      <c r="AE65" s="596">
        <f t="shared" si="52"/>
        <v>250.33300000000003</v>
      </c>
    </row>
    <row r="66" spans="2:31" s="36" customFormat="1">
      <c r="B66" s="36" t="s">
        <v>302</v>
      </c>
      <c r="C66" s="36">
        <f>0-77.442</f>
        <v>-77.441999999999993</v>
      </c>
      <c r="D66" s="36">
        <v>270</v>
      </c>
      <c r="E66" s="36">
        <f>0-93.5</f>
        <v>-93.5</v>
      </c>
      <c r="F66" s="36">
        <v>246.03100000000001</v>
      </c>
      <c r="G66" s="92">
        <f>3.348-412.031</f>
        <v>-408.68299999999999</v>
      </c>
      <c r="H66" s="92">
        <v>98.356999999999999</v>
      </c>
      <c r="I66" s="92">
        <f>170-24</f>
        <v>146</v>
      </c>
      <c r="J66" s="92">
        <f>6.55-96.692</f>
        <v>-90.141999999999996</v>
      </c>
      <c r="K66" s="92">
        <f>169.502-5.013</f>
        <v>164.489</v>
      </c>
      <c r="L66" s="92">
        <v>-9.9</v>
      </c>
      <c r="M66" s="92">
        <v>-181.26900000000001</v>
      </c>
      <c r="N66" s="92">
        <v>-144.55000000000001</v>
      </c>
      <c r="O66" s="92">
        <v>15</v>
      </c>
      <c r="P66" s="92">
        <v>15</v>
      </c>
      <c r="Q66" s="92">
        <v>15</v>
      </c>
      <c r="R66" s="92">
        <v>15</v>
      </c>
      <c r="S66" s="92">
        <v>15</v>
      </c>
      <c r="T66" s="92">
        <v>15</v>
      </c>
      <c r="U66" s="93">
        <v>15</v>
      </c>
      <c r="V66" s="93">
        <v>15</v>
      </c>
      <c r="W66" s="93">
        <v>15</v>
      </c>
      <c r="X66" s="93">
        <v>15</v>
      </c>
      <c r="Y66" s="93">
        <v>15</v>
      </c>
      <c r="Z66" s="93">
        <v>15</v>
      </c>
      <c r="AA66" s="93">
        <v>15</v>
      </c>
      <c r="AB66" s="93">
        <v>15</v>
      </c>
      <c r="AC66" s="93">
        <v>15</v>
      </c>
      <c r="AD66" s="93">
        <v>15</v>
      </c>
      <c r="AE66" s="93">
        <v>15</v>
      </c>
    </row>
    <row r="67" spans="2:31">
      <c r="B67" s="1" t="s">
        <v>303</v>
      </c>
      <c r="C67" s="36">
        <f t="shared" ref="C67:H67" si="53">+C65+C66</f>
        <v>13.5</v>
      </c>
      <c r="D67" s="36">
        <f t="shared" si="53"/>
        <v>283.5</v>
      </c>
      <c r="E67" s="36">
        <f t="shared" si="53"/>
        <v>190</v>
      </c>
      <c r="F67" s="36">
        <f t="shared" si="53"/>
        <v>436.03100000000001</v>
      </c>
      <c r="G67" s="92">
        <f t="shared" si="53"/>
        <v>27.348000000000013</v>
      </c>
      <c r="H67" s="92">
        <f t="shared" si="53"/>
        <v>125.70500000000001</v>
      </c>
      <c r="I67" s="517">
        <f t="shared" ref="I67:T67" si="54">+I65+I66</f>
        <v>271.70500000000004</v>
      </c>
      <c r="J67" s="511">
        <f t="shared" si="54"/>
        <v>181.56300000000005</v>
      </c>
      <c r="K67" s="511">
        <f t="shared" si="54"/>
        <v>346.05200000000002</v>
      </c>
      <c r="L67" s="511">
        <f t="shared" si="54"/>
        <v>336.15200000000004</v>
      </c>
      <c r="M67" s="511">
        <f t="shared" si="54"/>
        <v>154.88300000000004</v>
      </c>
      <c r="N67" s="511">
        <f t="shared" si="54"/>
        <v>10.333000000000027</v>
      </c>
      <c r="O67" s="511">
        <f t="shared" si="54"/>
        <v>25.333000000000027</v>
      </c>
      <c r="P67" s="511">
        <f t="shared" si="54"/>
        <v>40.333000000000027</v>
      </c>
      <c r="Q67" s="811">
        <f t="shared" si="54"/>
        <v>55.333000000000027</v>
      </c>
      <c r="R67" s="811">
        <f t="shared" si="54"/>
        <v>70.333000000000027</v>
      </c>
      <c r="S67" s="811">
        <f t="shared" si="54"/>
        <v>85.333000000000027</v>
      </c>
      <c r="T67" s="811">
        <f t="shared" si="54"/>
        <v>100.33300000000003</v>
      </c>
      <c r="U67" s="596">
        <f t="shared" ref="U67:AE67" si="55">+U65+U66</f>
        <v>115.33300000000003</v>
      </c>
      <c r="V67" s="596">
        <f t="shared" si="55"/>
        <v>130.33300000000003</v>
      </c>
      <c r="W67" s="596">
        <f t="shared" si="55"/>
        <v>145.33300000000003</v>
      </c>
      <c r="X67" s="596">
        <f t="shared" si="55"/>
        <v>160.33300000000003</v>
      </c>
      <c r="Y67" s="596">
        <f t="shared" si="55"/>
        <v>175.33300000000003</v>
      </c>
      <c r="Z67" s="596">
        <f t="shared" si="55"/>
        <v>190.33300000000003</v>
      </c>
      <c r="AA67" s="596">
        <f t="shared" si="55"/>
        <v>205.33300000000003</v>
      </c>
      <c r="AB67" s="596">
        <f t="shared" si="55"/>
        <v>220.33300000000003</v>
      </c>
      <c r="AC67" s="596">
        <f t="shared" si="55"/>
        <v>235.33300000000003</v>
      </c>
      <c r="AD67" s="596">
        <f t="shared" si="55"/>
        <v>250.33300000000003</v>
      </c>
      <c r="AE67" s="596">
        <f t="shared" si="55"/>
        <v>265.33300000000003</v>
      </c>
    </row>
    <row r="68" spans="2:31">
      <c r="C68" s="36"/>
      <c r="D68" s="36"/>
      <c r="E68" s="36"/>
      <c r="V68" s="76"/>
      <c r="W68" s="76"/>
      <c r="X68" s="76"/>
      <c r="Y68" s="76"/>
      <c r="Z68" s="76"/>
      <c r="AA68" s="76"/>
      <c r="AB68" s="76"/>
      <c r="AC68" s="76"/>
      <c r="AD68" s="76"/>
      <c r="AE68" s="76"/>
    </row>
    <row r="69" spans="2:31">
      <c r="B69" s="1" t="s">
        <v>314</v>
      </c>
      <c r="C69" s="34">
        <f>+C72/C67</f>
        <v>9.0000000000000011E-2</v>
      </c>
      <c r="D69" s="34">
        <f>+D72/D67</f>
        <v>2.3199294532627864E-2</v>
      </c>
      <c r="E69" s="34">
        <f>+E72/E67</f>
        <v>9.1810526315789467E-2</v>
      </c>
      <c r="F69" s="34">
        <f>+F72/F67</f>
        <v>8.8193270661948348E-2</v>
      </c>
      <c r="G69" s="260">
        <f t="shared" ref="G69:N69" si="56">+G72/(G67-G73)</f>
        <v>1.2260839137158404</v>
      </c>
      <c r="H69" s="260">
        <f t="shared" si="56"/>
        <v>3.0772219688138796E-2</v>
      </c>
      <c r="I69" s="260">
        <f t="shared" si="56"/>
        <v>3.5947273752315489E-2</v>
      </c>
      <c r="J69" s="260">
        <f t="shared" si="56"/>
        <v>4.9809497810115004E-2</v>
      </c>
      <c r="K69" s="260">
        <f t="shared" si="56"/>
        <v>4.9101101875120817E-2</v>
      </c>
      <c r="L69" s="260">
        <f t="shared" si="56"/>
        <v>4.6902349672373292E-2</v>
      </c>
      <c r="M69" s="260">
        <f t="shared" si="56"/>
        <v>0.12900192461485727</v>
      </c>
      <c r="N69" s="260">
        <f t="shared" si="56"/>
        <v>-0.30803651333452731</v>
      </c>
      <c r="O69" s="260">
        <f t="shared" ref="O69:AE69" si="57">+N69</f>
        <v>-0.30803651333452731</v>
      </c>
      <c r="P69" s="260">
        <f t="shared" si="57"/>
        <v>-0.30803651333452731</v>
      </c>
      <c r="Q69" s="260">
        <f t="shared" si="57"/>
        <v>-0.30803651333452731</v>
      </c>
      <c r="R69" s="260">
        <f t="shared" si="57"/>
        <v>-0.30803651333452731</v>
      </c>
      <c r="S69" s="260">
        <f t="shared" si="57"/>
        <v>-0.30803651333452731</v>
      </c>
      <c r="T69" s="260">
        <f t="shared" si="57"/>
        <v>-0.30803651333452731</v>
      </c>
      <c r="U69" s="597">
        <f t="shared" si="57"/>
        <v>-0.30803651333452731</v>
      </c>
      <c r="V69" s="597">
        <f t="shared" si="57"/>
        <v>-0.30803651333452731</v>
      </c>
      <c r="W69" s="597">
        <f t="shared" si="57"/>
        <v>-0.30803651333452731</v>
      </c>
      <c r="X69" s="597">
        <f t="shared" si="57"/>
        <v>-0.30803651333452731</v>
      </c>
      <c r="Y69" s="597">
        <f t="shared" si="57"/>
        <v>-0.30803651333452731</v>
      </c>
      <c r="Z69" s="597">
        <f t="shared" si="57"/>
        <v>-0.30803651333452731</v>
      </c>
      <c r="AA69" s="597">
        <f t="shared" si="57"/>
        <v>-0.30803651333452731</v>
      </c>
      <c r="AB69" s="597">
        <f t="shared" si="57"/>
        <v>-0.30803651333452731</v>
      </c>
      <c r="AC69" s="597">
        <f t="shared" si="57"/>
        <v>-0.30803651333452731</v>
      </c>
      <c r="AD69" s="597">
        <f t="shared" si="57"/>
        <v>-0.30803651333452731</v>
      </c>
      <c r="AE69" s="597">
        <f t="shared" si="57"/>
        <v>-0.30803651333452731</v>
      </c>
    </row>
    <row r="70" spans="2:31">
      <c r="C70" s="36"/>
      <c r="D70" s="36"/>
      <c r="E70" s="36"/>
      <c r="F70" s="36"/>
      <c r="G70" s="92"/>
      <c r="H70" s="92"/>
      <c r="V70" s="76"/>
      <c r="W70" s="76"/>
      <c r="X70" s="76"/>
      <c r="Y70" s="76"/>
      <c r="Z70" s="76"/>
      <c r="AA70" s="76"/>
      <c r="AB70" s="76"/>
      <c r="AC70" s="76"/>
      <c r="AD70" s="76"/>
      <c r="AE70" s="76"/>
    </row>
    <row r="71" spans="2:31">
      <c r="C71" s="36"/>
      <c r="D71" s="36"/>
      <c r="E71" s="36"/>
      <c r="F71" s="36"/>
      <c r="G71" s="92"/>
      <c r="H71" s="92"/>
      <c r="V71" s="76"/>
      <c r="W71" s="76"/>
      <c r="X71" s="76"/>
      <c r="Y71" s="76"/>
      <c r="Z71" s="76"/>
      <c r="AA71" s="76"/>
      <c r="AB71" s="76"/>
      <c r="AC71" s="76"/>
      <c r="AD71" s="76"/>
      <c r="AE71" s="76"/>
    </row>
    <row r="72" spans="2:31">
      <c r="B72" s="1" t="s">
        <v>315</v>
      </c>
      <c r="C72" s="36">
        <v>1.2150000000000001</v>
      </c>
      <c r="D72" s="36">
        <v>6.577</v>
      </c>
      <c r="E72" s="36">
        <f>21.769-4.325</f>
        <v>17.443999999999999</v>
      </c>
      <c r="F72" s="36">
        <v>38.454999999999998</v>
      </c>
      <c r="G72" s="92">
        <f>2.597-111.217</f>
        <v>-108.62</v>
      </c>
      <c r="H72" s="92">
        <v>3.6429999999999998</v>
      </c>
      <c r="I72" s="511">
        <f>9.373</f>
        <v>9.3729999999999993</v>
      </c>
      <c r="J72" s="511">
        <f>8.393</f>
        <v>8.3930000000000007</v>
      </c>
      <c r="K72" s="511">
        <f>16.256</f>
        <v>16.256</v>
      </c>
      <c r="L72" s="511">
        <f>14.416</f>
        <v>14.416</v>
      </c>
      <c r="M72" s="511">
        <v>14.679</v>
      </c>
      <c r="N72" s="511">
        <v>3.4420000000000002</v>
      </c>
      <c r="O72" s="511">
        <v>8.8999999999999996E-2</v>
      </c>
      <c r="P72" s="511">
        <v>0</v>
      </c>
      <c r="Q72" s="811">
        <f t="shared" ref="Q72:AE72" si="58">+Q69*(Q67-Q73)</f>
        <v>-15.415995346339763</v>
      </c>
      <c r="R72" s="811">
        <f t="shared" si="58"/>
        <v>-24.785232502425472</v>
      </c>
      <c r="S72" s="811">
        <f t="shared" si="58"/>
        <v>-37.040536804676123</v>
      </c>
      <c r="T72" s="811">
        <f t="shared" si="58"/>
        <v>-53.070922314045703</v>
      </c>
      <c r="U72" s="596">
        <f t="shared" si="58"/>
        <v>-74.039251883129808</v>
      </c>
      <c r="V72" s="596">
        <f t="shared" si="58"/>
        <v>-101.46659258312387</v>
      </c>
      <c r="W72" s="596">
        <f t="shared" si="58"/>
        <v>-137.34255568238225</v>
      </c>
      <c r="X72" s="596">
        <f t="shared" si="58"/>
        <v>-184.26962536725435</v>
      </c>
      <c r="Y72" s="596">
        <f t="shared" si="58"/>
        <v>-245.65194597886082</v>
      </c>
      <c r="Z72" s="596">
        <f t="shared" si="58"/>
        <v>-325.94226261204869</v>
      </c>
      <c r="AA72" s="596">
        <f t="shared" si="58"/>
        <v>-430.96492843544894</v>
      </c>
      <c r="AB72" s="596">
        <f t="shared" si="58"/>
        <v>-568.33841006018667</v>
      </c>
      <c r="AC72" s="596">
        <f t="shared" si="58"/>
        <v>-748.02793998923323</v>
      </c>
      <c r="AD72" s="596">
        <f t="shared" si="58"/>
        <v>-983.06840620034359</v>
      </c>
      <c r="AE72" s="596">
        <f t="shared" si="58"/>
        <v>-1290.5099181156459</v>
      </c>
    </row>
    <row r="73" spans="2:31">
      <c r="B73" s="1" t="s">
        <v>316</v>
      </c>
      <c r="C73" s="36"/>
      <c r="D73" s="36">
        <f>C74</f>
        <v>2.5649999999999999</v>
      </c>
      <c r="E73" s="36">
        <f>D74</f>
        <v>9.1419999999999995</v>
      </c>
      <c r="F73" s="36">
        <f>E74+50.898</f>
        <v>77.484000000000009</v>
      </c>
      <c r="G73" s="92">
        <f t="shared" ref="G73:AE73" si="59">F74</f>
        <v>115.93900000000001</v>
      </c>
      <c r="H73" s="92">
        <f t="shared" si="59"/>
        <v>7.3190000000000026</v>
      </c>
      <c r="I73" s="511">
        <f t="shared" si="59"/>
        <v>10.962000000000003</v>
      </c>
      <c r="J73" s="511">
        <f t="shared" si="59"/>
        <v>13.061</v>
      </c>
      <c r="K73" s="511">
        <f t="shared" si="59"/>
        <v>14.98</v>
      </c>
      <c r="L73" s="511">
        <f t="shared" si="59"/>
        <v>28.79</v>
      </c>
      <c r="M73" s="511">
        <f t="shared" si="59"/>
        <v>41.094000000000001</v>
      </c>
      <c r="N73" s="511">
        <f t="shared" si="59"/>
        <v>21.507000000000001</v>
      </c>
      <c r="O73" s="511">
        <f t="shared" si="59"/>
        <v>5.1980000000000004</v>
      </c>
      <c r="P73" s="511">
        <f t="shared" si="59"/>
        <v>5.2870000000000008</v>
      </c>
      <c r="Q73" s="811">
        <f t="shared" si="59"/>
        <v>5.2870000000000008</v>
      </c>
      <c r="R73" s="811">
        <f t="shared" si="59"/>
        <v>-10.128995346339762</v>
      </c>
      <c r="S73" s="811">
        <f t="shared" si="59"/>
        <v>-34.914227848765236</v>
      </c>
      <c r="T73" s="811">
        <f t="shared" si="59"/>
        <v>-71.954764653441359</v>
      </c>
      <c r="U73" s="596">
        <f t="shared" si="59"/>
        <v>-125.02568696748706</v>
      </c>
      <c r="V73" s="596">
        <f t="shared" si="59"/>
        <v>-199.06493885061687</v>
      </c>
      <c r="W73" s="596">
        <f t="shared" si="59"/>
        <v>-300.53153143374072</v>
      </c>
      <c r="X73" s="596">
        <f t="shared" si="59"/>
        <v>-437.87408711612295</v>
      </c>
      <c r="Y73" s="596">
        <f t="shared" si="59"/>
        <v>-622.14371248337727</v>
      </c>
      <c r="Z73" s="596">
        <f t="shared" si="59"/>
        <v>-867.79565846223807</v>
      </c>
      <c r="AA73" s="596">
        <f t="shared" si="59"/>
        <v>-1193.7379210742868</v>
      </c>
      <c r="AB73" s="596">
        <f t="shared" si="59"/>
        <v>-1624.7028495097356</v>
      </c>
      <c r="AC73" s="596">
        <f t="shared" si="59"/>
        <v>-2193.0412595699222</v>
      </c>
      <c r="AD73" s="596">
        <f t="shared" si="59"/>
        <v>-2941.0691995591555</v>
      </c>
      <c r="AE73" s="596">
        <f t="shared" si="59"/>
        <v>-3924.1376057594989</v>
      </c>
    </row>
    <row r="74" spans="2:31">
      <c r="B74" s="1" t="s">
        <v>317</v>
      </c>
      <c r="C74" s="36">
        <v>2.5649999999999999</v>
      </c>
      <c r="D74" s="36">
        <f t="shared" ref="D74:T74" si="60">D72+D73</f>
        <v>9.1419999999999995</v>
      </c>
      <c r="E74" s="36">
        <f t="shared" si="60"/>
        <v>26.585999999999999</v>
      </c>
      <c r="F74" s="36">
        <f t="shared" si="60"/>
        <v>115.93900000000001</v>
      </c>
      <c r="G74" s="92">
        <f t="shared" si="60"/>
        <v>7.3190000000000026</v>
      </c>
      <c r="H74" s="92">
        <f t="shared" si="60"/>
        <v>10.962000000000003</v>
      </c>
      <c r="I74" s="511">
        <f>I72+I73-7.274</f>
        <v>13.061</v>
      </c>
      <c r="J74" s="511">
        <f>J72+J73-6.474</f>
        <v>14.98</v>
      </c>
      <c r="K74" s="511">
        <f>K72+K73-2.446</f>
        <v>28.79</v>
      </c>
      <c r="L74" s="511">
        <f>L72+L73-2.112</f>
        <v>41.094000000000001</v>
      </c>
      <c r="M74" s="511">
        <v>21.507000000000001</v>
      </c>
      <c r="N74" s="511">
        <v>5.1980000000000004</v>
      </c>
      <c r="O74" s="511">
        <f t="shared" si="60"/>
        <v>5.2870000000000008</v>
      </c>
      <c r="P74" s="511">
        <f t="shared" si="60"/>
        <v>5.2870000000000008</v>
      </c>
      <c r="Q74" s="811">
        <f t="shared" si="60"/>
        <v>-10.128995346339762</v>
      </c>
      <c r="R74" s="811">
        <f t="shared" si="60"/>
        <v>-34.914227848765236</v>
      </c>
      <c r="S74" s="811">
        <f t="shared" si="60"/>
        <v>-71.954764653441359</v>
      </c>
      <c r="T74" s="811">
        <f t="shared" si="60"/>
        <v>-125.02568696748706</v>
      </c>
      <c r="U74" s="596">
        <f t="shared" ref="U74:AE74" si="61">U72+U73</f>
        <v>-199.06493885061687</v>
      </c>
      <c r="V74" s="596">
        <f t="shared" si="61"/>
        <v>-300.53153143374072</v>
      </c>
      <c r="W74" s="596">
        <f t="shared" si="61"/>
        <v>-437.87408711612295</v>
      </c>
      <c r="X74" s="596">
        <f t="shared" si="61"/>
        <v>-622.14371248337727</v>
      </c>
      <c r="Y74" s="596">
        <f t="shared" si="61"/>
        <v>-867.79565846223807</v>
      </c>
      <c r="Z74" s="596">
        <f t="shared" si="61"/>
        <v>-1193.7379210742868</v>
      </c>
      <c r="AA74" s="596">
        <f t="shared" si="61"/>
        <v>-1624.7028495097356</v>
      </c>
      <c r="AB74" s="596">
        <f t="shared" si="61"/>
        <v>-2193.0412595699222</v>
      </c>
      <c r="AC74" s="596">
        <f t="shared" si="61"/>
        <v>-2941.0691995591555</v>
      </c>
      <c r="AD74" s="596">
        <f t="shared" si="61"/>
        <v>-3924.1376057594989</v>
      </c>
      <c r="AE74" s="596">
        <f t="shared" si="61"/>
        <v>-5214.6475238751445</v>
      </c>
    </row>
    <row r="75" spans="2:31">
      <c r="C75" s="36"/>
      <c r="D75" s="36"/>
      <c r="E75" s="36"/>
      <c r="F75" s="511"/>
      <c r="G75" s="92"/>
      <c r="H75" s="92"/>
      <c r="I75" s="511"/>
      <c r="J75" s="511"/>
      <c r="K75" s="511"/>
      <c r="L75" s="511"/>
      <c r="M75" s="511"/>
      <c r="N75" s="511"/>
      <c r="O75" s="511"/>
      <c r="P75" s="511"/>
      <c r="Q75" s="811"/>
      <c r="R75" s="811"/>
      <c r="S75" s="811"/>
      <c r="T75" s="811"/>
      <c r="U75" s="596"/>
      <c r="V75" s="596"/>
      <c r="W75" s="596"/>
      <c r="X75" s="596"/>
      <c r="Y75" s="596"/>
      <c r="Z75" s="596"/>
      <c r="AA75" s="596"/>
      <c r="AB75" s="596"/>
      <c r="AC75" s="596"/>
      <c r="AD75" s="596"/>
      <c r="AE75" s="596"/>
    </row>
    <row r="76" spans="2:31">
      <c r="B76" s="1" t="s">
        <v>308</v>
      </c>
      <c r="C76" s="36">
        <f t="shared" ref="C76:H76" si="62">+C67-C74</f>
        <v>10.935</v>
      </c>
      <c r="D76" s="36">
        <f t="shared" si="62"/>
        <v>274.358</v>
      </c>
      <c r="E76" s="36">
        <f t="shared" si="62"/>
        <v>163.41399999999999</v>
      </c>
      <c r="F76" s="36">
        <f t="shared" si="62"/>
        <v>320.09199999999998</v>
      </c>
      <c r="G76" s="92">
        <f t="shared" si="62"/>
        <v>20.029000000000011</v>
      </c>
      <c r="H76" s="92">
        <f t="shared" si="62"/>
        <v>114.74300000000001</v>
      </c>
      <c r="I76" s="511">
        <f t="shared" ref="I76:P76" si="63">+I67-I74</f>
        <v>258.64400000000006</v>
      </c>
      <c r="J76" s="511">
        <f t="shared" si="63"/>
        <v>166.58300000000006</v>
      </c>
      <c r="K76" s="511">
        <f t="shared" si="63"/>
        <v>317.262</v>
      </c>
      <c r="L76" s="511">
        <f t="shared" si="63"/>
        <v>295.05800000000005</v>
      </c>
      <c r="M76" s="511">
        <f>+M67-M74</f>
        <v>133.37600000000003</v>
      </c>
      <c r="N76" s="511">
        <f>+N67-N74</f>
        <v>5.1350000000000264</v>
      </c>
      <c r="O76" s="511">
        <f t="shared" si="63"/>
        <v>20.046000000000028</v>
      </c>
      <c r="P76" s="511">
        <f t="shared" si="63"/>
        <v>35.046000000000028</v>
      </c>
      <c r="Q76" s="811">
        <f t="shared" ref="Q76:AE76" si="64">+Q67-Q74</f>
        <v>65.461995346339791</v>
      </c>
      <c r="R76" s="811">
        <f t="shared" si="64"/>
        <v>105.24722784876526</v>
      </c>
      <c r="S76" s="811">
        <f t="shared" si="64"/>
        <v>157.2877646534414</v>
      </c>
      <c r="T76" s="811">
        <f t="shared" si="64"/>
        <v>225.35868696748707</v>
      </c>
      <c r="U76" s="596">
        <f t="shared" si="64"/>
        <v>314.39793885061692</v>
      </c>
      <c r="V76" s="596">
        <f t="shared" si="64"/>
        <v>430.86453143374075</v>
      </c>
      <c r="W76" s="596">
        <f t="shared" si="64"/>
        <v>583.20708711612292</v>
      </c>
      <c r="X76" s="596">
        <f t="shared" si="64"/>
        <v>782.47671248337724</v>
      </c>
      <c r="Y76" s="596">
        <f t="shared" si="64"/>
        <v>1043.128658462238</v>
      </c>
      <c r="Z76" s="596">
        <f t="shared" si="64"/>
        <v>1384.0709210742868</v>
      </c>
      <c r="AA76" s="596">
        <f t="shared" si="64"/>
        <v>1830.0358495097357</v>
      </c>
      <c r="AB76" s="596">
        <f t="shared" si="64"/>
        <v>2413.3742595699223</v>
      </c>
      <c r="AC76" s="596">
        <f t="shared" si="64"/>
        <v>3176.4021995591556</v>
      </c>
      <c r="AD76" s="596">
        <f t="shared" si="64"/>
        <v>4174.4706057594985</v>
      </c>
      <c r="AE76" s="596">
        <f t="shared" si="64"/>
        <v>5479.9805238751442</v>
      </c>
    </row>
    <row r="77" spans="2:31">
      <c r="C77" s="36"/>
      <c r="D77" s="36"/>
      <c r="E77" s="36"/>
      <c r="V77" s="76"/>
      <c r="W77" s="76"/>
      <c r="X77" s="76"/>
      <c r="Y77" s="76"/>
      <c r="Z77" s="76"/>
      <c r="AA77" s="76"/>
      <c r="AB77" s="76"/>
      <c r="AC77" s="76"/>
      <c r="AD77" s="76"/>
      <c r="AE77" s="76"/>
    </row>
    <row r="78" spans="2:31">
      <c r="C78" s="36"/>
      <c r="D78" s="36"/>
      <c r="E78" s="36"/>
      <c r="V78" s="76"/>
      <c r="W78" s="76"/>
      <c r="X78" s="76"/>
      <c r="Y78" s="76"/>
      <c r="Z78" s="76"/>
      <c r="AA78" s="76"/>
      <c r="AB78" s="76"/>
      <c r="AC78" s="76"/>
      <c r="AD78" s="76"/>
      <c r="AE78" s="76"/>
    </row>
    <row r="79" spans="2:31">
      <c r="B79" s="1" t="s">
        <v>309</v>
      </c>
      <c r="V79" s="76"/>
      <c r="W79" s="76"/>
      <c r="X79" s="76"/>
      <c r="Y79" s="76"/>
      <c r="Z79" s="76"/>
      <c r="AA79" s="76"/>
      <c r="AB79" s="76"/>
      <c r="AC79" s="76"/>
      <c r="AD79" s="76"/>
      <c r="AE79" s="76"/>
    </row>
    <row r="80" spans="2:31">
      <c r="B80" s="1" t="s">
        <v>310</v>
      </c>
      <c r="C80" s="36">
        <v>92.828000000000003</v>
      </c>
      <c r="D80" s="36">
        <v>138.37799999999999</v>
      </c>
      <c r="E80" s="36">
        <v>761.70399999999995</v>
      </c>
      <c r="F80" s="511">
        <v>710.55499999999995</v>
      </c>
      <c r="G80" s="92"/>
      <c r="H80" s="92"/>
      <c r="I80" s="36"/>
      <c r="J80" s="511">
        <v>6.923</v>
      </c>
      <c r="K80" s="511">
        <v>11.311</v>
      </c>
      <c r="L80" s="511">
        <v>13.202999999999999</v>
      </c>
      <c r="M80" s="511">
        <f>M$72*M85</f>
        <v>12.47715</v>
      </c>
      <c r="N80" s="511">
        <f t="shared" ref="M80:P81" si="65">N$72*N85</f>
        <v>2.9257</v>
      </c>
      <c r="O80" s="511">
        <f>O$72*O85</f>
        <v>7.5649999999999995E-2</v>
      </c>
      <c r="P80" s="511">
        <f t="shared" si="65"/>
        <v>0</v>
      </c>
      <c r="Q80" s="811">
        <f t="shared" ref="Q80:S81" si="66">Q$72*Q85</f>
        <v>-13.103596044388798</v>
      </c>
      <c r="R80" s="811">
        <f t="shared" si="66"/>
        <v>-21.06744762706165</v>
      </c>
      <c r="S80" s="811">
        <f t="shared" si="66"/>
        <v>-31.484456283974705</v>
      </c>
      <c r="T80" s="811">
        <f t="shared" ref="T80:AE80" si="67">T$72*T85</f>
        <v>-45.110283966938844</v>
      </c>
      <c r="U80" s="596">
        <f t="shared" si="67"/>
        <v>-62.933364100660334</v>
      </c>
      <c r="V80" s="596">
        <f t="shared" si="67"/>
        <v>-86.246603695655281</v>
      </c>
      <c r="W80" s="596">
        <f t="shared" si="67"/>
        <v>-116.74117233002491</v>
      </c>
      <c r="X80" s="596">
        <f t="shared" si="67"/>
        <v>-156.6291815621662</v>
      </c>
      <c r="Y80" s="596">
        <f t="shared" si="67"/>
        <v>-208.80415408203169</v>
      </c>
      <c r="Z80" s="596">
        <f t="shared" si="67"/>
        <v>-277.05092322024137</v>
      </c>
      <c r="AA80" s="596">
        <f t="shared" si="67"/>
        <v>-366.32018917013158</v>
      </c>
      <c r="AB80" s="596">
        <f t="shared" si="67"/>
        <v>-483.08764855115868</v>
      </c>
      <c r="AC80" s="596">
        <f t="shared" si="67"/>
        <v>-635.82374899084823</v>
      </c>
      <c r="AD80" s="596">
        <f t="shared" si="67"/>
        <v>-835.60814527029208</v>
      </c>
      <c r="AE80" s="596">
        <f t="shared" si="67"/>
        <v>-1096.9334303982989</v>
      </c>
    </row>
    <row r="81" spans="2:31">
      <c r="B81" s="1" t="s">
        <v>311</v>
      </c>
      <c r="C81" s="36">
        <v>7.2270000000000003</v>
      </c>
      <c r="D81" s="36">
        <v>5.976</v>
      </c>
      <c r="E81" s="36">
        <v>5.109</v>
      </c>
      <c r="F81" s="511">
        <v>4.7480000000000002</v>
      </c>
      <c r="G81" s="92"/>
      <c r="H81" s="92"/>
      <c r="I81" s="36"/>
      <c r="J81" s="511">
        <f>1.382+0.088</f>
        <v>1.47</v>
      </c>
      <c r="K81" s="511">
        <v>4.9450000000000003</v>
      </c>
      <c r="L81" s="511">
        <v>1.2130000000000001</v>
      </c>
      <c r="M81" s="511">
        <f t="shared" si="65"/>
        <v>2.2018499999999999</v>
      </c>
      <c r="N81" s="511">
        <f t="shared" si="65"/>
        <v>0.51629999999999998</v>
      </c>
      <c r="O81" s="511">
        <f t="shared" si="65"/>
        <v>1.3349999999999999E-2</v>
      </c>
      <c r="P81" s="511">
        <f t="shared" si="65"/>
        <v>0</v>
      </c>
      <c r="Q81" s="811">
        <f t="shared" si="66"/>
        <v>-2.3123993019509643</v>
      </c>
      <c r="R81" s="811">
        <f t="shared" si="66"/>
        <v>-3.7177848753638205</v>
      </c>
      <c r="S81" s="811">
        <f t="shared" si="66"/>
        <v>-5.5560805207014186</v>
      </c>
      <c r="T81" s="811">
        <f t="shared" ref="T81:AE81" si="68">T$72*T86</f>
        <v>-7.9606383471068547</v>
      </c>
      <c r="U81" s="596">
        <f t="shared" si="68"/>
        <v>-11.105887782469472</v>
      </c>
      <c r="V81" s="596">
        <f t="shared" si="68"/>
        <v>-15.219988887468579</v>
      </c>
      <c r="W81" s="596">
        <f t="shared" si="68"/>
        <v>-20.601383352357338</v>
      </c>
      <c r="X81" s="596">
        <f t="shared" si="68"/>
        <v>-27.64044380508815</v>
      </c>
      <c r="Y81" s="596">
        <f t="shared" si="68"/>
        <v>-36.847791896829122</v>
      </c>
      <c r="Z81" s="596">
        <f t="shared" si="68"/>
        <v>-48.8913393918073</v>
      </c>
      <c r="AA81" s="596">
        <f t="shared" si="68"/>
        <v>-64.644739265317341</v>
      </c>
      <c r="AB81" s="596">
        <f t="shared" si="68"/>
        <v>-85.250761509027996</v>
      </c>
      <c r="AC81" s="596">
        <f t="shared" si="68"/>
        <v>-112.20419099838499</v>
      </c>
      <c r="AD81" s="596">
        <f t="shared" si="68"/>
        <v>-147.46026093005153</v>
      </c>
      <c r="AE81" s="596">
        <f t="shared" si="68"/>
        <v>-193.57648771734688</v>
      </c>
    </row>
    <row r="82" spans="2:31">
      <c r="B82" s="1" t="s">
        <v>215</v>
      </c>
      <c r="C82" s="36">
        <f>SUM(C80:C81)</f>
        <v>100.05500000000001</v>
      </c>
      <c r="D82" s="36">
        <f>SUM(D80:D81)</f>
        <v>144.35399999999998</v>
      </c>
      <c r="E82" s="36">
        <f>SUM(E80:E81)</f>
        <v>766.81299999999999</v>
      </c>
      <c r="F82" s="36">
        <f>SUM(F80:F81)</f>
        <v>715.303</v>
      </c>
      <c r="G82" s="92"/>
      <c r="H82" s="92"/>
      <c r="I82" s="36"/>
      <c r="J82" s="36">
        <f t="shared" ref="J82:T82" si="69">SUM(J80:J81)</f>
        <v>8.3930000000000007</v>
      </c>
      <c r="K82" s="36">
        <f t="shared" si="69"/>
        <v>16.256</v>
      </c>
      <c r="L82" s="36">
        <f t="shared" si="69"/>
        <v>14.416</v>
      </c>
      <c r="M82" s="36">
        <f t="shared" si="69"/>
        <v>14.679</v>
      </c>
      <c r="N82" s="36">
        <f t="shared" si="69"/>
        <v>3.4420000000000002</v>
      </c>
      <c r="O82" s="36">
        <f t="shared" si="69"/>
        <v>8.8999999999999996E-2</v>
      </c>
      <c r="P82" s="36">
        <f t="shared" si="69"/>
        <v>0</v>
      </c>
      <c r="Q82" s="92">
        <f t="shared" si="69"/>
        <v>-15.415995346339763</v>
      </c>
      <c r="R82" s="92">
        <f t="shared" si="69"/>
        <v>-24.785232502425472</v>
      </c>
      <c r="S82" s="92">
        <f t="shared" si="69"/>
        <v>-37.040536804676123</v>
      </c>
      <c r="T82" s="92">
        <f t="shared" si="69"/>
        <v>-53.070922314045703</v>
      </c>
      <c r="U82" s="93">
        <f t="shared" ref="U82:AE82" si="70">SUM(U80:U81)</f>
        <v>-74.039251883129808</v>
      </c>
      <c r="V82" s="93">
        <f t="shared" si="70"/>
        <v>-101.46659258312386</v>
      </c>
      <c r="W82" s="93">
        <f t="shared" si="70"/>
        <v>-137.34255568238225</v>
      </c>
      <c r="X82" s="93">
        <f t="shared" si="70"/>
        <v>-184.26962536725435</v>
      </c>
      <c r="Y82" s="93">
        <f t="shared" si="70"/>
        <v>-245.65194597886079</v>
      </c>
      <c r="Z82" s="93">
        <f t="shared" si="70"/>
        <v>-325.94226261204869</v>
      </c>
      <c r="AA82" s="93">
        <f t="shared" si="70"/>
        <v>-430.96492843544894</v>
      </c>
      <c r="AB82" s="93">
        <f t="shared" si="70"/>
        <v>-568.33841006018667</v>
      </c>
      <c r="AC82" s="93">
        <f t="shared" si="70"/>
        <v>-748.02793998923323</v>
      </c>
      <c r="AD82" s="93">
        <f t="shared" si="70"/>
        <v>-983.06840620034359</v>
      </c>
      <c r="AE82" s="93">
        <f t="shared" si="70"/>
        <v>-1290.5099181156459</v>
      </c>
    </row>
    <row r="83" spans="2:31">
      <c r="C83" s="36"/>
      <c r="D83" s="36"/>
      <c r="E83" s="36"/>
      <c r="V83" s="76"/>
      <c r="W83" s="76"/>
      <c r="X83" s="76"/>
      <c r="Y83" s="76"/>
      <c r="Z83" s="76"/>
      <c r="AA83" s="76"/>
      <c r="AB83" s="76"/>
      <c r="AC83" s="76"/>
      <c r="AD83" s="76"/>
      <c r="AE83" s="76"/>
    </row>
    <row r="84" spans="2:31">
      <c r="B84" s="1" t="s">
        <v>313</v>
      </c>
      <c r="C84" s="36"/>
      <c r="D84" s="36"/>
      <c r="E84" s="36"/>
      <c r="V84" s="76"/>
      <c r="W84" s="76"/>
      <c r="X84" s="76"/>
      <c r="Y84" s="76"/>
      <c r="Z84" s="76"/>
      <c r="AA84" s="76"/>
      <c r="AB84" s="76"/>
      <c r="AC84" s="76"/>
      <c r="AD84" s="76"/>
      <c r="AE84" s="76"/>
    </row>
    <row r="85" spans="2:31">
      <c r="B85" s="1" t="s">
        <v>310</v>
      </c>
      <c r="C85" s="37">
        <f>C80/C$28</f>
        <v>0.925854261833995</v>
      </c>
      <c r="D85" s="37">
        <f>D80/D$28</f>
        <v>0.95317407836005952</v>
      </c>
      <c r="E85" s="37">
        <f>E80/E$28</f>
        <v>0.99228789094660919</v>
      </c>
      <c r="F85" s="37">
        <f>F80/F$28</f>
        <v>0.9924049536797146</v>
      </c>
      <c r="G85" s="314"/>
      <c r="H85" s="314"/>
      <c r="I85" s="314"/>
      <c r="J85" s="314">
        <f t="shared" ref="J85:L87" si="71">J80/J$82</f>
        <v>0.82485404503753124</v>
      </c>
      <c r="K85" s="314">
        <f t="shared" si="71"/>
        <v>0.69580462598425197</v>
      </c>
      <c r="L85" s="314">
        <f t="shared" si="71"/>
        <v>0.91585738068812428</v>
      </c>
      <c r="M85" s="314">
        <v>0.85</v>
      </c>
      <c r="N85" s="314">
        <v>0.85</v>
      </c>
      <c r="O85" s="314">
        <v>0.85</v>
      </c>
      <c r="P85" s="314">
        <v>0.85</v>
      </c>
      <c r="Q85" s="314">
        <v>0.85</v>
      </c>
      <c r="R85" s="314">
        <v>0.85</v>
      </c>
      <c r="S85" s="314">
        <v>0.85</v>
      </c>
      <c r="T85" s="314">
        <v>0.85</v>
      </c>
      <c r="U85" s="604">
        <v>0.85</v>
      </c>
      <c r="V85" s="604">
        <v>0.85</v>
      </c>
      <c r="W85" s="604">
        <v>0.85</v>
      </c>
      <c r="X85" s="604">
        <v>0.85</v>
      </c>
      <c r="Y85" s="604">
        <v>0.85</v>
      </c>
      <c r="Z85" s="604">
        <v>0.85</v>
      </c>
      <c r="AA85" s="604">
        <v>0.85</v>
      </c>
      <c r="AB85" s="604">
        <v>0.85</v>
      </c>
      <c r="AC85" s="604">
        <v>0.85</v>
      </c>
      <c r="AD85" s="604">
        <v>0.85</v>
      </c>
      <c r="AE85" s="604">
        <v>0.85</v>
      </c>
    </row>
    <row r="86" spans="2:31">
      <c r="B86" s="1" t="s">
        <v>311</v>
      </c>
      <c r="C86" s="37">
        <f t="shared" ref="C86:F87" si="72">C81/C$28</f>
        <v>7.2081147393828177E-2</v>
      </c>
      <c r="D86" s="37">
        <f t="shared" si="72"/>
        <v>4.1163828732021825E-2</v>
      </c>
      <c r="E86" s="37">
        <f t="shared" si="72"/>
        <v>6.655602221921149E-3</v>
      </c>
      <c r="F86" s="37">
        <f t="shared" si="72"/>
        <v>6.6313497478327297E-3</v>
      </c>
      <c r="G86" s="314"/>
      <c r="H86" s="314"/>
      <c r="I86" s="314"/>
      <c r="J86" s="314">
        <f t="shared" si="71"/>
        <v>0.17514595496246871</v>
      </c>
      <c r="K86" s="314">
        <f t="shared" si="71"/>
        <v>0.30419537401574803</v>
      </c>
      <c r="L86" s="314">
        <f t="shared" si="71"/>
        <v>8.4142619311875694E-2</v>
      </c>
      <c r="M86" s="314">
        <v>0.15</v>
      </c>
      <c r="N86" s="314">
        <v>0.15</v>
      </c>
      <c r="O86" s="314">
        <v>0.15</v>
      </c>
      <c r="P86" s="314">
        <v>0.15</v>
      </c>
      <c r="Q86" s="314">
        <v>0.15</v>
      </c>
      <c r="R86" s="314">
        <v>0.15</v>
      </c>
      <c r="S86" s="314">
        <v>0.15</v>
      </c>
      <c r="T86" s="314">
        <v>0.15</v>
      </c>
      <c r="U86" s="604">
        <v>0.15</v>
      </c>
      <c r="V86" s="604">
        <v>0.15</v>
      </c>
      <c r="W86" s="604">
        <v>0.15</v>
      </c>
      <c r="X86" s="604">
        <v>0.15</v>
      </c>
      <c r="Y86" s="604">
        <v>0.15</v>
      </c>
      <c r="Z86" s="604">
        <v>0.15</v>
      </c>
      <c r="AA86" s="604">
        <v>0.15</v>
      </c>
      <c r="AB86" s="604">
        <v>0.15</v>
      </c>
      <c r="AC86" s="604">
        <v>0.15</v>
      </c>
      <c r="AD86" s="604">
        <v>0.15</v>
      </c>
      <c r="AE86" s="604">
        <v>0.15</v>
      </c>
    </row>
    <row r="87" spans="2:31">
      <c r="B87" s="1" t="s">
        <v>215</v>
      </c>
      <c r="C87" s="37">
        <f t="shared" si="72"/>
        <v>0.9979354092278232</v>
      </c>
      <c r="D87" s="37">
        <f t="shared" si="72"/>
        <v>0.99433790709208136</v>
      </c>
      <c r="E87" s="37">
        <f t="shared" si="72"/>
        <v>0.99894349316853037</v>
      </c>
      <c r="F87" s="37">
        <f t="shared" si="72"/>
        <v>0.99903630342754735</v>
      </c>
      <c r="G87" s="314"/>
      <c r="H87" s="314"/>
      <c r="I87" s="514"/>
      <c r="J87" s="514">
        <f t="shared" si="71"/>
        <v>1</v>
      </c>
      <c r="K87" s="514">
        <f t="shared" si="71"/>
        <v>1</v>
      </c>
      <c r="L87" s="514">
        <f t="shared" si="71"/>
        <v>1</v>
      </c>
      <c r="M87" s="514">
        <f t="shared" ref="M87:R87" si="73">M82/M$82</f>
        <v>1</v>
      </c>
      <c r="N87" s="514">
        <f t="shared" si="73"/>
        <v>1</v>
      </c>
      <c r="O87" s="514">
        <f>O82/O$82</f>
        <v>1</v>
      </c>
      <c r="P87" s="514"/>
      <c r="Q87" s="814">
        <f>Q82/Q$82</f>
        <v>1</v>
      </c>
      <c r="R87" s="814">
        <f t="shared" si="73"/>
        <v>1</v>
      </c>
      <c r="S87" s="814">
        <f t="shared" ref="S87:AE87" si="74">S82/S$82</f>
        <v>1</v>
      </c>
      <c r="T87" s="814">
        <f t="shared" si="74"/>
        <v>1</v>
      </c>
      <c r="U87" s="599">
        <f t="shared" si="74"/>
        <v>1</v>
      </c>
      <c r="V87" s="599">
        <f t="shared" si="74"/>
        <v>1</v>
      </c>
      <c r="W87" s="599">
        <f t="shared" si="74"/>
        <v>1</v>
      </c>
      <c r="X87" s="599">
        <f t="shared" si="74"/>
        <v>1</v>
      </c>
      <c r="Y87" s="599">
        <f t="shared" si="74"/>
        <v>1</v>
      </c>
      <c r="Z87" s="599">
        <f t="shared" si="74"/>
        <v>1</v>
      </c>
      <c r="AA87" s="599">
        <f t="shared" si="74"/>
        <v>1</v>
      </c>
      <c r="AB87" s="599">
        <f t="shared" si="74"/>
        <v>1</v>
      </c>
      <c r="AC87" s="599">
        <f t="shared" si="74"/>
        <v>1</v>
      </c>
      <c r="AD87" s="599">
        <f t="shared" si="74"/>
        <v>1</v>
      </c>
      <c r="AE87" s="599">
        <f t="shared" si="74"/>
        <v>1</v>
      </c>
    </row>
    <row r="88" spans="2:31">
      <c r="C88" s="36"/>
      <c r="D88" s="36"/>
      <c r="E88" s="36"/>
      <c r="V88" s="76"/>
      <c r="W88" s="76"/>
      <c r="X88" s="76"/>
      <c r="Y88" s="76"/>
      <c r="Z88" s="76"/>
      <c r="AA88" s="76"/>
      <c r="AB88" s="76"/>
      <c r="AC88" s="76"/>
      <c r="AD88" s="76"/>
      <c r="AE88" s="76"/>
    </row>
    <row r="89" spans="2:31">
      <c r="C89" s="36"/>
      <c r="D89" s="36"/>
      <c r="E89" s="36"/>
      <c r="V89" s="76"/>
      <c r="W89" s="76"/>
      <c r="X89" s="76"/>
      <c r="Y89" s="76"/>
      <c r="Z89" s="76"/>
      <c r="AA89" s="76"/>
      <c r="AB89" s="76"/>
      <c r="AC89" s="76"/>
      <c r="AD89" s="76"/>
      <c r="AE89" s="76"/>
    </row>
    <row r="90" spans="2:31">
      <c r="C90" s="36"/>
      <c r="D90" s="36"/>
      <c r="E90" s="36"/>
      <c r="V90" s="76"/>
      <c r="W90" s="76"/>
      <c r="X90" s="76"/>
      <c r="Y90" s="76"/>
      <c r="Z90" s="76"/>
      <c r="AA90" s="76"/>
      <c r="AB90" s="76"/>
      <c r="AC90" s="76"/>
      <c r="AD90" s="76"/>
      <c r="AE90" s="76"/>
    </row>
    <row r="91" spans="2:31">
      <c r="C91" s="36"/>
      <c r="D91" s="36"/>
      <c r="E91" s="36"/>
      <c r="M91" s="1">
        <v>7897</v>
      </c>
      <c r="V91" s="76"/>
      <c r="W91" s="76"/>
      <c r="X91" s="76"/>
      <c r="Y91" s="76"/>
      <c r="Z91" s="76"/>
      <c r="AA91" s="76"/>
      <c r="AB91" s="76"/>
      <c r="AC91" s="76"/>
      <c r="AD91" s="76"/>
      <c r="AE91" s="76"/>
    </row>
    <row r="92" spans="2:31">
      <c r="C92" s="36"/>
      <c r="D92" s="36"/>
      <c r="E92" s="36"/>
      <c r="M92" s="1">
        <f>+M91*0.35</f>
        <v>2763.95</v>
      </c>
      <c r="V92" s="76"/>
      <c r="W92" s="76"/>
      <c r="X92" s="76"/>
      <c r="Y92" s="76"/>
      <c r="Z92" s="76"/>
      <c r="AA92" s="76"/>
      <c r="AB92" s="76"/>
      <c r="AC92" s="76"/>
      <c r="AD92" s="76"/>
      <c r="AE92" s="76"/>
    </row>
    <row r="93" spans="2:31">
      <c r="C93" s="36"/>
      <c r="D93" s="36"/>
      <c r="E93" s="36"/>
      <c r="V93" s="76"/>
      <c r="W93" s="76"/>
      <c r="X93" s="76"/>
      <c r="Y93" s="76"/>
      <c r="Z93" s="76"/>
      <c r="AA93" s="76"/>
      <c r="AB93" s="76"/>
      <c r="AC93" s="76"/>
      <c r="AD93" s="76"/>
      <c r="AE93" s="76"/>
    </row>
    <row r="94" spans="2:31">
      <c r="C94" s="36"/>
      <c r="D94" s="36"/>
      <c r="E94" s="36"/>
      <c r="V94" s="76"/>
      <c r="W94" s="76"/>
      <c r="X94" s="76"/>
      <c r="Y94" s="76"/>
      <c r="Z94" s="76"/>
      <c r="AA94" s="76"/>
      <c r="AB94" s="76"/>
      <c r="AC94" s="76"/>
      <c r="AD94" s="76"/>
      <c r="AE94" s="76"/>
    </row>
    <row r="95" spans="2:31">
      <c r="C95" s="36"/>
      <c r="D95" s="36"/>
      <c r="E95" s="36"/>
      <c r="V95" s="76"/>
      <c r="W95" s="76"/>
      <c r="X95" s="76"/>
      <c r="Y95" s="76"/>
      <c r="Z95" s="76"/>
      <c r="AA95" s="76"/>
      <c r="AB95" s="76"/>
      <c r="AC95" s="76"/>
      <c r="AD95" s="76"/>
      <c r="AE95" s="76"/>
    </row>
    <row r="96" spans="2:31">
      <c r="C96" s="36"/>
      <c r="D96" s="36"/>
      <c r="E96" s="36"/>
      <c r="V96" s="76"/>
      <c r="W96" s="76"/>
      <c r="X96" s="76"/>
      <c r="Y96" s="76"/>
      <c r="Z96" s="76"/>
      <c r="AA96" s="76"/>
      <c r="AB96" s="76"/>
      <c r="AC96" s="76"/>
      <c r="AD96" s="76"/>
      <c r="AE96" s="76"/>
    </row>
    <row r="97" spans="3:31">
      <c r="C97" s="36"/>
      <c r="D97" s="36"/>
      <c r="E97" s="36"/>
      <c r="V97" s="76"/>
      <c r="W97" s="76"/>
      <c r="X97" s="76"/>
      <c r="Y97" s="76"/>
      <c r="Z97" s="76"/>
      <c r="AA97" s="76"/>
      <c r="AB97" s="76"/>
      <c r="AC97" s="76"/>
      <c r="AD97" s="76"/>
      <c r="AE97" s="76"/>
    </row>
    <row r="98" spans="3:31">
      <c r="C98" s="36"/>
      <c r="D98" s="36"/>
      <c r="E98" s="36"/>
      <c r="V98" s="76"/>
      <c r="W98" s="76"/>
      <c r="X98" s="76"/>
      <c r="Y98" s="76"/>
      <c r="Z98" s="76"/>
      <c r="AA98" s="76"/>
      <c r="AB98" s="76"/>
      <c r="AC98" s="76"/>
      <c r="AD98" s="76"/>
      <c r="AE98" s="76"/>
    </row>
    <row r="99" spans="3:31">
      <c r="C99" s="36"/>
      <c r="D99" s="36"/>
      <c r="E99" s="36"/>
      <c r="V99" s="76"/>
      <c r="W99" s="76"/>
      <c r="X99" s="76"/>
      <c r="Y99" s="76"/>
      <c r="Z99" s="76"/>
      <c r="AA99" s="76"/>
      <c r="AB99" s="76"/>
      <c r="AC99" s="76"/>
      <c r="AD99" s="76"/>
      <c r="AE99" s="76"/>
    </row>
    <row r="100" spans="3:31">
      <c r="C100" s="36"/>
      <c r="D100" s="36"/>
      <c r="E100" s="3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</row>
    <row r="101" spans="3:31">
      <c r="C101" s="36"/>
      <c r="D101" s="36"/>
      <c r="E101" s="36"/>
    </row>
    <row r="102" spans="3:31">
      <c r="C102" s="36"/>
      <c r="D102" s="36"/>
      <c r="E102" s="36"/>
    </row>
    <row r="103" spans="3:31">
      <c r="C103" s="36"/>
      <c r="D103" s="36"/>
      <c r="E103" s="36"/>
    </row>
    <row r="104" spans="3:31">
      <c r="C104" s="36"/>
      <c r="D104" s="36"/>
      <c r="E104" s="36"/>
    </row>
    <row r="105" spans="3:31">
      <c r="C105" s="36"/>
      <c r="D105" s="36"/>
      <c r="E105" s="36"/>
    </row>
    <row r="106" spans="3:31">
      <c r="C106" s="36"/>
      <c r="D106" s="36"/>
      <c r="E106" s="36"/>
    </row>
    <row r="107" spans="3:31">
      <c r="C107" s="36"/>
      <c r="D107" s="36"/>
      <c r="E107" s="36"/>
    </row>
    <row r="108" spans="3:31">
      <c r="C108" s="36"/>
      <c r="D108" s="36"/>
      <c r="E108" s="36"/>
    </row>
    <row r="109" spans="3:31">
      <c r="C109" s="36"/>
      <c r="D109" s="36"/>
      <c r="E109" s="36"/>
    </row>
    <row r="110" spans="3:31">
      <c r="C110" s="36"/>
      <c r="D110" s="36"/>
      <c r="E110" s="36"/>
    </row>
    <row r="111" spans="3:31">
      <c r="C111" s="36"/>
      <c r="D111" s="36"/>
      <c r="E111" s="36"/>
    </row>
    <row r="112" spans="3:31">
      <c r="C112" s="36"/>
      <c r="D112" s="36"/>
      <c r="E112" s="36"/>
    </row>
    <row r="113" spans="3:5">
      <c r="C113" s="36"/>
      <c r="D113" s="36"/>
      <c r="E113" s="36"/>
    </row>
    <row r="114" spans="3:5">
      <c r="C114" s="36"/>
      <c r="D114" s="36"/>
      <c r="E114" s="36"/>
    </row>
    <row r="115" spans="3:5">
      <c r="C115" s="36"/>
      <c r="D115" s="36"/>
      <c r="E115" s="36"/>
    </row>
    <row r="116" spans="3:5">
      <c r="C116" s="36"/>
      <c r="D116" s="36"/>
      <c r="E116" s="36"/>
    </row>
    <row r="117" spans="3:5">
      <c r="C117" s="36"/>
      <c r="D117" s="36"/>
      <c r="E117" s="36"/>
    </row>
    <row r="118" spans="3:5">
      <c r="C118" s="36"/>
      <c r="D118" s="36"/>
      <c r="E118" s="36"/>
    </row>
    <row r="119" spans="3:5">
      <c r="C119" s="36"/>
      <c r="D119" s="36"/>
      <c r="E119" s="36"/>
    </row>
    <row r="120" spans="3:5">
      <c r="C120" s="36"/>
      <c r="D120" s="36"/>
      <c r="E120" s="36"/>
    </row>
    <row r="121" spans="3:5">
      <c r="C121" s="36"/>
      <c r="D121" s="36"/>
      <c r="E121" s="36"/>
    </row>
    <row r="122" spans="3:5">
      <c r="C122" s="36"/>
      <c r="D122" s="36"/>
      <c r="E122" s="36"/>
    </row>
    <row r="123" spans="3:5">
      <c r="C123" s="36"/>
      <c r="D123" s="36"/>
      <c r="E123" s="36"/>
    </row>
    <row r="124" spans="3:5">
      <c r="C124" s="36"/>
      <c r="D124" s="36"/>
      <c r="E124" s="36"/>
    </row>
    <row r="125" spans="3:5">
      <c r="C125" s="36"/>
      <c r="D125" s="36"/>
      <c r="E125" s="36"/>
    </row>
    <row r="126" spans="3:5">
      <c r="C126" s="36"/>
      <c r="D126" s="36"/>
      <c r="E126" s="36"/>
    </row>
    <row r="127" spans="3:5">
      <c r="C127" s="36"/>
      <c r="D127" s="36"/>
      <c r="E127" s="36"/>
    </row>
    <row r="128" spans="3:5">
      <c r="C128" s="36"/>
      <c r="D128" s="36"/>
      <c r="E128" s="36"/>
    </row>
    <row r="129" spans="3:5">
      <c r="C129" s="36"/>
      <c r="D129" s="36"/>
      <c r="E129" s="36"/>
    </row>
    <row r="130" spans="3:5">
      <c r="C130" s="36"/>
      <c r="D130" s="36"/>
      <c r="E130" s="36"/>
    </row>
    <row r="131" spans="3:5">
      <c r="C131" s="36"/>
      <c r="D131" s="36"/>
      <c r="E131" s="36"/>
    </row>
    <row r="132" spans="3:5">
      <c r="C132" s="36"/>
      <c r="D132" s="36"/>
      <c r="E132" s="36"/>
    </row>
    <row r="133" spans="3:5">
      <c r="C133" s="36"/>
      <c r="D133" s="36"/>
      <c r="E133" s="36"/>
    </row>
    <row r="134" spans="3:5">
      <c r="C134" s="36"/>
      <c r="D134" s="36"/>
      <c r="E134" s="36"/>
    </row>
    <row r="135" spans="3:5">
      <c r="C135" s="36"/>
      <c r="D135" s="36"/>
      <c r="E135" s="36"/>
    </row>
    <row r="136" spans="3:5">
      <c r="C136" s="36"/>
      <c r="D136" s="36"/>
      <c r="E136" s="36"/>
    </row>
    <row r="137" spans="3:5">
      <c r="C137" s="36"/>
      <c r="D137" s="36"/>
      <c r="E137" s="36"/>
    </row>
    <row r="138" spans="3:5">
      <c r="C138" s="36"/>
      <c r="D138" s="36"/>
      <c r="E138" s="36"/>
    </row>
    <row r="139" spans="3:5">
      <c r="C139" s="36"/>
      <c r="D139" s="36"/>
      <c r="E139" s="36"/>
    </row>
    <row r="140" spans="3:5">
      <c r="C140" s="36"/>
      <c r="D140" s="36"/>
      <c r="E140" s="36"/>
    </row>
    <row r="141" spans="3:5">
      <c r="C141" s="36"/>
      <c r="D141" s="36"/>
      <c r="E141" s="36"/>
    </row>
    <row r="142" spans="3:5">
      <c r="C142" s="36"/>
      <c r="D142" s="36"/>
      <c r="E142" s="36"/>
    </row>
    <row r="143" spans="3:5">
      <c r="C143" s="36"/>
      <c r="D143" s="36"/>
      <c r="E143" s="36"/>
    </row>
    <row r="144" spans="3:5">
      <c r="C144" s="36"/>
      <c r="D144" s="36"/>
      <c r="E144" s="36"/>
    </row>
    <row r="145" spans="3:5">
      <c r="C145" s="36"/>
      <c r="D145" s="36"/>
      <c r="E145" s="36"/>
    </row>
    <row r="146" spans="3:5">
      <c r="C146" s="36"/>
      <c r="D146" s="36"/>
      <c r="E146" s="36"/>
    </row>
    <row r="147" spans="3:5">
      <c r="C147" s="36"/>
      <c r="D147" s="36"/>
      <c r="E147" s="36"/>
    </row>
    <row r="148" spans="3:5">
      <c r="C148" s="36"/>
      <c r="D148" s="36"/>
      <c r="E148" s="36"/>
    </row>
    <row r="149" spans="3:5">
      <c r="C149" s="36"/>
      <c r="D149" s="36"/>
      <c r="E149" s="36"/>
    </row>
    <row r="150" spans="3:5">
      <c r="C150" s="36"/>
      <c r="D150" s="36"/>
      <c r="E150" s="36"/>
    </row>
    <row r="151" spans="3:5">
      <c r="C151" s="36"/>
      <c r="D151" s="36"/>
      <c r="E151" s="36"/>
    </row>
    <row r="152" spans="3:5">
      <c r="C152" s="36"/>
      <c r="D152" s="36"/>
      <c r="E152" s="36"/>
    </row>
    <row r="153" spans="3:5">
      <c r="C153" s="36"/>
      <c r="D153" s="36"/>
      <c r="E153" s="36"/>
    </row>
    <row r="154" spans="3:5">
      <c r="C154" s="36"/>
      <c r="D154" s="36"/>
      <c r="E154" s="36"/>
    </row>
    <row r="155" spans="3:5">
      <c r="C155" s="36"/>
      <c r="D155" s="36"/>
      <c r="E155" s="36"/>
    </row>
    <row r="156" spans="3:5">
      <c r="C156" s="36"/>
      <c r="D156" s="36"/>
      <c r="E156" s="36"/>
    </row>
    <row r="157" spans="3:5">
      <c r="C157" s="36"/>
      <c r="D157" s="36"/>
      <c r="E157" s="36"/>
    </row>
    <row r="158" spans="3:5">
      <c r="C158" s="36"/>
      <c r="D158" s="36"/>
      <c r="E158" s="36"/>
    </row>
    <row r="159" spans="3:5">
      <c r="C159" s="36"/>
      <c r="D159" s="36"/>
      <c r="E159" s="36"/>
    </row>
    <row r="160" spans="3:5">
      <c r="C160" s="36"/>
      <c r="D160" s="36"/>
      <c r="E160" s="36"/>
    </row>
    <row r="161" spans="3:5">
      <c r="C161" s="36"/>
      <c r="D161" s="36"/>
      <c r="E161" s="36"/>
    </row>
    <row r="162" spans="3:5">
      <c r="C162" s="36"/>
      <c r="D162" s="36"/>
      <c r="E162" s="36"/>
    </row>
    <row r="163" spans="3:5">
      <c r="C163" s="36"/>
      <c r="D163" s="36"/>
      <c r="E163" s="36"/>
    </row>
    <row r="164" spans="3:5">
      <c r="C164" s="36"/>
      <c r="D164" s="36"/>
      <c r="E164" s="36"/>
    </row>
    <row r="165" spans="3:5">
      <c r="C165" s="36"/>
      <c r="D165" s="36"/>
      <c r="E165" s="36"/>
    </row>
    <row r="166" spans="3:5">
      <c r="C166" s="36"/>
      <c r="D166" s="36"/>
      <c r="E166" s="36"/>
    </row>
    <row r="167" spans="3:5">
      <c r="C167" s="36"/>
      <c r="D167" s="36"/>
      <c r="E167" s="36"/>
    </row>
    <row r="168" spans="3:5">
      <c r="C168" s="36"/>
      <c r="D168" s="36"/>
      <c r="E168" s="36"/>
    </row>
    <row r="169" spans="3:5">
      <c r="C169" s="36"/>
      <c r="D169" s="36"/>
      <c r="E169" s="36"/>
    </row>
    <row r="170" spans="3:5">
      <c r="C170" s="36"/>
      <c r="D170" s="36"/>
      <c r="E170" s="36"/>
    </row>
    <row r="171" spans="3:5">
      <c r="C171" s="36"/>
      <c r="D171" s="36"/>
      <c r="E171" s="36"/>
    </row>
    <row r="172" spans="3:5">
      <c r="C172" s="36"/>
      <c r="D172" s="36"/>
      <c r="E172" s="36"/>
    </row>
    <row r="173" spans="3:5">
      <c r="C173" s="36"/>
      <c r="D173" s="36"/>
      <c r="E173" s="36"/>
    </row>
    <row r="174" spans="3:5">
      <c r="C174" s="36"/>
      <c r="D174" s="36"/>
      <c r="E174" s="36"/>
    </row>
    <row r="175" spans="3:5">
      <c r="C175" s="36"/>
      <c r="D175" s="36"/>
      <c r="E175" s="36"/>
    </row>
    <row r="176" spans="3:5">
      <c r="C176" s="36"/>
      <c r="D176" s="36"/>
      <c r="E176" s="36"/>
    </row>
    <row r="177" spans="3:5">
      <c r="C177" s="36"/>
      <c r="D177" s="36"/>
      <c r="E177" s="36"/>
    </row>
    <row r="178" spans="3:5">
      <c r="C178" s="36"/>
      <c r="D178" s="36"/>
      <c r="E178" s="36"/>
    </row>
    <row r="179" spans="3:5">
      <c r="C179" s="36"/>
      <c r="D179" s="36"/>
      <c r="E179" s="36"/>
    </row>
    <row r="180" spans="3:5">
      <c r="C180" s="36"/>
      <c r="D180" s="36"/>
      <c r="E180" s="36"/>
    </row>
    <row r="181" spans="3:5">
      <c r="C181" s="36"/>
      <c r="D181" s="36"/>
      <c r="E181" s="36"/>
    </row>
    <row r="182" spans="3:5">
      <c r="C182" s="36"/>
      <c r="D182" s="36"/>
      <c r="E182" s="36"/>
    </row>
    <row r="183" spans="3:5">
      <c r="C183" s="36"/>
      <c r="D183" s="36"/>
      <c r="E183" s="36"/>
    </row>
    <row r="184" spans="3:5">
      <c r="C184" s="36"/>
      <c r="D184" s="36"/>
      <c r="E184" s="36"/>
    </row>
    <row r="185" spans="3:5">
      <c r="C185" s="36"/>
      <c r="D185" s="36"/>
      <c r="E185" s="36"/>
    </row>
    <row r="186" spans="3:5">
      <c r="C186" s="36"/>
      <c r="D186" s="36"/>
      <c r="E186" s="36"/>
    </row>
    <row r="187" spans="3:5">
      <c r="C187" s="36"/>
      <c r="D187" s="36"/>
      <c r="E187" s="36"/>
    </row>
    <row r="188" spans="3:5">
      <c r="C188" s="36"/>
      <c r="D188" s="36"/>
      <c r="E188" s="36"/>
    </row>
    <row r="189" spans="3:5">
      <c r="C189" s="36"/>
      <c r="D189" s="36"/>
      <c r="E189" s="36"/>
    </row>
    <row r="190" spans="3:5">
      <c r="C190" s="36"/>
      <c r="D190" s="36"/>
      <c r="E190" s="36"/>
    </row>
    <row r="191" spans="3:5">
      <c r="C191" s="36"/>
      <c r="D191" s="36"/>
      <c r="E191" s="36"/>
    </row>
    <row r="192" spans="3:5">
      <c r="C192" s="36"/>
      <c r="D192" s="36"/>
      <c r="E192" s="36"/>
    </row>
    <row r="193" spans="3:5">
      <c r="C193" s="36"/>
      <c r="D193" s="36"/>
      <c r="E193" s="36"/>
    </row>
    <row r="194" spans="3:5">
      <c r="C194" s="36"/>
      <c r="D194" s="36"/>
      <c r="E194" s="36"/>
    </row>
    <row r="195" spans="3:5">
      <c r="C195" s="36"/>
      <c r="D195" s="36"/>
      <c r="E195" s="36"/>
    </row>
    <row r="196" spans="3:5">
      <c r="C196" s="36"/>
      <c r="D196" s="36"/>
      <c r="E196" s="36"/>
    </row>
    <row r="197" spans="3:5">
      <c r="C197" s="36"/>
      <c r="D197" s="36"/>
      <c r="E197" s="36"/>
    </row>
    <row r="198" spans="3:5">
      <c r="C198" s="36"/>
      <c r="D198" s="36"/>
      <c r="E198" s="36"/>
    </row>
    <row r="199" spans="3:5">
      <c r="C199" s="36"/>
      <c r="D199" s="36"/>
      <c r="E199" s="36"/>
    </row>
    <row r="200" spans="3:5">
      <c r="C200" s="36"/>
      <c r="D200" s="36"/>
      <c r="E200" s="36"/>
    </row>
    <row r="201" spans="3:5">
      <c r="C201" s="36"/>
      <c r="D201" s="36"/>
      <c r="E201" s="36"/>
    </row>
    <row r="202" spans="3:5">
      <c r="C202" s="36"/>
      <c r="D202" s="36"/>
      <c r="E202" s="36"/>
    </row>
    <row r="203" spans="3:5">
      <c r="C203" s="36"/>
      <c r="D203" s="36"/>
      <c r="E203" s="36"/>
    </row>
    <row r="204" spans="3:5">
      <c r="C204" s="36"/>
      <c r="D204" s="36"/>
      <c r="E204" s="36"/>
    </row>
    <row r="205" spans="3:5">
      <c r="C205" s="36"/>
      <c r="D205" s="36"/>
      <c r="E205" s="36"/>
    </row>
    <row r="206" spans="3:5">
      <c r="C206" s="36"/>
      <c r="D206" s="36"/>
      <c r="E206" s="36"/>
    </row>
    <row r="207" spans="3:5">
      <c r="C207" s="36"/>
      <c r="D207" s="36"/>
      <c r="E207" s="36"/>
    </row>
    <row r="208" spans="3:5">
      <c r="C208" s="36"/>
      <c r="D208" s="36"/>
      <c r="E208" s="36"/>
    </row>
    <row r="209" spans="3:5">
      <c r="C209" s="36"/>
      <c r="D209" s="36"/>
      <c r="E209" s="36"/>
    </row>
    <row r="210" spans="3:5">
      <c r="C210" s="36"/>
      <c r="D210" s="36"/>
      <c r="E210" s="36"/>
    </row>
    <row r="211" spans="3:5">
      <c r="C211" s="36"/>
      <c r="D211" s="36"/>
      <c r="E211" s="36"/>
    </row>
    <row r="212" spans="3:5">
      <c r="C212" s="36"/>
      <c r="D212" s="36"/>
      <c r="E212" s="36"/>
    </row>
    <row r="213" spans="3:5">
      <c r="C213" s="36"/>
      <c r="D213" s="36"/>
      <c r="E213" s="36"/>
    </row>
    <row r="214" spans="3:5">
      <c r="C214" s="36"/>
      <c r="D214" s="36"/>
      <c r="E214" s="36"/>
    </row>
    <row r="215" spans="3:5">
      <c r="C215" s="36"/>
      <c r="D215" s="36"/>
      <c r="E215" s="36"/>
    </row>
    <row r="216" spans="3:5">
      <c r="C216" s="36"/>
      <c r="D216" s="36"/>
      <c r="E216" s="36"/>
    </row>
    <row r="217" spans="3:5">
      <c r="C217" s="36"/>
      <c r="D217" s="36"/>
      <c r="E217" s="36"/>
    </row>
    <row r="218" spans="3:5">
      <c r="C218" s="36"/>
      <c r="D218" s="36"/>
      <c r="E218" s="36"/>
    </row>
    <row r="219" spans="3:5">
      <c r="C219" s="36"/>
      <c r="D219" s="36"/>
      <c r="E219" s="36"/>
    </row>
    <row r="220" spans="3:5">
      <c r="C220" s="36"/>
      <c r="D220" s="36"/>
      <c r="E220" s="36"/>
    </row>
    <row r="221" spans="3:5">
      <c r="C221" s="36"/>
      <c r="D221" s="36"/>
      <c r="E221" s="36"/>
    </row>
    <row r="222" spans="3:5">
      <c r="C222" s="36"/>
      <c r="D222" s="36"/>
      <c r="E222" s="36"/>
    </row>
    <row r="223" spans="3:5">
      <c r="C223" s="36"/>
      <c r="D223" s="36"/>
      <c r="E223" s="36"/>
    </row>
    <row r="224" spans="3:5">
      <c r="C224" s="36"/>
      <c r="D224" s="36"/>
      <c r="E224" s="36"/>
    </row>
    <row r="225" spans="3:5">
      <c r="C225" s="36"/>
      <c r="D225" s="36"/>
      <c r="E225" s="36"/>
    </row>
    <row r="226" spans="3:5">
      <c r="C226" s="36"/>
      <c r="D226" s="36"/>
      <c r="E226" s="36"/>
    </row>
    <row r="227" spans="3:5">
      <c r="C227" s="36"/>
      <c r="D227" s="36"/>
      <c r="E227" s="36"/>
    </row>
    <row r="228" spans="3:5">
      <c r="C228" s="36"/>
      <c r="D228" s="36"/>
      <c r="E228" s="36"/>
    </row>
    <row r="229" spans="3:5">
      <c r="C229" s="36"/>
      <c r="D229" s="36"/>
      <c r="E229" s="36"/>
    </row>
    <row r="230" spans="3:5">
      <c r="C230" s="36"/>
      <c r="D230" s="36"/>
      <c r="E230" s="36"/>
    </row>
    <row r="231" spans="3:5">
      <c r="C231" s="36"/>
      <c r="D231" s="36"/>
      <c r="E231" s="36"/>
    </row>
    <row r="232" spans="3:5">
      <c r="C232" s="36"/>
      <c r="D232" s="36"/>
      <c r="E232" s="36"/>
    </row>
    <row r="233" spans="3:5">
      <c r="C233" s="36"/>
      <c r="D233" s="36"/>
      <c r="E233" s="36"/>
    </row>
    <row r="234" spans="3:5">
      <c r="C234" s="36"/>
      <c r="D234" s="36"/>
      <c r="E234" s="36"/>
    </row>
    <row r="235" spans="3:5">
      <c r="C235" s="36"/>
      <c r="D235" s="36"/>
      <c r="E235" s="36"/>
    </row>
    <row r="236" spans="3:5">
      <c r="C236" s="36"/>
      <c r="D236" s="36"/>
      <c r="E236" s="36"/>
    </row>
    <row r="237" spans="3:5">
      <c r="C237" s="36"/>
      <c r="D237" s="36"/>
      <c r="E237" s="36"/>
    </row>
    <row r="238" spans="3:5">
      <c r="C238" s="36"/>
      <c r="D238" s="36"/>
      <c r="E238" s="36"/>
    </row>
    <row r="239" spans="3:5">
      <c r="C239" s="36"/>
      <c r="D239" s="36"/>
      <c r="E239" s="36"/>
    </row>
    <row r="240" spans="3:5">
      <c r="C240" s="36"/>
      <c r="D240" s="36"/>
      <c r="E240" s="36"/>
    </row>
    <row r="241" spans="3:5">
      <c r="C241" s="36"/>
      <c r="D241" s="36"/>
      <c r="E241" s="36"/>
    </row>
    <row r="242" spans="3:5">
      <c r="C242" s="36"/>
      <c r="D242" s="36"/>
      <c r="E242" s="36"/>
    </row>
    <row r="243" spans="3:5">
      <c r="C243" s="36"/>
      <c r="D243" s="36"/>
      <c r="E243" s="36"/>
    </row>
    <row r="244" spans="3:5">
      <c r="C244" s="36"/>
      <c r="D244" s="36"/>
      <c r="E244" s="36"/>
    </row>
    <row r="245" spans="3:5">
      <c r="C245" s="36"/>
      <c r="D245" s="36"/>
      <c r="E245" s="36"/>
    </row>
    <row r="246" spans="3:5">
      <c r="C246" s="36"/>
      <c r="D246" s="36"/>
      <c r="E246" s="36"/>
    </row>
    <row r="247" spans="3:5">
      <c r="C247" s="36"/>
      <c r="D247" s="36"/>
      <c r="E247" s="36"/>
    </row>
    <row r="248" spans="3:5">
      <c r="C248" s="36"/>
      <c r="D248" s="36"/>
      <c r="E248" s="36"/>
    </row>
    <row r="249" spans="3:5">
      <c r="C249" s="36"/>
      <c r="D249" s="36"/>
      <c r="E249" s="36"/>
    </row>
    <row r="250" spans="3:5">
      <c r="C250" s="36"/>
      <c r="D250" s="36"/>
      <c r="E250" s="36"/>
    </row>
    <row r="251" spans="3:5">
      <c r="C251" s="36"/>
      <c r="D251" s="36"/>
      <c r="E251" s="36"/>
    </row>
    <row r="252" spans="3:5">
      <c r="C252" s="36"/>
      <c r="D252" s="36"/>
      <c r="E252" s="36"/>
    </row>
    <row r="253" spans="3:5">
      <c r="C253" s="36"/>
      <c r="D253" s="36"/>
      <c r="E253" s="36"/>
    </row>
    <row r="254" spans="3:5">
      <c r="C254" s="36"/>
      <c r="D254" s="36"/>
      <c r="E254" s="36"/>
    </row>
    <row r="255" spans="3:5">
      <c r="C255" s="36"/>
      <c r="D255" s="36"/>
      <c r="E255" s="36"/>
    </row>
    <row r="256" spans="3:5">
      <c r="C256" s="36"/>
      <c r="D256" s="36"/>
      <c r="E256" s="36"/>
    </row>
    <row r="257" spans="3:5">
      <c r="C257" s="36"/>
      <c r="D257" s="36"/>
      <c r="E257" s="36"/>
    </row>
    <row r="258" spans="3:5">
      <c r="C258" s="36"/>
      <c r="D258" s="36"/>
      <c r="E258" s="36"/>
    </row>
    <row r="259" spans="3:5">
      <c r="C259" s="36"/>
      <c r="D259" s="36"/>
      <c r="E259" s="36"/>
    </row>
    <row r="260" spans="3:5">
      <c r="C260" s="36"/>
      <c r="D260" s="36"/>
      <c r="E260" s="36"/>
    </row>
    <row r="261" spans="3:5">
      <c r="C261" s="36"/>
      <c r="D261" s="36"/>
      <c r="E261" s="36"/>
    </row>
    <row r="262" spans="3:5">
      <c r="C262" s="36"/>
      <c r="D262" s="36"/>
      <c r="E262" s="36"/>
    </row>
    <row r="263" spans="3:5">
      <c r="C263" s="36"/>
      <c r="D263" s="36"/>
      <c r="E263" s="36"/>
    </row>
    <row r="264" spans="3:5">
      <c r="C264" s="36"/>
      <c r="D264" s="36"/>
      <c r="E264" s="36"/>
    </row>
    <row r="265" spans="3:5">
      <c r="C265" s="36"/>
      <c r="D265" s="36"/>
      <c r="E265" s="36"/>
    </row>
    <row r="266" spans="3:5">
      <c r="C266" s="36"/>
      <c r="D266" s="36"/>
      <c r="E266" s="36"/>
    </row>
    <row r="267" spans="3:5">
      <c r="C267" s="36"/>
      <c r="D267" s="36"/>
      <c r="E267" s="36"/>
    </row>
    <row r="268" spans="3:5">
      <c r="C268" s="36"/>
      <c r="D268" s="36"/>
      <c r="E268" s="36"/>
    </row>
    <row r="269" spans="3:5">
      <c r="C269" s="36"/>
      <c r="D269" s="36"/>
      <c r="E269" s="36"/>
    </row>
    <row r="270" spans="3:5">
      <c r="C270" s="36"/>
      <c r="D270" s="36"/>
      <c r="E270" s="36"/>
    </row>
    <row r="271" spans="3:5">
      <c r="C271" s="36"/>
      <c r="D271" s="36"/>
      <c r="E271" s="36"/>
    </row>
    <row r="272" spans="3:5">
      <c r="C272" s="36"/>
      <c r="D272" s="36"/>
      <c r="E272" s="36"/>
    </row>
    <row r="273" spans="3:5">
      <c r="C273" s="36"/>
      <c r="D273" s="36"/>
      <c r="E273" s="36"/>
    </row>
    <row r="274" spans="3:5">
      <c r="C274" s="36"/>
      <c r="D274" s="36"/>
      <c r="E274" s="36"/>
    </row>
    <row r="275" spans="3:5">
      <c r="C275" s="36"/>
      <c r="D275" s="36"/>
      <c r="E275" s="36"/>
    </row>
    <row r="276" spans="3:5">
      <c r="C276" s="36"/>
      <c r="D276" s="36"/>
      <c r="E276" s="36"/>
    </row>
    <row r="277" spans="3:5">
      <c r="C277" s="36"/>
      <c r="D277" s="36"/>
      <c r="E277" s="36"/>
    </row>
    <row r="278" spans="3:5">
      <c r="C278" s="36"/>
      <c r="D278" s="36"/>
      <c r="E278" s="36"/>
    </row>
    <row r="279" spans="3:5">
      <c r="C279" s="36"/>
      <c r="D279" s="36"/>
      <c r="E279" s="36"/>
    </row>
    <row r="280" spans="3:5">
      <c r="C280" s="36"/>
      <c r="D280" s="36"/>
      <c r="E280" s="36"/>
    </row>
    <row r="281" spans="3:5">
      <c r="C281" s="36"/>
      <c r="D281" s="36"/>
      <c r="E281" s="36"/>
    </row>
    <row r="282" spans="3:5">
      <c r="C282" s="36"/>
      <c r="D282" s="36"/>
      <c r="E282" s="36"/>
    </row>
    <row r="283" spans="3:5">
      <c r="C283" s="36"/>
      <c r="D283" s="36"/>
      <c r="E283" s="36"/>
    </row>
    <row r="284" spans="3:5">
      <c r="C284" s="36"/>
      <c r="D284" s="36"/>
      <c r="E284" s="36"/>
    </row>
  </sheetData>
  <phoneticPr fontId="5" type="noConversion"/>
  <pageMargins left="0.75" right="0.75" top="1" bottom="1" header="0.5" footer="0.5"/>
  <pageSetup orientation="portrait" r:id="rId1"/>
  <headerFooter alignWithMargins="0"/>
  <ignoredErrors>
    <ignoredError sqref="S20" formula="1"/>
  </ignoredErrors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6"/>
  <sheetViews>
    <sheetView workbookViewId="0"/>
  </sheetViews>
  <sheetFormatPr defaultRowHeight="12.75"/>
  <cols>
    <col min="1" max="1" width="10.140625" style="840" bestFit="1" customWidth="1"/>
    <col min="2" max="2" width="12" style="840" bestFit="1" customWidth="1"/>
    <col min="3" max="3" width="9.140625" style="840"/>
    <col min="4" max="4" width="15.7109375" style="840" bestFit="1" customWidth="1"/>
    <col min="5" max="5" width="20.140625" style="840" bestFit="1" customWidth="1"/>
    <col min="6" max="9" width="9.140625" style="840"/>
    <col min="10" max="10" width="21.42578125" style="840" bestFit="1" customWidth="1"/>
    <col min="11" max="15" width="9.140625" style="840"/>
    <col min="16" max="16" width="9.140625" style="840" bestFit="1" customWidth="1"/>
    <col min="17" max="16384" width="9.140625" style="840"/>
  </cols>
  <sheetData>
    <row r="1" spans="1:24">
      <c r="A1" s="840" t="s">
        <v>217</v>
      </c>
      <c r="B1" s="841" t="s">
        <v>647</v>
      </c>
      <c r="C1" s="841" t="s">
        <v>648</v>
      </c>
      <c r="D1" s="840" t="s">
        <v>649</v>
      </c>
      <c r="E1" s="842" t="s">
        <v>650</v>
      </c>
      <c r="F1" s="843">
        <f>[39]DCF!C27</f>
        <v>194.32881698450649</v>
      </c>
      <c r="G1" s="843"/>
      <c r="H1" s="843"/>
      <c r="I1" s="843"/>
      <c r="J1" s="843"/>
      <c r="K1" s="843"/>
      <c r="L1" s="843"/>
      <c r="M1" s="843"/>
      <c r="N1" s="843"/>
      <c r="O1" s="843"/>
      <c r="P1" s="844"/>
      <c r="Q1" s="844"/>
      <c r="R1" s="844"/>
      <c r="S1" s="844"/>
      <c r="T1" s="844"/>
      <c r="U1" s="844"/>
      <c r="V1" s="844"/>
      <c r="W1" s="844"/>
      <c r="X1" s="844"/>
    </row>
    <row r="2" spans="1:24">
      <c r="A2" s="845">
        <v>40942</v>
      </c>
      <c r="B2" s="840">
        <v>105.72</v>
      </c>
      <c r="C2" s="840">
        <v>97.84</v>
      </c>
      <c r="E2" s="846" t="s">
        <v>651</v>
      </c>
      <c r="F2" s="846">
        <f>SLOPE(B2:B267,C2:C267)</f>
        <v>1.5805527280268199</v>
      </c>
      <c r="G2" s="843"/>
      <c r="H2" s="843"/>
      <c r="I2" s="843"/>
      <c r="J2" s="843"/>
      <c r="K2" s="843">
        <v>105.59</v>
      </c>
      <c r="L2" s="843">
        <f>L6/K2-1</f>
        <v>-0.10020166673326358</v>
      </c>
      <c r="M2" s="843">
        <f>M6/K2-1</f>
        <v>-0.16007675823915679</v>
      </c>
      <c r="N2" s="843"/>
      <c r="O2" s="843"/>
    </row>
    <row r="3" spans="1:24">
      <c r="A3" s="845">
        <v>40935</v>
      </c>
      <c r="B3" s="840">
        <v>107.17</v>
      </c>
      <c r="C3" s="840">
        <v>99.56</v>
      </c>
      <c r="E3" s="846" t="s">
        <v>652</v>
      </c>
      <c r="F3" s="846">
        <f>INTERCEPT(B2:B267,C2:C267)</f>
        <v>-45.659486784752261</v>
      </c>
      <c r="G3" s="843"/>
      <c r="H3" s="843"/>
      <c r="I3" s="843"/>
      <c r="J3" s="843"/>
      <c r="K3" s="843"/>
      <c r="L3" s="843"/>
      <c r="M3" s="843"/>
      <c r="N3" s="843"/>
      <c r="O3" s="843"/>
    </row>
    <row r="4" spans="1:24">
      <c r="A4" s="845">
        <v>40928</v>
      </c>
      <c r="B4" s="840">
        <v>103.91</v>
      </c>
      <c r="C4" s="840">
        <v>98.33</v>
      </c>
      <c r="E4" s="847"/>
      <c r="F4" s="848" t="s">
        <v>156</v>
      </c>
      <c r="G4" s="848" t="s">
        <v>157</v>
      </c>
      <c r="H4" s="848" t="s">
        <v>158</v>
      </c>
      <c r="I4" s="848" t="s">
        <v>159</v>
      </c>
      <c r="J4" s="848" t="s">
        <v>538</v>
      </c>
      <c r="K4" s="848" t="s">
        <v>539</v>
      </c>
      <c r="L4" s="848" t="s">
        <v>543</v>
      </c>
      <c r="M4" s="848" t="s">
        <v>560</v>
      </c>
      <c r="N4" s="848" t="s">
        <v>587</v>
      </c>
      <c r="O4" s="848" t="s">
        <v>590</v>
      </c>
      <c r="P4" s="848" t="s">
        <v>619</v>
      </c>
      <c r="Q4" s="848" t="s">
        <v>620</v>
      </c>
      <c r="R4" s="848" t="s">
        <v>621</v>
      </c>
      <c r="S4" s="848" t="s">
        <v>622</v>
      </c>
      <c r="T4" s="848" t="s">
        <v>623</v>
      </c>
      <c r="U4" s="848" t="s">
        <v>624</v>
      </c>
      <c r="V4" s="848" t="s">
        <v>625</v>
      </c>
      <c r="W4" s="848" t="s">
        <v>626</v>
      </c>
      <c r="X4" s="848" t="s">
        <v>627</v>
      </c>
    </row>
    <row r="5" spans="1:24">
      <c r="A5" s="845">
        <v>40921</v>
      </c>
      <c r="B5" s="840">
        <v>105.89</v>
      </c>
      <c r="C5" s="840">
        <v>98.88</v>
      </c>
      <c r="E5" s="840" t="s">
        <v>648</v>
      </c>
      <c r="F5" s="840">
        <f>AVERAGE(C242:C267)</f>
        <v>66.384230769230783</v>
      </c>
      <c r="G5" s="840">
        <f>AVERAGE(C190:C241)</f>
        <v>90.496346153846176</v>
      </c>
      <c r="H5" s="840">
        <f>AVERAGE(C138:C189)</f>
        <v>84.627307692307724</v>
      </c>
      <c r="I5" s="840">
        <f>AVERAGE(C86:C137)</f>
        <v>83.751538461538459</v>
      </c>
      <c r="J5" s="840">
        <f>AVERAGE(C34:C85)</f>
        <v>93.872884615384592</v>
      </c>
      <c r="K5" s="840">
        <v>94.94</v>
      </c>
      <c r="L5" s="840">
        <v>89</v>
      </c>
      <c r="M5" s="840">
        <v>85</v>
      </c>
      <c r="N5" s="840">
        <f>M5</f>
        <v>85</v>
      </c>
      <c r="O5" s="840">
        <f t="shared" ref="O5:X5" si="0">N5</f>
        <v>85</v>
      </c>
      <c r="P5" s="840">
        <f t="shared" si="0"/>
        <v>85</v>
      </c>
      <c r="Q5" s="840">
        <f t="shared" si="0"/>
        <v>85</v>
      </c>
      <c r="R5" s="840">
        <f t="shared" si="0"/>
        <v>85</v>
      </c>
      <c r="S5" s="840">
        <f t="shared" si="0"/>
        <v>85</v>
      </c>
      <c r="T5" s="840">
        <f t="shared" si="0"/>
        <v>85</v>
      </c>
      <c r="U5" s="840">
        <f t="shared" si="0"/>
        <v>85</v>
      </c>
      <c r="V5" s="840">
        <f t="shared" si="0"/>
        <v>85</v>
      </c>
      <c r="W5" s="840">
        <f t="shared" si="0"/>
        <v>85</v>
      </c>
      <c r="X5" s="840">
        <f t="shared" si="0"/>
        <v>85</v>
      </c>
    </row>
    <row r="6" spans="1:24">
      <c r="A6" s="845">
        <v>40914</v>
      </c>
      <c r="B6" s="840">
        <v>106.65</v>
      </c>
      <c r="C6" s="840">
        <v>101.78</v>
      </c>
      <c r="E6" s="849" t="s">
        <v>653</v>
      </c>
      <c r="F6" s="840">
        <f>$F$2*F5+$F$3</f>
        <v>59.264290255517409</v>
      </c>
      <c r="G6" s="840">
        <f t="shared" ref="G6:X6" si="1">$F$2*G5+$F$3</f>
        <v>97.374760005168724</v>
      </c>
      <c r="H6" s="840">
        <f t="shared" si="1"/>
        <v>88.098435253889789</v>
      </c>
      <c r="I6" s="840">
        <f t="shared" si="1"/>
        <v>86.714235807075482</v>
      </c>
      <c r="J6" s="840">
        <f t="shared" si="1"/>
        <v>102.71155708184074</v>
      </c>
      <c r="K6" s="840">
        <f t="shared" si="1"/>
        <v>104.39818921411401</v>
      </c>
      <c r="L6" s="840">
        <f>$F$2*L5+$F$3</f>
        <v>95.009706009634698</v>
      </c>
      <c r="M6" s="840">
        <f>$F$2*M5+$F$3</f>
        <v>88.687495097527432</v>
      </c>
      <c r="N6" s="840">
        <f>$F$2*N5+$F$3</f>
        <v>88.687495097527432</v>
      </c>
      <c r="O6" s="840">
        <f>$F$2*O5+$F$3</f>
        <v>88.687495097527432</v>
      </c>
      <c r="P6" s="840">
        <f t="shared" si="1"/>
        <v>88.687495097527432</v>
      </c>
      <c r="Q6" s="840">
        <f t="shared" si="1"/>
        <v>88.687495097527432</v>
      </c>
      <c r="R6" s="840">
        <f t="shared" si="1"/>
        <v>88.687495097527432</v>
      </c>
      <c r="S6" s="840">
        <f t="shared" si="1"/>
        <v>88.687495097527432</v>
      </c>
      <c r="T6" s="840">
        <f t="shared" si="1"/>
        <v>88.687495097527432</v>
      </c>
      <c r="U6" s="840">
        <f t="shared" si="1"/>
        <v>88.687495097527432</v>
      </c>
      <c r="V6" s="840">
        <f t="shared" si="1"/>
        <v>88.687495097527432</v>
      </c>
      <c r="W6" s="840">
        <f t="shared" si="1"/>
        <v>88.687495097527432</v>
      </c>
      <c r="X6" s="840">
        <f t="shared" si="1"/>
        <v>88.687495097527432</v>
      </c>
    </row>
    <row r="7" spans="1:24">
      <c r="A7" s="845">
        <v>40907</v>
      </c>
      <c r="B7" s="840">
        <v>105.74</v>
      </c>
      <c r="C7" s="840">
        <v>99</v>
      </c>
      <c r="E7" s="849" t="s">
        <v>654</v>
      </c>
      <c r="F7" s="840">
        <f>AVERAGE(B242:B267)</f>
        <v>52.141153846153856</v>
      </c>
      <c r="G7" s="840">
        <f>AVERAGE(B190:B241)</f>
        <v>94.452692307692331</v>
      </c>
      <c r="H7" s="840">
        <f>AVERAGE(B138:B189)</f>
        <v>94.867307692307676</v>
      </c>
      <c r="I7" s="840">
        <f>AVERAGE(B86:B137)</f>
        <v>75.918846153846161</v>
      </c>
      <c r="J7" s="840">
        <f>AVERAGE(B34:B85)</f>
        <v>108.18653846153848</v>
      </c>
      <c r="K7" s="840">
        <v>105.59</v>
      </c>
    </row>
    <row r="8" spans="1:24">
      <c r="A8" s="845">
        <v>40900</v>
      </c>
      <c r="B8" s="840">
        <v>105.95</v>
      </c>
      <c r="C8" s="840">
        <v>99.83</v>
      </c>
      <c r="F8" s="850">
        <f>+F7/F6-1</f>
        <v>-0.12019272277879678</v>
      </c>
      <c r="G8" s="850">
        <f t="shared" ref="G8:X8" si="2">+G7/G6-1</f>
        <v>-3.0008471366925971E-2</v>
      </c>
      <c r="H8" s="850">
        <f t="shared" si="2"/>
        <v>7.68330608700456E-2</v>
      </c>
      <c r="I8" s="850">
        <f t="shared" si="2"/>
        <v>-0.12449385677857139</v>
      </c>
      <c r="J8" s="850">
        <f t="shared" si="2"/>
        <v>5.330443365136861E-2</v>
      </c>
      <c r="K8" s="850">
        <f t="shared" si="2"/>
        <v>1.1416010132528909E-2</v>
      </c>
      <c r="L8" s="850">
        <f t="shared" si="2"/>
        <v>-1</v>
      </c>
      <c r="M8" s="850">
        <f t="shared" si="2"/>
        <v>-1</v>
      </c>
      <c r="N8" s="850">
        <f t="shared" si="2"/>
        <v>-1</v>
      </c>
      <c r="O8" s="850">
        <f t="shared" si="2"/>
        <v>-1</v>
      </c>
      <c r="P8" s="850">
        <f t="shared" si="2"/>
        <v>-1</v>
      </c>
      <c r="Q8" s="850">
        <f t="shared" si="2"/>
        <v>-1</v>
      </c>
      <c r="R8" s="850">
        <f t="shared" si="2"/>
        <v>-1</v>
      </c>
      <c r="S8" s="850">
        <f t="shared" si="2"/>
        <v>-1</v>
      </c>
      <c r="T8" s="850">
        <f t="shared" si="2"/>
        <v>-1</v>
      </c>
      <c r="U8" s="850">
        <f t="shared" si="2"/>
        <v>-1</v>
      </c>
      <c r="V8" s="850">
        <f t="shared" si="2"/>
        <v>-1</v>
      </c>
      <c r="W8" s="850">
        <f t="shared" si="2"/>
        <v>-1</v>
      </c>
      <c r="X8" s="850">
        <f t="shared" si="2"/>
        <v>-1</v>
      </c>
    </row>
    <row r="9" spans="1:24">
      <c r="A9" s="845">
        <v>40893</v>
      </c>
      <c r="B9" s="840">
        <v>102.22</v>
      </c>
      <c r="C9" s="840">
        <v>93.98</v>
      </c>
      <c r="F9" s="851"/>
      <c r="G9" s="851"/>
      <c r="H9" s="851"/>
      <c r="I9" s="851"/>
      <c r="J9" s="851"/>
      <c r="K9" s="851"/>
      <c r="L9" s="851"/>
      <c r="M9" s="851"/>
      <c r="N9" s="851"/>
      <c r="O9" s="851"/>
    </row>
    <row r="10" spans="1:24">
      <c r="A10" s="845">
        <v>40886</v>
      </c>
      <c r="B10" s="840">
        <v>103.18</v>
      </c>
      <c r="C10" s="840">
        <v>99.75</v>
      </c>
      <c r="L10" s="840">
        <f>7760/6000-1</f>
        <v>0.29333333333333322</v>
      </c>
    </row>
    <row r="11" spans="1:24">
      <c r="A11" s="845">
        <v>40879</v>
      </c>
      <c r="B11" s="840">
        <v>102.52</v>
      </c>
      <c r="C11" s="840">
        <v>101.22</v>
      </c>
      <c r="E11" s="840">
        <f>RSQ(B2:B267,C2:C267)</f>
        <v>0.77402585929658241</v>
      </c>
    </row>
    <row r="12" spans="1:24">
      <c r="A12" s="845">
        <v>40872</v>
      </c>
      <c r="B12" s="840">
        <v>102.3</v>
      </c>
      <c r="C12" s="840">
        <v>97.03</v>
      </c>
      <c r="E12" s="840">
        <f>CORREL(B2:B267,C2:C267)</f>
        <v>0.87978739437240316</v>
      </c>
      <c r="J12" s="852" t="s">
        <v>655</v>
      </c>
      <c r="K12" s="844" t="str">
        <f>K4</f>
        <v>FY12</v>
      </c>
      <c r="L12" s="844" t="str">
        <f t="shared" ref="L12:X12" si="3">L4</f>
        <v>FY13</v>
      </c>
      <c r="M12" s="844" t="str">
        <f t="shared" si="3"/>
        <v>FY14</v>
      </c>
      <c r="N12" s="844" t="str">
        <f t="shared" si="3"/>
        <v>FY15</v>
      </c>
      <c r="O12" s="844" t="str">
        <f t="shared" si="3"/>
        <v>FY16</v>
      </c>
      <c r="P12" s="844" t="str">
        <f t="shared" si="3"/>
        <v>FY17</v>
      </c>
      <c r="Q12" s="844" t="str">
        <f t="shared" si="3"/>
        <v>FY18</v>
      </c>
      <c r="R12" s="844" t="str">
        <f t="shared" si="3"/>
        <v>FY19</v>
      </c>
      <c r="S12" s="844" t="str">
        <f t="shared" si="3"/>
        <v>FY20</v>
      </c>
      <c r="T12" s="844" t="str">
        <f t="shared" si="3"/>
        <v>FY21</v>
      </c>
      <c r="U12" s="844" t="str">
        <f t="shared" si="3"/>
        <v>FY22</v>
      </c>
      <c r="V12" s="844" t="str">
        <f t="shared" si="3"/>
        <v>FY23</v>
      </c>
      <c r="W12" s="844" t="str">
        <f t="shared" si="3"/>
        <v>FY24</v>
      </c>
      <c r="X12" s="844" t="str">
        <f t="shared" si="3"/>
        <v>FY25</v>
      </c>
    </row>
    <row r="13" spans="1:24">
      <c r="A13" s="845">
        <v>40865</v>
      </c>
      <c r="B13" s="840">
        <v>105.88</v>
      </c>
      <c r="C13" s="840">
        <v>97.62</v>
      </c>
      <c r="J13" s="840" t="s">
        <v>656</v>
      </c>
      <c r="K13" s="853">
        <f>K6</f>
        <v>104.39818921411401</v>
      </c>
      <c r="L13" s="853">
        <v>86</v>
      </c>
      <c r="M13" s="853">
        <v>80</v>
      </c>
      <c r="N13" s="853">
        <v>68</v>
      </c>
      <c r="O13" s="853">
        <v>72.760000000000005</v>
      </c>
      <c r="P13" s="853">
        <v>77.853200000000015</v>
      </c>
      <c r="Q13" s="853">
        <v>83.302924000000019</v>
      </c>
      <c r="R13" s="853">
        <f t="shared" ref="R13:X13" si="4">Q13*(1+R23)</f>
        <v>89.134128680000032</v>
      </c>
      <c r="S13" s="853">
        <f t="shared" si="4"/>
        <v>93.590835114000043</v>
      </c>
      <c r="T13" s="853">
        <f t="shared" si="4"/>
        <v>97.334468518560044</v>
      </c>
      <c r="U13" s="853">
        <f t="shared" si="4"/>
        <v>100.25450257411684</v>
      </c>
      <c r="V13" s="853">
        <f t="shared" si="4"/>
        <v>102.25959262559918</v>
      </c>
      <c r="W13" s="853">
        <f t="shared" si="4"/>
        <v>103.28218855185517</v>
      </c>
      <c r="X13" s="853">
        <f t="shared" si="4"/>
        <v>103.28218855185517</v>
      </c>
    </row>
    <row r="14" spans="1:24">
      <c r="A14" s="845">
        <v>40858</v>
      </c>
      <c r="B14" s="840">
        <v>106.3</v>
      </c>
      <c r="C14" s="840">
        <v>98.63</v>
      </c>
      <c r="J14" s="840" t="s">
        <v>657</v>
      </c>
      <c r="K14" s="853">
        <v>20</v>
      </c>
      <c r="L14" s="853">
        <v>15</v>
      </c>
      <c r="M14" s="853">
        <f>L14</f>
        <v>15</v>
      </c>
      <c r="N14" s="853">
        <f t="shared" ref="N14:X14" si="5">M14</f>
        <v>15</v>
      </c>
      <c r="O14" s="853">
        <f t="shared" si="5"/>
        <v>15</v>
      </c>
      <c r="P14" s="853">
        <f t="shared" si="5"/>
        <v>15</v>
      </c>
      <c r="Q14" s="853">
        <f t="shared" si="5"/>
        <v>15</v>
      </c>
      <c r="R14" s="853">
        <f t="shared" si="5"/>
        <v>15</v>
      </c>
      <c r="S14" s="853">
        <f t="shared" si="5"/>
        <v>15</v>
      </c>
      <c r="T14" s="853">
        <f t="shared" si="5"/>
        <v>15</v>
      </c>
      <c r="U14" s="853">
        <f t="shared" si="5"/>
        <v>15</v>
      </c>
      <c r="V14" s="853">
        <f t="shared" si="5"/>
        <v>15</v>
      </c>
      <c r="W14" s="853">
        <f t="shared" si="5"/>
        <v>15</v>
      </c>
      <c r="X14" s="853">
        <f t="shared" si="5"/>
        <v>15</v>
      </c>
    </row>
    <row r="15" spans="1:24">
      <c r="A15" s="845">
        <v>40851</v>
      </c>
      <c r="B15" s="840">
        <v>108.13</v>
      </c>
      <c r="C15" s="840">
        <v>94.09</v>
      </c>
      <c r="J15" s="854" t="s">
        <v>658</v>
      </c>
      <c r="K15" s="855">
        <f>K14+K13</f>
        <v>124.39818921411401</v>
      </c>
      <c r="L15" s="855">
        <f t="shared" ref="L15:X15" si="6">L14+L13</f>
        <v>101</v>
      </c>
      <c r="M15" s="855">
        <f t="shared" si="6"/>
        <v>95</v>
      </c>
      <c r="N15" s="855">
        <f t="shared" si="6"/>
        <v>83</v>
      </c>
      <c r="O15" s="855">
        <f t="shared" si="6"/>
        <v>87.76</v>
      </c>
      <c r="P15" s="855">
        <f t="shared" si="6"/>
        <v>92.853200000000015</v>
      </c>
      <c r="Q15" s="855">
        <f t="shared" si="6"/>
        <v>98.302924000000019</v>
      </c>
      <c r="R15" s="855">
        <f t="shared" si="6"/>
        <v>104.13412868000003</v>
      </c>
      <c r="S15" s="855">
        <f t="shared" si="6"/>
        <v>108.59083511400004</v>
      </c>
      <c r="T15" s="855">
        <f t="shared" si="6"/>
        <v>112.33446851856004</v>
      </c>
      <c r="U15" s="855">
        <f t="shared" si="6"/>
        <v>115.25450257411684</v>
      </c>
      <c r="V15" s="855">
        <f t="shared" si="6"/>
        <v>117.25959262559918</v>
      </c>
      <c r="W15" s="855">
        <f t="shared" si="6"/>
        <v>118.28218855185517</v>
      </c>
      <c r="X15" s="855">
        <f t="shared" si="6"/>
        <v>118.28218855185517</v>
      </c>
    </row>
    <row r="16" spans="1:24">
      <c r="A16" s="845">
        <v>40844</v>
      </c>
      <c r="B16" s="840">
        <v>109.44</v>
      </c>
      <c r="C16" s="840">
        <v>93.09</v>
      </c>
      <c r="J16" s="840" t="s">
        <v>659</v>
      </c>
      <c r="K16" s="853">
        <f>[39]Assumptions!BA6*Coal!K15</f>
        <v>11175.044493934067</v>
      </c>
      <c r="L16" s="853">
        <f>Assumptions!BI7*Coal!L15</f>
        <v>9775.2344999999987</v>
      </c>
      <c r="M16" s="853">
        <f>Assumptions!BN7*Coal!M15</f>
        <v>9792.125</v>
      </c>
      <c r="N16" s="853">
        <f>Assumptions!BR7*Coal!N15</f>
        <v>8982.9862499999999</v>
      </c>
      <c r="O16" s="853">
        <f>Assumptions!BS7*Coal!O15</f>
        <v>9973.0628550000019</v>
      </c>
      <c r="P16" s="853">
        <f>Assumptions!BT7*Coal!P15</f>
        <v>11079.447810873753</v>
      </c>
      <c r="Q16" s="853">
        <f>Assumptions!BU7*Coal!Q15</f>
        <v>12316.206893461975</v>
      </c>
      <c r="R16" s="853">
        <f>Assumptions!BV7*Coal!R15</f>
        <v>13699.12808664711</v>
      </c>
      <c r="S16" s="853">
        <f>Assumptions!BW7*Coal!S15</f>
        <v>14999.690946910374</v>
      </c>
      <c r="T16" s="853">
        <f>Assumptions!BX7*Coal!T15</f>
        <v>16292.640388386952</v>
      </c>
      <c r="U16" s="853">
        <f>Assumptions!BY7*Coal!U15</f>
        <v>17551.960656099636</v>
      </c>
      <c r="V16" s="853">
        <f>Assumptions!BZ7*Coal!V15</f>
        <v>18750.178915924116</v>
      </c>
      <c r="W16" s="853">
        <f>Assumptions!CA7*Coal!W15</f>
        <v>19859.379993289262</v>
      </c>
      <c r="X16" s="853">
        <f>Assumptions!CB7*Coal!X15</f>
        <v>20852.348992953728</v>
      </c>
    </row>
    <row r="17" spans="1:24">
      <c r="A17" s="845">
        <v>40837</v>
      </c>
      <c r="B17" s="840">
        <v>110.15</v>
      </c>
      <c r="C17" s="840">
        <v>87.69</v>
      </c>
    </row>
    <row r="18" spans="1:24" s="923" customFormat="1">
      <c r="A18" s="926">
        <v>40830</v>
      </c>
      <c r="B18" s="923">
        <v>112.07</v>
      </c>
      <c r="C18" s="923">
        <v>87.31</v>
      </c>
      <c r="J18" s="927" t="s">
        <v>660</v>
      </c>
      <c r="K18" s="927">
        <v>25</v>
      </c>
      <c r="L18" s="927">
        <v>28</v>
      </c>
      <c r="M18" s="927">
        <v>37.5</v>
      </c>
      <c r="N18" s="927">
        <f t="shared" ref="N18:X18" si="7">M18</f>
        <v>37.5</v>
      </c>
      <c r="O18" s="927">
        <f t="shared" si="7"/>
        <v>37.5</v>
      </c>
      <c r="P18" s="927">
        <f t="shared" si="7"/>
        <v>37.5</v>
      </c>
      <c r="Q18" s="927">
        <f t="shared" si="7"/>
        <v>37.5</v>
      </c>
      <c r="R18" s="927">
        <f t="shared" si="7"/>
        <v>37.5</v>
      </c>
      <c r="S18" s="927">
        <f t="shared" si="7"/>
        <v>37.5</v>
      </c>
      <c r="T18" s="927">
        <f t="shared" si="7"/>
        <v>37.5</v>
      </c>
      <c r="U18" s="927">
        <f t="shared" si="7"/>
        <v>37.5</v>
      </c>
      <c r="V18" s="927">
        <f t="shared" si="7"/>
        <v>37.5</v>
      </c>
      <c r="W18" s="927">
        <f t="shared" si="7"/>
        <v>37.5</v>
      </c>
      <c r="X18" s="927">
        <f t="shared" si="7"/>
        <v>37.5</v>
      </c>
    </row>
    <row r="19" spans="1:24">
      <c r="A19" s="845">
        <v>40823</v>
      </c>
      <c r="B19" s="840">
        <v>111.61</v>
      </c>
      <c r="C19" s="840">
        <v>83.43</v>
      </c>
      <c r="J19" s="840" t="s">
        <v>661</v>
      </c>
      <c r="K19" s="854">
        <f>K15+K18</f>
        <v>149.39818921411401</v>
      </c>
      <c r="L19" s="854">
        <f t="shared" ref="L19:X19" si="8">L15+L18</f>
        <v>129</v>
      </c>
      <c r="M19" s="854">
        <f t="shared" si="8"/>
        <v>132.5</v>
      </c>
      <c r="N19" s="854">
        <f t="shared" si="8"/>
        <v>120.5</v>
      </c>
      <c r="O19" s="854">
        <f t="shared" si="8"/>
        <v>125.26</v>
      </c>
      <c r="P19" s="854">
        <f t="shared" si="8"/>
        <v>130.35320000000002</v>
      </c>
      <c r="Q19" s="854">
        <f t="shared" si="8"/>
        <v>135.80292400000002</v>
      </c>
      <c r="R19" s="854">
        <f t="shared" si="8"/>
        <v>141.63412868000003</v>
      </c>
      <c r="S19" s="854">
        <f t="shared" si="8"/>
        <v>146.09083511400004</v>
      </c>
      <c r="T19" s="854">
        <f t="shared" si="8"/>
        <v>149.83446851856004</v>
      </c>
      <c r="U19" s="854">
        <f t="shared" si="8"/>
        <v>152.75450257411683</v>
      </c>
      <c r="V19" s="854">
        <f t="shared" si="8"/>
        <v>154.75959262559917</v>
      </c>
      <c r="W19" s="854">
        <f t="shared" si="8"/>
        <v>155.78218855185517</v>
      </c>
      <c r="X19" s="854">
        <f t="shared" si="8"/>
        <v>155.78218855185517</v>
      </c>
    </row>
    <row r="20" spans="1:24">
      <c r="A20" s="845">
        <v>40816</v>
      </c>
      <c r="B20" s="840">
        <v>113.42</v>
      </c>
      <c r="C20" s="840">
        <v>79.8</v>
      </c>
      <c r="J20" s="840" t="s">
        <v>662</v>
      </c>
      <c r="K20" s="853">
        <f>[39]Assumptions!BA6*Coal!K19</f>
        <v>13420.865868934066</v>
      </c>
      <c r="L20" s="853">
        <f>Assumptions!BI7*Coal!L19</f>
        <v>12485.200499999999</v>
      </c>
      <c r="M20" s="853">
        <f>Assumptions!BN7*Coal!M19</f>
        <v>13657.4375</v>
      </c>
      <c r="N20" s="853">
        <f>Assumptions!BR7*Coal!N19</f>
        <v>13041.564375</v>
      </c>
      <c r="O20" s="853">
        <f>Assumptions!BS7*Coal!O19</f>
        <v>14234.569886250001</v>
      </c>
      <c r="P20" s="853">
        <f>Assumptions!BT7*Coal!P19</f>
        <v>15554.030193686254</v>
      </c>
      <c r="Q20" s="853">
        <f>Assumptions!BU7*Coal!Q19</f>
        <v>17014.5183954151</v>
      </c>
      <c r="R20" s="853">
        <f>Assumptions!BV7*Coal!R19</f>
        <v>18632.355163697892</v>
      </c>
      <c r="S20" s="853">
        <f>Assumptions!BW7*Coal!S19</f>
        <v>20179.579377813694</v>
      </c>
      <c r="T20" s="853">
        <f>Assumptions!BX7*Coal!T19</f>
        <v>21731.523240835439</v>
      </c>
      <c r="U20" s="853">
        <f>Assumptions!BY7*Coal!U19</f>
        <v>23262.787651170547</v>
      </c>
      <c r="V20" s="853">
        <f>Assumptions!BZ7*Coal!V19</f>
        <v>24746.547260748572</v>
      </c>
      <c r="W20" s="853">
        <f>Assumptions!CA7*Coal!W19</f>
        <v>26155.566755354943</v>
      </c>
      <c r="X20" s="853">
        <f>Assumptions!CB7*Coal!X19</f>
        <v>27463.345093122694</v>
      </c>
    </row>
    <row r="21" spans="1:24">
      <c r="A21" s="845">
        <v>40809</v>
      </c>
      <c r="B21" s="840">
        <v>114.2</v>
      </c>
      <c r="C21" s="840">
        <v>81</v>
      </c>
      <c r="L21" s="840">
        <f>L18*97</f>
        <v>2716</v>
      </c>
    </row>
    <row r="22" spans="1:24">
      <c r="A22" s="845">
        <v>40802</v>
      </c>
      <c r="B22" s="840">
        <v>115.59</v>
      </c>
      <c r="C22" s="840">
        <v>89.27</v>
      </c>
      <c r="M22" s="840">
        <v>13467.279131249999</v>
      </c>
      <c r="N22" s="840">
        <v>14077.11818625</v>
      </c>
      <c r="O22" s="840">
        <f>N22-M22</f>
        <v>609.83905500000037</v>
      </c>
    </row>
    <row r="23" spans="1:24">
      <c r="A23" s="845">
        <v>40795</v>
      </c>
      <c r="B23" s="840">
        <v>117.55</v>
      </c>
      <c r="C23" s="840">
        <v>88.43</v>
      </c>
      <c r="J23" s="923" t="s">
        <v>822</v>
      </c>
      <c r="K23" s="923"/>
      <c r="L23" s="924">
        <f>L13/K13-1</f>
        <v>-0.17623092270671958</v>
      </c>
      <c r="M23" s="925">
        <v>7.0000000000000007E-2</v>
      </c>
      <c r="N23" s="925">
        <f>M23</f>
        <v>7.0000000000000007E-2</v>
      </c>
      <c r="O23" s="925">
        <f>N23</f>
        <v>7.0000000000000007E-2</v>
      </c>
      <c r="P23" s="925">
        <f>O23</f>
        <v>7.0000000000000007E-2</v>
      </c>
      <c r="Q23" s="925">
        <f>P23</f>
        <v>7.0000000000000007E-2</v>
      </c>
      <c r="R23" s="925">
        <f>Q23</f>
        <v>7.0000000000000007E-2</v>
      </c>
      <c r="S23" s="925">
        <f>R23-2%</f>
        <v>0.05</v>
      </c>
      <c r="T23" s="925">
        <f>S23-1%</f>
        <v>0.04</v>
      </c>
      <c r="U23" s="925">
        <f>T23-1%</f>
        <v>0.03</v>
      </c>
      <c r="V23" s="925">
        <f>U23-1%</f>
        <v>1.9999999999999997E-2</v>
      </c>
      <c r="W23" s="925">
        <f>V23-1%</f>
        <v>9.9999999999999967E-3</v>
      </c>
      <c r="X23" s="925">
        <f>W23-1%</f>
        <v>0</v>
      </c>
    </row>
    <row r="24" spans="1:24">
      <c r="A24" s="845">
        <v>40788</v>
      </c>
      <c r="B24" s="840">
        <v>118.08</v>
      </c>
      <c r="C24" s="840">
        <v>88.03</v>
      </c>
      <c r="K24" s="853"/>
      <c r="L24" s="853"/>
      <c r="M24" s="853"/>
      <c r="N24" s="853"/>
      <c r="O24" s="853"/>
      <c r="P24" s="853"/>
      <c r="Q24" s="853"/>
      <c r="R24" s="853"/>
      <c r="S24" s="853"/>
      <c r="T24" s="853"/>
      <c r="U24" s="853"/>
      <c r="V24" s="853"/>
      <c r="W24" s="853"/>
      <c r="X24" s="853"/>
    </row>
    <row r="25" spans="1:24">
      <c r="A25" s="845">
        <v>40781</v>
      </c>
      <c r="B25" s="840">
        <v>117.63</v>
      </c>
      <c r="C25" s="840">
        <v>87.28</v>
      </c>
      <c r="K25" s="853"/>
      <c r="L25" s="853"/>
      <c r="M25" s="853"/>
      <c r="N25" s="853"/>
      <c r="O25" s="853"/>
      <c r="P25" s="853"/>
      <c r="Q25" s="853"/>
      <c r="R25" s="853"/>
      <c r="S25" s="853"/>
      <c r="T25" s="853"/>
      <c r="U25" s="853"/>
      <c r="V25" s="853"/>
      <c r="W25" s="853"/>
      <c r="X25" s="853"/>
    </row>
    <row r="26" spans="1:24">
      <c r="A26" s="845">
        <v>40774</v>
      </c>
      <c r="B26" s="840">
        <v>118.6</v>
      </c>
      <c r="C26" s="840">
        <v>84.47</v>
      </c>
      <c r="M26" s="840">
        <v>31</v>
      </c>
    </row>
    <row r="27" spans="1:24">
      <c r="A27" s="845">
        <v>40767</v>
      </c>
      <c r="B27" s="840">
        <v>117.53</v>
      </c>
      <c r="C27" s="840">
        <v>87.6</v>
      </c>
      <c r="J27" s="857"/>
      <c r="K27" s="858"/>
      <c r="L27" s="858"/>
      <c r="M27" s="858">
        <v>44</v>
      </c>
      <c r="N27" s="856"/>
      <c r="O27" s="856"/>
      <c r="P27" s="856"/>
    </row>
    <row r="28" spans="1:24">
      <c r="A28" s="845">
        <v>40760</v>
      </c>
      <c r="B28" s="840">
        <v>118.32</v>
      </c>
      <c r="C28" s="840">
        <v>89.75</v>
      </c>
      <c r="J28" s="857"/>
      <c r="K28" s="1431"/>
      <c r="L28" s="1431"/>
      <c r="M28" s="1431"/>
      <c r="N28" s="856"/>
      <c r="O28" s="856"/>
      <c r="P28" s="856"/>
    </row>
    <row r="29" spans="1:24">
      <c r="A29" s="845">
        <v>40753</v>
      </c>
      <c r="B29" s="840">
        <v>117.46</v>
      </c>
      <c r="C29" s="840">
        <v>98.34</v>
      </c>
      <c r="E29" s="840" t="s">
        <v>217</v>
      </c>
      <c r="F29" s="840" t="s">
        <v>602</v>
      </c>
      <c r="J29" s="859"/>
      <c r="K29" s="860"/>
      <c r="L29" s="860"/>
      <c r="M29" s="860"/>
      <c r="N29" s="856"/>
      <c r="O29" s="856"/>
      <c r="P29" s="856"/>
    </row>
    <row r="30" spans="1:24">
      <c r="A30" s="845">
        <v>40746</v>
      </c>
      <c r="B30" s="840">
        <v>115.7</v>
      </c>
      <c r="C30" s="840">
        <v>101.9</v>
      </c>
      <c r="E30" s="861">
        <v>40963</v>
      </c>
      <c r="F30" s="840">
        <v>106.11</v>
      </c>
      <c r="J30" s="859" t="s">
        <v>664</v>
      </c>
      <c r="K30" s="860"/>
      <c r="L30" s="860"/>
      <c r="M30" s="860"/>
      <c r="N30" s="856"/>
      <c r="O30" s="856"/>
      <c r="P30" s="856"/>
    </row>
    <row r="31" spans="1:24">
      <c r="A31" s="845">
        <v>40739</v>
      </c>
      <c r="B31" s="840">
        <v>115.09</v>
      </c>
      <c r="C31" s="840">
        <v>100.34</v>
      </c>
      <c r="E31" s="861">
        <v>40956</v>
      </c>
      <c r="F31" s="840">
        <v>104.84</v>
      </c>
      <c r="J31" s="859"/>
      <c r="K31" s="860"/>
      <c r="L31" s="860"/>
      <c r="M31" s="860"/>
      <c r="N31" s="856"/>
      <c r="O31" s="856"/>
      <c r="P31" s="856"/>
    </row>
    <row r="32" spans="1:24" ht="13.5">
      <c r="A32" s="845">
        <v>40732</v>
      </c>
      <c r="B32" s="840">
        <v>116.65</v>
      </c>
      <c r="C32" s="840">
        <v>99.57</v>
      </c>
      <c r="E32" s="861">
        <v>40949</v>
      </c>
      <c r="F32" s="840">
        <v>104.83</v>
      </c>
      <c r="J32" s="862"/>
      <c r="K32" s="863" t="s">
        <v>665</v>
      </c>
      <c r="L32" s="863" t="s">
        <v>666</v>
      </c>
      <c r="M32" s="863" t="s">
        <v>667</v>
      </c>
      <c r="N32" s="864"/>
      <c r="O32" s="864"/>
      <c r="P32" s="864"/>
      <c r="Q32" s="865"/>
    </row>
    <row r="33" spans="1:17" ht="13.5">
      <c r="A33" s="845">
        <v>40725</v>
      </c>
      <c r="B33" s="840">
        <v>117.06</v>
      </c>
      <c r="C33" s="840">
        <v>98.53</v>
      </c>
      <c r="E33" s="861">
        <v>40942</v>
      </c>
      <c r="F33" s="840">
        <v>105.72</v>
      </c>
      <c r="J33" s="866" t="s">
        <v>668</v>
      </c>
      <c r="K33" s="867">
        <v>990000</v>
      </c>
      <c r="L33" s="868">
        <v>990000</v>
      </c>
      <c r="M33" s="868">
        <v>990000</v>
      </c>
      <c r="N33" s="864"/>
      <c r="O33" s="864"/>
      <c r="P33" s="864"/>
      <c r="Q33" s="865"/>
    </row>
    <row r="34" spans="1:17" ht="13.5">
      <c r="A34" s="845">
        <v>40718</v>
      </c>
      <c r="B34" s="840">
        <v>117.7</v>
      </c>
      <c r="C34" s="840">
        <v>94.64</v>
      </c>
      <c r="E34" s="861">
        <v>40935</v>
      </c>
      <c r="F34" s="840">
        <v>107.17</v>
      </c>
      <c r="J34" s="864" t="s">
        <v>669</v>
      </c>
      <c r="K34" s="868">
        <v>3658</v>
      </c>
      <c r="L34" s="868">
        <v>3664</v>
      </c>
      <c r="M34" s="868">
        <v>3661</v>
      </c>
      <c r="N34" s="864"/>
      <c r="O34" s="864" t="s">
        <v>670</v>
      </c>
      <c r="P34" s="868">
        <v>238902957.61899999</v>
      </c>
      <c r="Q34" s="865" t="s">
        <v>671</v>
      </c>
    </row>
    <row r="35" spans="1:17" ht="13.5">
      <c r="A35" s="845">
        <v>40711</v>
      </c>
      <c r="B35" s="840">
        <v>118.83</v>
      </c>
      <c r="C35" s="840">
        <v>95.94</v>
      </c>
      <c r="E35" s="861">
        <v>40928</v>
      </c>
      <c r="F35" s="840">
        <v>103.91</v>
      </c>
      <c r="J35" s="864" t="s">
        <v>672</v>
      </c>
      <c r="K35" s="864">
        <f>K34/K33</f>
        <v>3.6949494949494949E-3</v>
      </c>
      <c r="L35" s="864">
        <f>L34/L33</f>
        <v>3.7010101010101011E-3</v>
      </c>
      <c r="M35" s="864">
        <f>M34/M33</f>
        <v>3.6979797979797978E-3</v>
      </c>
      <c r="N35" s="864"/>
      <c r="O35" s="864"/>
      <c r="P35" s="864"/>
      <c r="Q35" s="865"/>
    </row>
    <row r="36" spans="1:17" ht="13.5">
      <c r="A36" s="845">
        <v>40704</v>
      </c>
      <c r="B36" s="840">
        <v>120.37</v>
      </c>
      <c r="C36" s="840">
        <v>102.27</v>
      </c>
      <c r="E36" s="861">
        <v>40921</v>
      </c>
      <c r="F36" s="840">
        <v>105.89</v>
      </c>
      <c r="J36" s="864" t="s">
        <v>673</v>
      </c>
      <c r="K36" s="868">
        <f>K35*$P$34</f>
        <v>882734.36259626457</v>
      </c>
      <c r="L36" s="868">
        <f>L35*$P$34</f>
        <v>884182.25930910709</v>
      </c>
      <c r="M36" s="868">
        <f>M35*$P$34</f>
        <v>883458.31095268577</v>
      </c>
      <c r="N36" s="864"/>
      <c r="O36" s="864"/>
      <c r="P36" s="864"/>
      <c r="Q36" s="865"/>
    </row>
    <row r="37" spans="1:17" ht="13.5">
      <c r="A37" s="845">
        <v>40697</v>
      </c>
      <c r="B37" s="840">
        <v>118.49</v>
      </c>
      <c r="C37" s="840">
        <v>103.16</v>
      </c>
      <c r="E37" s="861">
        <v>40914</v>
      </c>
      <c r="F37" s="840">
        <v>106.65</v>
      </c>
      <c r="J37" s="864"/>
      <c r="K37" s="864"/>
      <c r="L37" s="864"/>
      <c r="M37" s="864"/>
      <c r="N37" s="864"/>
      <c r="O37" s="864"/>
      <c r="P37" s="864"/>
      <c r="Q37" s="865"/>
    </row>
    <row r="38" spans="1:17" ht="13.5">
      <c r="A38" s="845">
        <v>40690</v>
      </c>
      <c r="B38" s="840">
        <v>118.29</v>
      </c>
      <c r="C38" s="840">
        <v>102.96</v>
      </c>
      <c r="E38" s="861">
        <v>40907</v>
      </c>
      <c r="F38" s="840">
        <v>105.74</v>
      </c>
      <c r="J38" s="840" t="s">
        <v>674</v>
      </c>
      <c r="K38" s="869">
        <v>6000</v>
      </c>
      <c r="L38" s="840" t="s">
        <v>675</v>
      </c>
      <c r="N38" s="864"/>
      <c r="O38" s="864"/>
      <c r="P38" s="864"/>
      <c r="Q38" s="865"/>
    </row>
    <row r="39" spans="1:17" ht="13.5">
      <c r="A39" s="845">
        <v>40683</v>
      </c>
      <c r="B39" s="840">
        <v>119.74</v>
      </c>
      <c r="C39" s="840">
        <v>101.37</v>
      </c>
      <c r="E39" s="861">
        <v>40900</v>
      </c>
      <c r="F39" s="840">
        <v>105.95</v>
      </c>
      <c r="J39" s="840" t="s">
        <v>676</v>
      </c>
      <c r="K39" s="864">
        <f>K36/$K$38</f>
        <v>147.1223937660441</v>
      </c>
      <c r="L39" s="864">
        <f>L36/$K$38</f>
        <v>147.36370988485118</v>
      </c>
      <c r="M39" s="864">
        <f>M36/$K$38</f>
        <v>147.24305182544762</v>
      </c>
      <c r="N39" s="864"/>
      <c r="O39" s="864"/>
      <c r="P39" s="864"/>
      <c r="Q39" s="865"/>
    </row>
    <row r="40" spans="1:17" ht="13.5">
      <c r="A40" s="845">
        <v>40676</v>
      </c>
      <c r="B40" s="840">
        <v>120.9</v>
      </c>
      <c r="C40" s="840">
        <v>101.04</v>
      </c>
      <c r="E40" s="861">
        <v>40893</v>
      </c>
      <c r="F40" s="840">
        <v>102.22</v>
      </c>
      <c r="J40" s="856" t="s">
        <v>663</v>
      </c>
      <c r="K40" s="864">
        <f>AVERAGE(K39:M39)/1000</f>
        <v>0.14724305182544764</v>
      </c>
      <c r="L40" s="856"/>
      <c r="M40" s="856"/>
      <c r="N40" s="856"/>
      <c r="O40" s="856"/>
      <c r="P40" s="856"/>
    </row>
    <row r="41" spans="1:17">
      <c r="A41" s="845">
        <v>40669</v>
      </c>
      <c r="B41" s="840">
        <v>123.93</v>
      </c>
      <c r="C41" s="840">
        <v>98.47</v>
      </c>
      <c r="E41" s="861">
        <v>40886</v>
      </c>
      <c r="F41" s="840">
        <v>103.18</v>
      </c>
      <c r="J41" s="856"/>
      <c r="K41" s="856"/>
      <c r="L41" s="856"/>
      <c r="M41" s="856"/>
      <c r="N41" s="856"/>
      <c r="O41" s="856"/>
      <c r="P41" s="856"/>
    </row>
    <row r="42" spans="1:17">
      <c r="A42" s="845">
        <v>40662</v>
      </c>
      <c r="B42" s="840">
        <v>123.6</v>
      </c>
      <c r="C42" s="840">
        <v>114.16</v>
      </c>
      <c r="E42" s="861">
        <v>40879</v>
      </c>
      <c r="F42" s="840">
        <v>102.52</v>
      </c>
      <c r="J42" s="856"/>
      <c r="K42" s="856"/>
      <c r="L42" s="856"/>
      <c r="M42" s="856"/>
      <c r="N42" s="856"/>
      <c r="O42" s="856"/>
      <c r="P42" s="856"/>
    </row>
    <row r="43" spans="1:17">
      <c r="A43" s="845">
        <v>40655</v>
      </c>
      <c r="B43" s="840">
        <v>123.16</v>
      </c>
      <c r="C43" s="840">
        <v>112.4</v>
      </c>
      <c r="E43" s="861">
        <v>40872</v>
      </c>
      <c r="F43" s="840">
        <v>102.3</v>
      </c>
      <c r="J43" s="856"/>
      <c r="K43" s="856"/>
      <c r="L43" s="856"/>
      <c r="M43" s="856"/>
      <c r="N43" s="856"/>
      <c r="O43" s="856"/>
      <c r="P43" s="856"/>
    </row>
    <row r="44" spans="1:17">
      <c r="A44" s="845">
        <v>40648</v>
      </c>
      <c r="B44" s="840">
        <v>124.36</v>
      </c>
      <c r="C44" s="840">
        <v>110.6</v>
      </c>
      <c r="E44" s="861">
        <v>40865</v>
      </c>
      <c r="F44" s="840">
        <v>105.88</v>
      </c>
      <c r="J44" s="856"/>
      <c r="K44" s="856"/>
      <c r="L44" s="856"/>
      <c r="M44" s="856"/>
      <c r="N44" s="856"/>
      <c r="O44" s="856"/>
      <c r="P44" s="856"/>
    </row>
    <row r="45" spans="1:17">
      <c r="A45" s="845">
        <v>40641</v>
      </c>
      <c r="B45" s="840">
        <v>124.74</v>
      </c>
      <c r="C45" s="840">
        <v>113.4</v>
      </c>
      <c r="E45" s="861">
        <v>40858</v>
      </c>
      <c r="F45" s="840">
        <v>106.3</v>
      </c>
      <c r="J45" s="856"/>
      <c r="K45" s="856"/>
      <c r="L45" s="856"/>
      <c r="M45" s="856"/>
      <c r="N45" s="856"/>
      <c r="O45" s="856"/>
      <c r="P45" s="856"/>
    </row>
    <row r="46" spans="1:17">
      <c r="A46" s="845">
        <v>40634</v>
      </c>
      <c r="B46" s="840">
        <v>120.74</v>
      </c>
      <c r="C46" s="840">
        <v>108.67</v>
      </c>
      <c r="E46" s="861">
        <v>40851</v>
      </c>
      <c r="F46" s="840">
        <v>108.13</v>
      </c>
      <c r="I46" s="840" t="s">
        <v>677</v>
      </c>
      <c r="J46" s="856"/>
      <c r="K46" s="856"/>
      <c r="L46" s="856"/>
      <c r="M46" s="856"/>
      <c r="N46" s="856"/>
      <c r="O46" s="856"/>
      <c r="P46" s="856"/>
    </row>
    <row r="47" spans="1:17">
      <c r="A47" s="845">
        <v>40627</v>
      </c>
      <c r="B47" s="840">
        <v>122.57</v>
      </c>
      <c r="C47" s="840">
        <v>106.41</v>
      </c>
      <c r="E47" s="861">
        <v>40844</v>
      </c>
      <c r="F47" s="840">
        <v>109.44</v>
      </c>
      <c r="J47" s="856"/>
      <c r="K47" s="856"/>
      <c r="L47" s="856"/>
      <c r="M47" s="856"/>
      <c r="N47" s="856"/>
      <c r="O47" s="856"/>
      <c r="P47" s="856"/>
    </row>
    <row r="48" spans="1:17">
      <c r="A48" s="845">
        <v>40620</v>
      </c>
      <c r="B48" s="840">
        <v>123.64</v>
      </c>
      <c r="C48" s="840">
        <v>103.16</v>
      </c>
      <c r="E48" s="861">
        <v>40837</v>
      </c>
      <c r="F48" s="840">
        <v>110.15</v>
      </c>
      <c r="J48" s="856"/>
      <c r="K48" s="856"/>
      <c r="L48" s="856"/>
      <c r="M48" s="856"/>
      <c r="N48" s="856"/>
      <c r="O48" s="856"/>
      <c r="P48" s="856"/>
    </row>
    <row r="49" spans="1:16">
      <c r="A49" s="845">
        <v>40613</v>
      </c>
      <c r="B49" s="840">
        <v>119.89</v>
      </c>
      <c r="C49" s="840">
        <v>103.74</v>
      </c>
      <c r="E49" s="861">
        <v>40830</v>
      </c>
      <c r="F49" s="840">
        <v>112.07</v>
      </c>
      <c r="J49" s="856"/>
      <c r="K49" s="856"/>
      <c r="L49" s="856"/>
      <c r="M49" s="856"/>
      <c r="N49" s="856"/>
      <c r="O49" s="856"/>
      <c r="P49" s="856"/>
    </row>
    <row r="50" spans="1:16">
      <c r="A50" s="845">
        <v>40606</v>
      </c>
      <c r="B50" s="840">
        <v>119.51</v>
      </c>
      <c r="C50" s="840">
        <v>105.85</v>
      </c>
      <c r="E50" s="861">
        <v>40823</v>
      </c>
      <c r="F50" s="840">
        <v>111.61</v>
      </c>
      <c r="J50" s="856"/>
      <c r="K50" s="856"/>
      <c r="L50" s="856"/>
      <c r="M50" s="856"/>
      <c r="N50" s="856"/>
      <c r="O50" s="856"/>
      <c r="P50" s="856"/>
    </row>
    <row r="51" spans="1:16">
      <c r="A51" s="845">
        <v>40599</v>
      </c>
      <c r="B51" s="840">
        <v>118.73</v>
      </c>
      <c r="C51" s="840">
        <v>101.84</v>
      </c>
      <c r="E51" s="861">
        <v>40816</v>
      </c>
      <c r="F51" s="840">
        <v>113.42</v>
      </c>
      <c r="J51" s="856"/>
      <c r="K51" s="856"/>
      <c r="L51" s="856"/>
      <c r="M51" s="856"/>
      <c r="N51" s="856"/>
      <c r="O51" s="856"/>
      <c r="P51" s="856"/>
    </row>
    <row r="52" spans="1:16">
      <c r="A52" s="845">
        <v>40592</v>
      </c>
      <c r="B52" s="840">
        <v>116.84</v>
      </c>
      <c r="C52" s="840">
        <v>98.4</v>
      </c>
      <c r="E52" s="861">
        <v>40809</v>
      </c>
      <c r="F52" s="840">
        <v>114.2</v>
      </c>
      <c r="J52" s="856"/>
      <c r="K52" s="856"/>
      <c r="L52" s="856"/>
      <c r="M52" s="856"/>
      <c r="N52" s="856"/>
      <c r="O52" s="856"/>
      <c r="P52" s="856"/>
    </row>
    <row r="53" spans="1:16">
      <c r="A53" s="845">
        <v>40585</v>
      </c>
      <c r="B53" s="840">
        <v>114.89</v>
      </c>
      <c r="C53" s="840">
        <v>98.45</v>
      </c>
      <c r="E53" s="861">
        <v>40802</v>
      </c>
      <c r="F53" s="840">
        <v>115.59</v>
      </c>
    </row>
    <row r="54" spans="1:16">
      <c r="A54" s="845">
        <v>40578</v>
      </c>
      <c r="B54" s="840">
        <v>120.91</v>
      </c>
      <c r="C54" s="840">
        <v>99.14</v>
      </c>
      <c r="E54" s="861">
        <v>40795</v>
      </c>
      <c r="F54" s="840">
        <v>117.55</v>
      </c>
    </row>
    <row r="55" spans="1:16">
      <c r="A55" s="845">
        <v>40571</v>
      </c>
      <c r="B55" s="840">
        <v>116.44</v>
      </c>
      <c r="C55" s="840">
        <v>98.11</v>
      </c>
      <c r="E55" s="861">
        <v>40788</v>
      </c>
      <c r="F55" s="840">
        <v>118.08</v>
      </c>
    </row>
    <row r="56" spans="1:16">
      <c r="A56" s="845">
        <v>40564</v>
      </c>
      <c r="B56" s="840">
        <v>120.83</v>
      </c>
      <c r="C56" s="840">
        <v>95.65</v>
      </c>
      <c r="E56" s="861">
        <v>40781</v>
      </c>
      <c r="F56" s="840">
        <v>117.63</v>
      </c>
    </row>
    <row r="57" spans="1:16">
      <c r="A57" s="845">
        <v>40557</v>
      </c>
      <c r="B57" s="840">
        <v>128.62</v>
      </c>
      <c r="C57" s="840">
        <v>96.61</v>
      </c>
      <c r="E57" s="861">
        <v>40774</v>
      </c>
      <c r="F57" s="840">
        <v>118.6</v>
      </c>
    </row>
    <row r="58" spans="1:16">
      <c r="A58" s="845">
        <v>40550</v>
      </c>
      <c r="B58" s="840">
        <v>126.39</v>
      </c>
      <c r="C58" s="840">
        <v>93.06</v>
      </c>
      <c r="E58" s="861">
        <v>40767</v>
      </c>
      <c r="F58" s="840">
        <v>117.53</v>
      </c>
    </row>
    <row r="59" spans="1:16">
      <c r="A59" s="845">
        <v>40543</v>
      </c>
      <c r="B59" s="840">
        <v>129.75</v>
      </c>
      <c r="C59" s="840">
        <v>94.19</v>
      </c>
      <c r="E59" s="861">
        <v>40760</v>
      </c>
      <c r="F59" s="840">
        <v>118.32</v>
      </c>
    </row>
    <row r="60" spans="1:16">
      <c r="A60" s="845">
        <v>40536</v>
      </c>
      <c r="B60" s="840">
        <v>128.1</v>
      </c>
      <c r="C60" s="840">
        <v>93.55</v>
      </c>
      <c r="E60" s="861">
        <v>40753</v>
      </c>
      <c r="F60" s="840">
        <v>117.46</v>
      </c>
    </row>
    <row r="61" spans="1:16">
      <c r="A61" s="845">
        <v>40529</v>
      </c>
      <c r="B61" s="840">
        <v>112.37</v>
      </c>
      <c r="C61" s="840">
        <v>91.22</v>
      </c>
      <c r="E61" s="861">
        <v>40746</v>
      </c>
      <c r="F61" s="840">
        <v>115.7</v>
      </c>
    </row>
    <row r="62" spans="1:16">
      <c r="A62" s="845">
        <v>40522</v>
      </c>
      <c r="B62" s="840">
        <v>110</v>
      </c>
      <c r="C62" s="840">
        <v>89.48</v>
      </c>
      <c r="E62" s="861">
        <v>40739</v>
      </c>
      <c r="F62" s="840">
        <v>115.09</v>
      </c>
    </row>
    <row r="63" spans="1:16">
      <c r="A63" s="845">
        <v>40515</v>
      </c>
      <c r="B63" s="840">
        <v>107.11</v>
      </c>
      <c r="C63" s="840">
        <v>89.85</v>
      </c>
      <c r="E63" s="861">
        <v>40732</v>
      </c>
      <c r="F63" s="840">
        <v>116.65</v>
      </c>
    </row>
    <row r="64" spans="1:16">
      <c r="A64" s="845">
        <v>40508</v>
      </c>
      <c r="B64" s="840">
        <v>103.31</v>
      </c>
      <c r="C64" s="840">
        <v>87.22</v>
      </c>
      <c r="E64" s="861">
        <v>40725</v>
      </c>
      <c r="F64" s="840">
        <v>117.06</v>
      </c>
    </row>
    <row r="65" spans="1:6">
      <c r="A65" s="845">
        <v>40501</v>
      </c>
      <c r="B65" s="840">
        <v>105.78</v>
      </c>
      <c r="C65" s="840">
        <v>85.56</v>
      </c>
      <c r="E65" s="861">
        <v>40718</v>
      </c>
      <c r="F65" s="840">
        <v>117.7</v>
      </c>
    </row>
    <row r="66" spans="1:6">
      <c r="A66" s="845">
        <v>40494</v>
      </c>
      <c r="B66" s="840">
        <v>102.73</v>
      </c>
      <c r="C66" s="840">
        <v>88.65</v>
      </c>
      <c r="E66" s="861">
        <v>40711</v>
      </c>
      <c r="F66" s="840">
        <v>118.83</v>
      </c>
    </row>
    <row r="67" spans="1:6">
      <c r="A67" s="845">
        <v>40487</v>
      </c>
      <c r="B67" s="840">
        <v>100.3</v>
      </c>
      <c r="C67" s="840">
        <v>90.84</v>
      </c>
      <c r="E67" s="861">
        <v>40704</v>
      </c>
      <c r="F67" s="840">
        <v>120.37</v>
      </c>
    </row>
    <row r="68" spans="1:6">
      <c r="A68" s="845">
        <v>40480</v>
      </c>
      <c r="B68" s="840">
        <v>96.45</v>
      </c>
      <c r="C68" s="840">
        <v>86.2</v>
      </c>
      <c r="E68" s="861">
        <v>40697</v>
      </c>
      <c r="F68" s="840">
        <v>118.49</v>
      </c>
    </row>
    <row r="69" spans="1:6">
      <c r="A69" s="845">
        <v>40473</v>
      </c>
      <c r="B69" s="840">
        <v>92.97</v>
      </c>
      <c r="C69" s="840">
        <v>86.52</v>
      </c>
      <c r="E69" s="861">
        <v>40690</v>
      </c>
      <c r="F69" s="840">
        <v>118.29</v>
      </c>
    </row>
    <row r="70" spans="1:6">
      <c r="A70" s="845">
        <v>40466</v>
      </c>
      <c r="B70" s="840">
        <v>89.03</v>
      </c>
      <c r="C70" s="840">
        <v>86.64</v>
      </c>
      <c r="E70" s="861">
        <v>40683</v>
      </c>
      <c r="F70" s="840">
        <v>119.74</v>
      </c>
    </row>
    <row r="71" spans="1:6">
      <c r="A71" s="845">
        <v>40459</v>
      </c>
      <c r="B71" s="840">
        <v>88.59</v>
      </c>
      <c r="C71" s="840">
        <v>88.12</v>
      </c>
      <c r="E71" s="861">
        <v>40676</v>
      </c>
      <c r="F71" s="840">
        <v>120.9</v>
      </c>
    </row>
    <row r="72" spans="1:6">
      <c r="A72" s="845">
        <v>40452</v>
      </c>
      <c r="B72" s="840">
        <v>87.85</v>
      </c>
      <c r="C72" s="840">
        <v>87.88</v>
      </c>
      <c r="E72" s="861">
        <v>40669</v>
      </c>
      <c r="F72" s="840">
        <v>123.93</v>
      </c>
    </row>
    <row r="73" spans="1:6">
      <c r="A73" s="845">
        <v>40445</v>
      </c>
      <c r="B73" s="840">
        <v>84.94</v>
      </c>
      <c r="C73" s="840">
        <v>83.71</v>
      </c>
      <c r="E73" s="861">
        <v>40662</v>
      </c>
      <c r="F73" s="840">
        <v>123.6</v>
      </c>
    </row>
    <row r="74" spans="1:6">
      <c r="A74" s="845">
        <v>40438</v>
      </c>
      <c r="B74" s="840">
        <v>84.8</v>
      </c>
      <c r="C74" s="840">
        <v>83.69</v>
      </c>
      <c r="E74" s="861">
        <v>40655</v>
      </c>
      <c r="F74" s="840">
        <v>123.16</v>
      </c>
    </row>
    <row r="75" spans="1:6">
      <c r="A75" s="845">
        <v>40431</v>
      </c>
      <c r="B75" s="840">
        <v>85.56</v>
      </c>
      <c r="C75" s="840">
        <v>83.71</v>
      </c>
      <c r="E75" s="861">
        <v>40648</v>
      </c>
      <c r="F75" s="840">
        <v>124.36</v>
      </c>
    </row>
    <row r="76" spans="1:6">
      <c r="A76" s="845">
        <v>40424</v>
      </c>
      <c r="B76" s="840">
        <v>88.04</v>
      </c>
      <c r="C76" s="840">
        <v>83.5</v>
      </c>
      <c r="E76" s="861">
        <v>40641</v>
      </c>
      <c r="F76" s="840">
        <v>124.74</v>
      </c>
    </row>
    <row r="77" spans="1:6">
      <c r="A77" s="845">
        <v>40417</v>
      </c>
      <c r="B77" s="840">
        <v>87.78</v>
      </c>
      <c r="C77" s="840">
        <v>83.49</v>
      </c>
      <c r="E77" s="861">
        <v>40634</v>
      </c>
      <c r="F77" s="840">
        <v>120.74</v>
      </c>
    </row>
    <row r="78" spans="1:6">
      <c r="A78" s="845">
        <v>40410</v>
      </c>
      <c r="B78" s="840">
        <v>86.34</v>
      </c>
      <c r="C78" s="840">
        <v>80.41</v>
      </c>
      <c r="E78" s="861">
        <v>40627</v>
      </c>
      <c r="F78" s="840">
        <v>122.57</v>
      </c>
    </row>
    <row r="79" spans="1:6">
      <c r="A79" s="845">
        <v>40403</v>
      </c>
      <c r="B79" s="840">
        <v>86.88</v>
      </c>
      <c r="C79" s="840">
        <v>81.540000000000006</v>
      </c>
      <c r="E79" s="861">
        <v>40620</v>
      </c>
      <c r="F79" s="840">
        <v>123.64</v>
      </c>
    </row>
    <row r="80" spans="1:6">
      <c r="A80" s="845">
        <v>40396</v>
      </c>
      <c r="B80" s="840">
        <v>90.21</v>
      </c>
      <c r="C80" s="840">
        <v>86.58</v>
      </c>
      <c r="E80" s="861">
        <v>40613</v>
      </c>
      <c r="F80" s="840">
        <v>119.89</v>
      </c>
    </row>
    <row r="81" spans="1:6">
      <c r="A81" s="845">
        <v>40389</v>
      </c>
      <c r="B81" s="840">
        <v>89.55</v>
      </c>
      <c r="C81" s="840">
        <v>84.66</v>
      </c>
      <c r="E81" s="861">
        <v>40606</v>
      </c>
      <c r="F81" s="840">
        <v>119.51</v>
      </c>
    </row>
    <row r="82" spans="1:6">
      <c r="A82" s="845">
        <v>40382</v>
      </c>
      <c r="B82" s="840">
        <v>90.3</v>
      </c>
      <c r="C82" s="840">
        <v>83.92</v>
      </c>
      <c r="E82" s="861">
        <v>40599</v>
      </c>
      <c r="F82" s="840">
        <v>118.73</v>
      </c>
    </row>
    <row r="83" spans="1:6">
      <c r="A83" s="845">
        <v>40375</v>
      </c>
      <c r="B83" s="840">
        <v>90.79</v>
      </c>
      <c r="C83" s="840">
        <v>81.400000000000006</v>
      </c>
      <c r="E83" s="861">
        <v>40592</v>
      </c>
      <c r="F83" s="840">
        <v>116.84</v>
      </c>
    </row>
    <row r="84" spans="1:6">
      <c r="A84" s="845">
        <v>40368</v>
      </c>
      <c r="B84" s="840">
        <v>90.53</v>
      </c>
      <c r="C84" s="840">
        <v>81.7</v>
      </c>
      <c r="E84" s="861">
        <v>40585</v>
      </c>
      <c r="F84" s="840">
        <v>114.89</v>
      </c>
    </row>
    <row r="85" spans="1:6">
      <c r="A85" s="845">
        <v>40361</v>
      </c>
      <c r="B85" s="840">
        <v>91.53</v>
      </c>
      <c r="C85" s="840">
        <v>77.66</v>
      </c>
      <c r="E85" s="861">
        <v>40578</v>
      </c>
      <c r="F85" s="840">
        <v>120.91</v>
      </c>
    </row>
    <row r="86" spans="1:6">
      <c r="A86" s="845">
        <v>40354</v>
      </c>
      <c r="B86" s="840">
        <v>91.51</v>
      </c>
      <c r="C86" s="840">
        <v>83.89</v>
      </c>
      <c r="E86" s="861">
        <v>40571</v>
      </c>
      <c r="F86" s="840">
        <v>116.44</v>
      </c>
    </row>
    <row r="87" spans="1:6">
      <c r="A87" s="845">
        <v>40347</v>
      </c>
      <c r="B87" s="840">
        <v>93.62</v>
      </c>
      <c r="C87" s="840">
        <v>84.48</v>
      </c>
      <c r="E87" s="861">
        <v>40564</v>
      </c>
      <c r="F87" s="840">
        <v>120.83</v>
      </c>
    </row>
    <row r="88" spans="1:6">
      <c r="A88" s="845">
        <v>40340</v>
      </c>
      <c r="B88" s="840">
        <v>93.29</v>
      </c>
      <c r="C88" s="840">
        <v>82.96</v>
      </c>
      <c r="E88" s="861">
        <v>40557</v>
      </c>
      <c r="F88" s="840">
        <v>128.62</v>
      </c>
    </row>
    <row r="89" spans="1:6">
      <c r="A89" s="845">
        <v>40333</v>
      </c>
      <c r="B89" s="840">
        <v>92.41</v>
      </c>
      <c r="C89" s="840">
        <v>80.760000000000005</v>
      </c>
      <c r="E89" s="861">
        <v>40550</v>
      </c>
      <c r="F89" s="840">
        <v>126.39</v>
      </c>
    </row>
    <row r="90" spans="1:6">
      <c r="A90" s="845">
        <v>40326</v>
      </c>
      <c r="B90" s="840">
        <v>92.82</v>
      </c>
      <c r="C90" s="840">
        <v>82.06</v>
      </c>
      <c r="E90" s="861">
        <v>40543</v>
      </c>
      <c r="F90" s="840">
        <v>129.75</v>
      </c>
    </row>
    <row r="91" spans="1:6">
      <c r="A91" s="845">
        <v>40319</v>
      </c>
      <c r="B91" s="840">
        <v>88.18</v>
      </c>
      <c r="C91" s="840">
        <v>78.47</v>
      </c>
      <c r="E91" s="861">
        <v>40536</v>
      </c>
      <c r="F91" s="840">
        <v>128.1</v>
      </c>
    </row>
    <row r="92" spans="1:6">
      <c r="A92" s="845">
        <v>40312</v>
      </c>
      <c r="B92" s="840">
        <v>88.87</v>
      </c>
      <c r="C92" s="840">
        <v>84.85</v>
      </c>
      <c r="E92" s="861">
        <v>40529</v>
      </c>
      <c r="F92" s="840">
        <v>112.37</v>
      </c>
    </row>
    <row r="93" spans="1:6">
      <c r="A93" s="845">
        <v>40305</v>
      </c>
      <c r="B93" s="840">
        <v>93.23</v>
      </c>
      <c r="C93" s="840">
        <v>86.82</v>
      </c>
      <c r="E93" s="861">
        <v>40522</v>
      </c>
      <c r="F93" s="840">
        <v>110</v>
      </c>
    </row>
    <row r="94" spans="1:6">
      <c r="A94" s="845">
        <v>40298</v>
      </c>
      <c r="B94" s="840">
        <v>95.75</v>
      </c>
      <c r="C94" s="840">
        <v>93.82</v>
      </c>
      <c r="E94" s="861">
        <v>40515</v>
      </c>
      <c r="F94" s="840">
        <v>107.11</v>
      </c>
    </row>
    <row r="95" spans="1:6">
      <c r="A95" s="845">
        <v>40291</v>
      </c>
      <c r="B95" s="840">
        <v>90.8</v>
      </c>
      <c r="C95" s="840">
        <v>92.9</v>
      </c>
      <c r="E95" s="861">
        <v>40508</v>
      </c>
      <c r="F95" s="840">
        <v>103.31</v>
      </c>
    </row>
    <row r="96" spans="1:6">
      <c r="A96" s="845">
        <v>40284</v>
      </c>
      <c r="B96" s="840">
        <v>85.6</v>
      </c>
      <c r="C96" s="840">
        <v>91.22</v>
      </c>
      <c r="E96" s="861">
        <v>40501</v>
      </c>
      <c r="F96" s="840">
        <v>105.78</v>
      </c>
    </row>
    <row r="97" spans="1:6">
      <c r="A97" s="845">
        <v>40277</v>
      </c>
      <c r="B97" s="840">
        <v>86.95</v>
      </c>
      <c r="C97" s="840">
        <v>90.24</v>
      </c>
      <c r="E97" s="861">
        <v>40494</v>
      </c>
      <c r="F97" s="840">
        <v>102.73</v>
      </c>
    </row>
    <row r="98" spans="1:6">
      <c r="A98" s="845">
        <v>40270</v>
      </c>
      <c r="B98" s="840">
        <v>83.85</v>
      </c>
      <c r="C98" s="840">
        <v>87.88</v>
      </c>
      <c r="E98" s="861">
        <v>40487</v>
      </c>
      <c r="F98" s="840">
        <v>100.3</v>
      </c>
    </row>
    <row r="99" spans="1:6">
      <c r="A99" s="845">
        <v>40263</v>
      </c>
      <c r="B99" s="840">
        <v>81.67</v>
      </c>
      <c r="C99" s="840">
        <v>83.91</v>
      </c>
      <c r="E99" s="861">
        <v>40480</v>
      </c>
      <c r="F99" s="840">
        <v>96.45</v>
      </c>
    </row>
    <row r="100" spans="1:6">
      <c r="A100" s="845">
        <v>40256</v>
      </c>
      <c r="B100" s="840">
        <v>83.3</v>
      </c>
      <c r="C100" s="840">
        <v>84.52</v>
      </c>
      <c r="E100" s="861">
        <v>40473</v>
      </c>
      <c r="F100" s="840">
        <v>92.97</v>
      </c>
    </row>
    <row r="101" spans="1:6">
      <c r="A101" s="845">
        <v>40249</v>
      </c>
      <c r="B101" s="840">
        <v>82.95</v>
      </c>
      <c r="C101" s="840">
        <v>85.32</v>
      </c>
      <c r="E101" s="861">
        <v>40466</v>
      </c>
      <c r="F101" s="840">
        <v>89.03</v>
      </c>
    </row>
    <row r="102" spans="1:6">
      <c r="A102" s="845">
        <v>40242</v>
      </c>
      <c r="B102" s="840">
        <v>84.1</v>
      </c>
      <c r="C102" s="840">
        <v>86.45</v>
      </c>
      <c r="E102" s="861">
        <v>40459</v>
      </c>
      <c r="F102" s="840">
        <v>88.59</v>
      </c>
    </row>
    <row r="103" spans="1:6">
      <c r="A103" s="845">
        <v>40235</v>
      </c>
      <c r="B103" s="840">
        <v>84.05</v>
      </c>
      <c r="C103" s="840">
        <v>84.36</v>
      </c>
      <c r="E103" s="861">
        <v>40452</v>
      </c>
      <c r="F103" s="840">
        <v>87.85</v>
      </c>
    </row>
    <row r="104" spans="1:6">
      <c r="A104" s="845">
        <v>40228</v>
      </c>
      <c r="B104" s="840">
        <v>81.95</v>
      </c>
      <c r="C104" s="840">
        <v>84.78</v>
      </c>
      <c r="E104" s="861">
        <v>40445</v>
      </c>
      <c r="F104" s="840">
        <v>84.94</v>
      </c>
    </row>
    <row r="105" spans="1:6">
      <c r="A105" s="845">
        <v>40221</v>
      </c>
      <c r="B105" s="840">
        <v>81.400000000000006</v>
      </c>
      <c r="C105" s="840">
        <v>81.81</v>
      </c>
      <c r="E105" s="861">
        <v>40438</v>
      </c>
      <c r="F105" s="840">
        <v>84.8</v>
      </c>
    </row>
    <row r="106" spans="1:6">
      <c r="A106" s="845">
        <v>40214</v>
      </c>
      <c r="B106" s="840">
        <v>84.6</v>
      </c>
      <c r="C106" s="840">
        <v>79.05</v>
      </c>
      <c r="E106" s="861">
        <v>40431</v>
      </c>
      <c r="F106" s="840">
        <v>85.56</v>
      </c>
    </row>
    <row r="107" spans="1:6">
      <c r="A107" s="845">
        <v>40207</v>
      </c>
      <c r="B107" s="840">
        <v>83.4</v>
      </c>
      <c r="C107" s="840">
        <v>81.41</v>
      </c>
      <c r="E107" s="861">
        <v>40424</v>
      </c>
      <c r="F107" s="840">
        <v>88.04</v>
      </c>
    </row>
    <row r="108" spans="1:6">
      <c r="A108" s="845">
        <v>40200</v>
      </c>
      <c r="B108" s="840">
        <v>86.75</v>
      </c>
      <c r="C108" s="840">
        <v>83.05</v>
      </c>
      <c r="E108" s="861">
        <v>40417</v>
      </c>
      <c r="F108" s="840">
        <v>87.78</v>
      </c>
    </row>
    <row r="109" spans="1:6">
      <c r="A109" s="845">
        <v>40193</v>
      </c>
      <c r="B109" s="840">
        <v>87.1</v>
      </c>
      <c r="C109" s="840">
        <v>87.01</v>
      </c>
      <c r="E109" s="861">
        <v>40410</v>
      </c>
      <c r="F109" s="840">
        <v>86.34</v>
      </c>
    </row>
    <row r="110" spans="1:6">
      <c r="A110" s="845">
        <v>40186</v>
      </c>
      <c r="B110" s="840">
        <v>91.15</v>
      </c>
      <c r="C110" s="840">
        <v>90.88</v>
      </c>
      <c r="E110" s="861">
        <v>40403</v>
      </c>
      <c r="F110" s="840">
        <v>86.88</v>
      </c>
    </row>
    <row r="111" spans="1:6">
      <c r="A111" s="845">
        <v>40179</v>
      </c>
      <c r="B111" s="840">
        <v>81.2</v>
      </c>
      <c r="C111" s="840">
        <v>87.36</v>
      </c>
      <c r="E111" s="861">
        <v>40396</v>
      </c>
      <c r="F111" s="840">
        <v>90.21</v>
      </c>
    </row>
    <row r="112" spans="1:6">
      <c r="A112" s="845">
        <v>40172</v>
      </c>
      <c r="B112" s="840">
        <v>77.45</v>
      </c>
      <c r="C112" s="840">
        <v>86.6</v>
      </c>
      <c r="E112" s="861">
        <v>40389</v>
      </c>
      <c r="F112" s="840">
        <v>89.55</v>
      </c>
    </row>
    <row r="113" spans="1:6">
      <c r="A113" s="845">
        <v>40165</v>
      </c>
      <c r="B113" s="840">
        <v>72.849999999999994</v>
      </c>
      <c r="C113" s="840">
        <v>84.82</v>
      </c>
      <c r="E113" s="861">
        <v>40382</v>
      </c>
      <c r="F113" s="840">
        <v>90.3</v>
      </c>
    </row>
    <row r="114" spans="1:6">
      <c r="A114" s="845">
        <v>40158</v>
      </c>
      <c r="B114" s="840">
        <v>68.45</v>
      </c>
      <c r="C114" s="840">
        <v>83.48</v>
      </c>
      <c r="E114" s="861">
        <v>40375</v>
      </c>
      <c r="F114" s="840">
        <v>90.79</v>
      </c>
    </row>
    <row r="115" spans="1:6">
      <c r="A115" s="845">
        <v>40151</v>
      </c>
      <c r="B115" s="840">
        <v>67.489999999999995</v>
      </c>
      <c r="C115" s="840">
        <v>88.6</v>
      </c>
      <c r="E115" s="861">
        <v>40368</v>
      </c>
      <c r="F115" s="840">
        <v>90.53</v>
      </c>
    </row>
    <row r="116" spans="1:6">
      <c r="A116" s="845">
        <v>40144</v>
      </c>
      <c r="B116" s="840">
        <v>66.900000000000006</v>
      </c>
      <c r="C116" s="840">
        <v>87.57</v>
      </c>
      <c r="E116" s="861">
        <v>40361</v>
      </c>
      <c r="F116" s="840">
        <v>91.53</v>
      </c>
    </row>
    <row r="117" spans="1:6">
      <c r="A117" s="845">
        <v>40137</v>
      </c>
      <c r="B117" s="840">
        <v>65.900000000000006</v>
      </c>
      <c r="C117" s="840">
        <v>87.48</v>
      </c>
      <c r="E117" s="861">
        <v>40354</v>
      </c>
      <c r="F117" s="840">
        <v>91.51</v>
      </c>
    </row>
    <row r="118" spans="1:6">
      <c r="A118" s="845">
        <v>40130</v>
      </c>
      <c r="B118" s="840">
        <v>65.75</v>
      </c>
      <c r="C118" s="840">
        <v>85.57</v>
      </c>
      <c r="E118" s="861">
        <v>40347</v>
      </c>
      <c r="F118" s="840">
        <v>93.62</v>
      </c>
    </row>
    <row r="119" spans="1:6">
      <c r="A119" s="845">
        <v>40123</v>
      </c>
      <c r="B119" s="840">
        <v>66.55</v>
      </c>
      <c r="C119" s="840">
        <v>85.75</v>
      </c>
      <c r="E119" s="861">
        <v>40340</v>
      </c>
      <c r="F119" s="840">
        <v>93.29</v>
      </c>
    </row>
    <row r="120" spans="1:6">
      <c r="A120" s="845">
        <v>40116</v>
      </c>
      <c r="B120" s="840">
        <v>65.05</v>
      </c>
      <c r="C120" s="840">
        <v>85</v>
      </c>
      <c r="E120" s="861">
        <v>40333</v>
      </c>
      <c r="F120" s="840">
        <v>92.41</v>
      </c>
    </row>
    <row r="121" spans="1:6">
      <c r="A121" s="845">
        <v>40109</v>
      </c>
      <c r="B121" s="840">
        <v>65.400000000000006</v>
      </c>
      <c r="C121" s="840">
        <v>87.92</v>
      </c>
      <c r="E121" s="861">
        <v>40326</v>
      </c>
      <c r="F121" s="840">
        <v>92.82</v>
      </c>
    </row>
    <row r="122" spans="1:6">
      <c r="A122" s="845">
        <v>40102</v>
      </c>
      <c r="B122" s="840">
        <v>64.05</v>
      </c>
      <c r="C122" s="840">
        <v>85.69</v>
      </c>
      <c r="E122" s="861">
        <v>40319</v>
      </c>
      <c r="F122" s="840">
        <v>88.18</v>
      </c>
    </row>
    <row r="123" spans="1:6">
      <c r="A123" s="845">
        <v>40095</v>
      </c>
      <c r="B123" s="840">
        <v>63.6</v>
      </c>
      <c r="C123" s="840">
        <v>80.87</v>
      </c>
      <c r="E123" s="861">
        <v>40312</v>
      </c>
      <c r="F123" s="840">
        <v>88.87</v>
      </c>
    </row>
    <row r="124" spans="1:6">
      <c r="A124" s="845">
        <v>40088</v>
      </c>
      <c r="B124" s="840">
        <v>61.4</v>
      </c>
      <c r="C124" s="840">
        <v>78.010000000000005</v>
      </c>
      <c r="E124" s="861">
        <v>40305</v>
      </c>
      <c r="F124" s="840">
        <v>93.23</v>
      </c>
    </row>
    <row r="125" spans="1:6">
      <c r="A125" s="845">
        <v>40081</v>
      </c>
      <c r="B125" s="840">
        <v>60.8</v>
      </c>
      <c r="C125" s="840">
        <v>75.150000000000006</v>
      </c>
      <c r="E125" s="861">
        <v>40298</v>
      </c>
      <c r="F125" s="840">
        <v>95.75</v>
      </c>
    </row>
    <row r="126" spans="1:6">
      <c r="A126" s="845">
        <v>40074</v>
      </c>
      <c r="B126" s="840">
        <v>60.59</v>
      </c>
      <c r="C126" s="840">
        <v>80.61</v>
      </c>
      <c r="E126" s="861">
        <v>40291</v>
      </c>
      <c r="F126" s="840">
        <v>90.8</v>
      </c>
    </row>
    <row r="127" spans="1:6">
      <c r="A127" s="845">
        <v>40067</v>
      </c>
      <c r="B127" s="840">
        <v>60.9</v>
      </c>
      <c r="C127" s="840">
        <v>77.58</v>
      </c>
      <c r="E127" s="861">
        <v>40284</v>
      </c>
      <c r="F127" s="840">
        <v>85.6</v>
      </c>
    </row>
    <row r="128" spans="1:6">
      <c r="A128" s="845">
        <v>40060</v>
      </c>
      <c r="B128" s="840">
        <v>61.15</v>
      </c>
      <c r="C128" s="840">
        <v>76.510000000000005</v>
      </c>
      <c r="E128" s="861">
        <v>40277</v>
      </c>
      <c r="F128" s="840">
        <v>86.95</v>
      </c>
    </row>
    <row r="129" spans="1:6">
      <c r="A129" s="845">
        <v>40053</v>
      </c>
      <c r="B129" s="840">
        <v>64.05</v>
      </c>
      <c r="C129" s="840">
        <v>81.25</v>
      </c>
      <c r="E129" s="861">
        <v>40270</v>
      </c>
      <c r="F129" s="840">
        <v>83.85</v>
      </c>
    </row>
    <row r="130" spans="1:6">
      <c r="A130" s="845">
        <v>40046</v>
      </c>
      <c r="B130" s="840">
        <v>64</v>
      </c>
      <c r="C130" s="840">
        <v>82.58</v>
      </c>
      <c r="E130" s="861">
        <v>40263</v>
      </c>
      <c r="F130" s="840">
        <v>81.67</v>
      </c>
    </row>
    <row r="131" spans="1:6">
      <c r="A131" s="845">
        <v>40039</v>
      </c>
      <c r="B131" s="840">
        <v>64.099999999999994</v>
      </c>
      <c r="C131" s="840">
        <v>80.67</v>
      </c>
      <c r="E131" s="861">
        <v>40256</v>
      </c>
      <c r="F131" s="840">
        <v>83.3</v>
      </c>
    </row>
    <row r="132" spans="1:6">
      <c r="A132" s="845">
        <v>40032</v>
      </c>
      <c r="B132" s="840">
        <v>64.849999999999994</v>
      </c>
      <c r="C132" s="840">
        <v>82.41</v>
      </c>
      <c r="E132" s="861">
        <v>40249</v>
      </c>
      <c r="F132" s="840">
        <v>82.95</v>
      </c>
    </row>
    <row r="133" spans="1:6">
      <c r="A133" s="845">
        <v>40025</v>
      </c>
      <c r="B133" s="840">
        <v>63.1</v>
      </c>
      <c r="C133" s="840">
        <v>80.91</v>
      </c>
      <c r="E133" s="861">
        <v>40242</v>
      </c>
      <c r="F133" s="840">
        <v>84.1</v>
      </c>
    </row>
    <row r="134" spans="1:6">
      <c r="A134" s="845">
        <v>40018</v>
      </c>
      <c r="B134" s="840">
        <v>61.25</v>
      </c>
      <c r="C134" s="840">
        <v>81.72</v>
      </c>
      <c r="E134" s="861">
        <v>40235</v>
      </c>
      <c r="F134" s="840">
        <v>84.05</v>
      </c>
    </row>
    <row r="135" spans="1:6">
      <c r="A135" s="845">
        <v>40011</v>
      </c>
      <c r="B135" s="840">
        <v>62.25</v>
      </c>
      <c r="C135" s="840">
        <v>77.09</v>
      </c>
      <c r="E135" s="861">
        <v>40228</v>
      </c>
      <c r="F135" s="840">
        <v>81.95</v>
      </c>
    </row>
    <row r="136" spans="1:6">
      <c r="A136" s="845">
        <v>40004</v>
      </c>
      <c r="B136" s="840">
        <v>60.15</v>
      </c>
      <c r="C136" s="840">
        <v>73.400000000000006</v>
      </c>
      <c r="E136" s="861">
        <v>40221</v>
      </c>
      <c r="F136" s="840">
        <v>81.400000000000006</v>
      </c>
    </row>
    <row r="137" spans="1:6">
      <c r="A137" s="845">
        <v>39997</v>
      </c>
      <c r="B137" s="840">
        <v>59.25</v>
      </c>
      <c r="C137" s="840">
        <v>77.58</v>
      </c>
      <c r="E137" s="861">
        <v>40214</v>
      </c>
      <c r="F137" s="840">
        <v>84.6</v>
      </c>
    </row>
    <row r="138" spans="1:6">
      <c r="A138" s="845">
        <v>39990</v>
      </c>
      <c r="B138" s="840">
        <v>57.4</v>
      </c>
      <c r="C138" s="840">
        <v>79.36</v>
      </c>
      <c r="E138" s="861">
        <v>40207</v>
      </c>
      <c r="F138" s="840">
        <v>83.4</v>
      </c>
    </row>
    <row r="139" spans="1:6">
      <c r="A139" s="845">
        <v>39983</v>
      </c>
      <c r="B139" s="840">
        <v>57.9</v>
      </c>
      <c r="C139" s="840">
        <v>80.37</v>
      </c>
      <c r="E139" s="861">
        <v>40200</v>
      </c>
      <c r="F139" s="840">
        <v>86.75</v>
      </c>
    </row>
    <row r="140" spans="1:6">
      <c r="A140" s="845">
        <v>39976</v>
      </c>
      <c r="B140" s="840">
        <v>65.3</v>
      </c>
      <c r="C140" s="840">
        <v>82.15</v>
      </c>
      <c r="E140" s="861">
        <v>40193</v>
      </c>
      <c r="F140" s="840">
        <v>87.1</v>
      </c>
    </row>
    <row r="141" spans="1:6">
      <c r="A141" s="845">
        <v>39969</v>
      </c>
      <c r="B141" s="840">
        <v>60.6</v>
      </c>
      <c r="C141" s="840">
        <v>80.89</v>
      </c>
      <c r="E141" s="861">
        <v>40186</v>
      </c>
      <c r="F141" s="840">
        <v>91.15</v>
      </c>
    </row>
    <row r="142" spans="1:6">
      <c r="A142" s="845">
        <v>39962</v>
      </c>
      <c r="B142" s="840">
        <v>59.2</v>
      </c>
      <c r="C142" s="840">
        <v>75.72</v>
      </c>
      <c r="E142" s="861">
        <v>40179</v>
      </c>
      <c r="F142" s="840">
        <v>81.2</v>
      </c>
    </row>
    <row r="143" spans="1:6">
      <c r="A143" s="845">
        <v>39955</v>
      </c>
      <c r="B143" s="840">
        <v>57.3</v>
      </c>
      <c r="C143" s="840">
        <v>72.83</v>
      </c>
      <c r="E143" s="861">
        <v>40172</v>
      </c>
      <c r="F143" s="840">
        <v>77.45</v>
      </c>
    </row>
    <row r="144" spans="1:6">
      <c r="A144" s="845">
        <v>39948</v>
      </c>
      <c r="B144" s="840">
        <v>56.15</v>
      </c>
      <c r="C144" s="840">
        <v>70.16</v>
      </c>
      <c r="E144" s="861">
        <v>40165</v>
      </c>
      <c r="F144" s="840">
        <v>72.849999999999994</v>
      </c>
    </row>
    <row r="145" spans="1:6">
      <c r="A145" s="845">
        <v>39941</v>
      </c>
      <c r="B145" s="840">
        <v>58.8</v>
      </c>
      <c r="C145" s="840">
        <v>72.87</v>
      </c>
      <c r="E145" s="861">
        <v>40158</v>
      </c>
      <c r="F145" s="840">
        <v>68.45</v>
      </c>
    </row>
    <row r="146" spans="1:6">
      <c r="A146" s="845">
        <v>39934</v>
      </c>
      <c r="B146" s="840">
        <v>58.5</v>
      </c>
      <c r="C146" s="840">
        <v>70.78</v>
      </c>
      <c r="E146" s="861">
        <v>40151</v>
      </c>
      <c r="F146" s="840">
        <v>67.489999999999995</v>
      </c>
    </row>
    <row r="147" spans="1:6">
      <c r="A147" s="845">
        <v>39927</v>
      </c>
      <c r="B147" s="840">
        <v>61.5</v>
      </c>
      <c r="C147" s="840">
        <v>68.52</v>
      </c>
      <c r="E147" s="861">
        <v>40144</v>
      </c>
      <c r="F147" s="840">
        <v>66.900000000000006</v>
      </c>
    </row>
    <row r="148" spans="1:6">
      <c r="A148" s="845">
        <v>39920</v>
      </c>
      <c r="B148" s="840">
        <v>62.8</v>
      </c>
      <c r="C148" s="840">
        <v>70.52</v>
      </c>
      <c r="E148" s="861">
        <v>40137</v>
      </c>
      <c r="F148" s="840">
        <v>65.900000000000006</v>
      </c>
    </row>
    <row r="149" spans="1:6">
      <c r="A149" s="845">
        <v>39913</v>
      </c>
      <c r="B149" s="840">
        <v>63.35</v>
      </c>
      <c r="C149" s="840">
        <v>72.63</v>
      </c>
      <c r="E149" s="861">
        <v>40130</v>
      </c>
      <c r="F149" s="840">
        <v>65.75</v>
      </c>
    </row>
    <row r="150" spans="1:6">
      <c r="A150" s="845">
        <v>39906</v>
      </c>
      <c r="B150" s="840">
        <v>62</v>
      </c>
      <c r="C150" s="840">
        <v>72.78</v>
      </c>
      <c r="E150" s="861">
        <v>40123</v>
      </c>
      <c r="F150" s="840">
        <v>66.55</v>
      </c>
    </row>
    <row r="151" spans="1:6">
      <c r="A151" s="845">
        <v>39899</v>
      </c>
      <c r="B151" s="840">
        <v>61.9</v>
      </c>
      <c r="C151" s="840">
        <v>71.27</v>
      </c>
      <c r="E151" s="861">
        <v>40116</v>
      </c>
      <c r="F151" s="840">
        <v>65.05</v>
      </c>
    </row>
    <row r="152" spans="1:6">
      <c r="A152" s="845">
        <v>39892</v>
      </c>
      <c r="B152" s="840">
        <v>59.1</v>
      </c>
      <c r="C152" s="840">
        <v>71.34</v>
      </c>
      <c r="E152" s="861">
        <v>40109</v>
      </c>
      <c r="F152" s="840">
        <v>65.400000000000006</v>
      </c>
    </row>
    <row r="153" spans="1:6">
      <c r="A153" s="845">
        <v>39885</v>
      </c>
      <c r="B153" s="840">
        <v>55.85</v>
      </c>
      <c r="C153" s="840">
        <v>62.95</v>
      </c>
      <c r="E153" s="861">
        <v>40102</v>
      </c>
      <c r="F153" s="840">
        <v>64.05</v>
      </c>
    </row>
    <row r="154" spans="1:6">
      <c r="A154" s="845">
        <v>39878</v>
      </c>
      <c r="B154" s="840">
        <v>57</v>
      </c>
      <c r="C154" s="840">
        <v>61.47</v>
      </c>
      <c r="E154" s="861">
        <v>40095</v>
      </c>
      <c r="F154" s="840">
        <v>63.6</v>
      </c>
    </row>
    <row r="155" spans="1:6">
      <c r="A155" s="845">
        <v>39871</v>
      </c>
      <c r="B155" s="840">
        <v>59.6</v>
      </c>
      <c r="C155" s="840">
        <v>63.26</v>
      </c>
      <c r="E155" s="861">
        <v>40088</v>
      </c>
      <c r="F155" s="840">
        <v>61.4</v>
      </c>
    </row>
    <row r="156" spans="1:6">
      <c r="A156" s="845">
        <v>39864</v>
      </c>
      <c r="B156" s="840">
        <v>68.349999999999994</v>
      </c>
      <c r="C156" s="840">
        <v>61.76</v>
      </c>
      <c r="E156" s="861">
        <v>40081</v>
      </c>
      <c r="F156" s="840">
        <v>60.8</v>
      </c>
    </row>
    <row r="157" spans="1:6">
      <c r="A157" s="845">
        <v>39857</v>
      </c>
      <c r="B157" s="840">
        <v>74.2</v>
      </c>
      <c r="C157" s="840">
        <v>64.91</v>
      </c>
      <c r="E157" s="861">
        <v>40074</v>
      </c>
      <c r="F157" s="840">
        <v>60.59</v>
      </c>
    </row>
    <row r="158" spans="1:6">
      <c r="A158" s="845">
        <v>39850</v>
      </c>
      <c r="B158" s="840">
        <v>73.75</v>
      </c>
      <c r="C158" s="840">
        <v>65.760000000000005</v>
      </c>
      <c r="E158" s="861">
        <v>40067</v>
      </c>
      <c r="F158" s="840">
        <v>60.9</v>
      </c>
    </row>
    <row r="159" spans="1:6">
      <c r="A159" s="845">
        <v>39843</v>
      </c>
      <c r="B159" s="840">
        <v>75.2</v>
      </c>
      <c r="C159" s="840">
        <v>63.84</v>
      </c>
      <c r="E159" s="861">
        <v>40060</v>
      </c>
      <c r="F159" s="840">
        <v>61.15</v>
      </c>
    </row>
    <row r="160" spans="1:6">
      <c r="A160" s="845">
        <v>39836</v>
      </c>
      <c r="B160" s="840">
        <v>70.7</v>
      </c>
      <c r="C160" s="840">
        <v>65.13</v>
      </c>
      <c r="E160" s="861">
        <v>40053</v>
      </c>
      <c r="F160" s="840">
        <v>64.05</v>
      </c>
    </row>
    <row r="161" spans="1:6">
      <c r="A161" s="845">
        <v>39829</v>
      </c>
      <c r="B161" s="840">
        <v>73.099999999999994</v>
      </c>
      <c r="C161" s="840">
        <v>68.75</v>
      </c>
      <c r="E161" s="861">
        <v>40046</v>
      </c>
      <c r="F161" s="840">
        <v>64</v>
      </c>
    </row>
    <row r="162" spans="1:6">
      <c r="A162" s="845">
        <v>39822</v>
      </c>
      <c r="B162" s="840">
        <v>83.7</v>
      </c>
      <c r="C162" s="840">
        <v>69.97</v>
      </c>
    </row>
    <row r="163" spans="1:6">
      <c r="A163" s="845">
        <v>39815</v>
      </c>
      <c r="B163" s="840">
        <v>79.5</v>
      </c>
      <c r="C163" s="840">
        <v>71.33</v>
      </c>
    </row>
    <row r="164" spans="1:6">
      <c r="A164" s="845">
        <v>39808</v>
      </c>
      <c r="B164" s="840">
        <v>78.3</v>
      </c>
      <c r="C164" s="840">
        <v>64.66</v>
      </c>
    </row>
    <row r="165" spans="1:6">
      <c r="A165" s="845">
        <v>39801</v>
      </c>
      <c r="B165" s="840">
        <v>77.400000000000006</v>
      </c>
      <c r="C165" s="840">
        <v>66.680000000000007</v>
      </c>
    </row>
    <row r="166" spans="1:6">
      <c r="A166" s="845">
        <v>39794</v>
      </c>
      <c r="B166" s="840">
        <v>73.75</v>
      </c>
      <c r="C166" s="840">
        <v>70.62</v>
      </c>
    </row>
    <row r="167" spans="1:6">
      <c r="A167" s="845">
        <v>39787</v>
      </c>
      <c r="B167" s="840">
        <v>73.599999999999994</v>
      </c>
      <c r="C167" s="840">
        <v>70.86</v>
      </c>
    </row>
    <row r="168" spans="1:6">
      <c r="A168" s="845">
        <v>39780</v>
      </c>
      <c r="B168" s="840">
        <v>78</v>
      </c>
      <c r="C168" s="840">
        <v>79.42</v>
      </c>
    </row>
    <row r="169" spans="1:6">
      <c r="A169" s="845">
        <v>39773</v>
      </c>
      <c r="B169" s="840">
        <v>78.150000000000006</v>
      </c>
      <c r="C169" s="840">
        <v>76.540000000000006</v>
      </c>
    </row>
    <row r="170" spans="1:6">
      <c r="A170" s="845">
        <v>39766</v>
      </c>
      <c r="B170" s="840">
        <v>91.9</v>
      </c>
      <c r="C170" s="840">
        <v>79.31</v>
      </c>
    </row>
    <row r="171" spans="1:6">
      <c r="A171" s="845">
        <v>39759</v>
      </c>
      <c r="B171" s="840">
        <v>105.85</v>
      </c>
      <c r="C171" s="840">
        <v>82.79</v>
      </c>
    </row>
    <row r="172" spans="1:6">
      <c r="A172" s="845">
        <v>39752</v>
      </c>
      <c r="B172" s="840">
        <v>98.4</v>
      </c>
      <c r="C172" s="840">
        <v>85.77</v>
      </c>
    </row>
    <row r="173" spans="1:6">
      <c r="A173" s="845">
        <v>39745</v>
      </c>
      <c r="B173" s="840">
        <v>96</v>
      </c>
      <c r="C173" s="840">
        <v>80.44</v>
      </c>
    </row>
    <row r="174" spans="1:6">
      <c r="A174" s="845">
        <v>39738</v>
      </c>
      <c r="B174" s="840">
        <v>104.9</v>
      </c>
      <c r="C174" s="840">
        <v>84.25</v>
      </c>
    </row>
    <row r="175" spans="1:6">
      <c r="A175" s="845">
        <v>39731</v>
      </c>
      <c r="B175" s="840">
        <v>119.1</v>
      </c>
      <c r="C175" s="840">
        <v>87.69</v>
      </c>
    </row>
    <row r="176" spans="1:6">
      <c r="A176" s="845">
        <v>39724</v>
      </c>
      <c r="B176" s="840">
        <v>132.80000000000001</v>
      </c>
      <c r="C176" s="840">
        <v>97.78</v>
      </c>
    </row>
    <row r="177" spans="1:3">
      <c r="A177" s="845">
        <v>39717</v>
      </c>
      <c r="B177" s="840">
        <v>145.80000000000001</v>
      </c>
      <c r="C177" s="840">
        <v>109.44</v>
      </c>
    </row>
    <row r="178" spans="1:3">
      <c r="A178" s="845">
        <v>39710</v>
      </c>
      <c r="B178" s="840">
        <v>136.44999999999999</v>
      </c>
      <c r="C178" s="840">
        <v>104.76</v>
      </c>
    </row>
    <row r="179" spans="1:3">
      <c r="A179" s="845">
        <v>39703</v>
      </c>
      <c r="B179" s="840">
        <v>152.5</v>
      </c>
      <c r="C179" s="840">
        <v>105.72</v>
      </c>
    </row>
    <row r="180" spans="1:3">
      <c r="A180" s="845">
        <v>39696</v>
      </c>
      <c r="B180" s="840">
        <v>159.25</v>
      </c>
      <c r="C180" s="840">
        <v>109.64</v>
      </c>
    </row>
    <row r="181" spans="1:3">
      <c r="A181" s="845">
        <v>39689</v>
      </c>
      <c r="B181" s="840">
        <v>162.94999999999999</v>
      </c>
      <c r="C181" s="840">
        <v>116.96</v>
      </c>
    </row>
    <row r="182" spans="1:3">
      <c r="A182" s="845">
        <v>39682</v>
      </c>
      <c r="B182" s="840">
        <v>161.15</v>
      </c>
      <c r="C182" s="840">
        <v>115.8</v>
      </c>
    </row>
    <row r="183" spans="1:3">
      <c r="A183" s="845">
        <v>39675</v>
      </c>
      <c r="B183" s="840">
        <v>157.75</v>
      </c>
      <c r="C183" s="840">
        <v>113.07</v>
      </c>
    </row>
    <row r="184" spans="1:3">
      <c r="A184" s="845">
        <v>39668</v>
      </c>
      <c r="B184" s="840">
        <v>152.5</v>
      </c>
      <c r="C184" s="840">
        <v>112.32</v>
      </c>
    </row>
    <row r="185" spans="1:3">
      <c r="A185" s="845">
        <v>39661</v>
      </c>
      <c r="B185" s="840">
        <v>153.5</v>
      </c>
      <c r="C185" s="840">
        <v>122.24</v>
      </c>
    </row>
    <row r="186" spans="1:3">
      <c r="A186" s="845">
        <v>39654</v>
      </c>
      <c r="B186" s="840">
        <v>149.15</v>
      </c>
      <c r="C186" s="840">
        <v>120.83</v>
      </c>
    </row>
    <row r="187" spans="1:3">
      <c r="A187" s="845">
        <v>39647</v>
      </c>
      <c r="B187" s="840">
        <v>170.4</v>
      </c>
      <c r="C187" s="840">
        <v>129.1</v>
      </c>
    </row>
    <row r="188" spans="1:3">
      <c r="A188" s="845">
        <v>39640</v>
      </c>
      <c r="B188" s="840">
        <v>174</v>
      </c>
      <c r="C188" s="840">
        <v>140.77000000000001</v>
      </c>
    </row>
    <row r="189" spans="1:3">
      <c r="A189" s="845">
        <v>39633</v>
      </c>
      <c r="B189" s="840">
        <v>176.8</v>
      </c>
      <c r="C189" s="840">
        <v>141.84</v>
      </c>
    </row>
    <row r="190" spans="1:3">
      <c r="A190" s="845">
        <v>39626</v>
      </c>
      <c r="B190" s="840">
        <v>159</v>
      </c>
      <c r="C190" s="840">
        <v>135.87</v>
      </c>
    </row>
    <row r="191" spans="1:3">
      <c r="A191" s="845">
        <v>39619</v>
      </c>
      <c r="B191" s="840">
        <v>146.5</v>
      </c>
      <c r="C191" s="840">
        <v>132.63999999999999</v>
      </c>
    </row>
    <row r="192" spans="1:3">
      <c r="A192" s="845">
        <v>39612</v>
      </c>
      <c r="B192" s="840">
        <v>135.5</v>
      </c>
      <c r="C192" s="840">
        <v>134.26</v>
      </c>
    </row>
    <row r="193" spans="1:3">
      <c r="A193" s="845">
        <v>39605</v>
      </c>
      <c r="B193" s="840">
        <v>129.15</v>
      </c>
      <c r="C193" s="840">
        <v>130.91</v>
      </c>
    </row>
    <row r="194" spans="1:3">
      <c r="A194" s="845">
        <v>39598</v>
      </c>
      <c r="B194" s="840">
        <v>133.5</v>
      </c>
      <c r="C194" s="840">
        <v>124.02</v>
      </c>
    </row>
    <row r="195" spans="1:3">
      <c r="A195" s="845">
        <v>39591</v>
      </c>
      <c r="B195" s="840">
        <v>122.95</v>
      </c>
      <c r="C195" s="840">
        <v>129.63999999999999</v>
      </c>
    </row>
    <row r="196" spans="1:3">
      <c r="A196" s="845">
        <v>39584</v>
      </c>
      <c r="B196" s="840">
        <v>115.75</v>
      </c>
      <c r="C196" s="840">
        <v>124</v>
      </c>
    </row>
    <row r="197" spans="1:3">
      <c r="A197" s="845">
        <v>39577</v>
      </c>
      <c r="B197" s="840">
        <v>113.05</v>
      </c>
      <c r="C197" s="840">
        <v>118.91</v>
      </c>
    </row>
    <row r="198" spans="1:3">
      <c r="A198" s="845">
        <v>39570</v>
      </c>
      <c r="B198" s="840">
        <v>111.6</v>
      </c>
      <c r="C198" s="840">
        <v>107.3</v>
      </c>
    </row>
    <row r="199" spans="1:3">
      <c r="A199" s="845">
        <v>39563</v>
      </c>
      <c r="B199" s="840">
        <v>112.15</v>
      </c>
      <c r="C199" s="840">
        <v>106.71</v>
      </c>
    </row>
    <row r="200" spans="1:3">
      <c r="A200" s="845">
        <v>39556</v>
      </c>
      <c r="B200" s="840">
        <v>111.4</v>
      </c>
      <c r="C200" s="840">
        <v>105.63</v>
      </c>
    </row>
    <row r="201" spans="1:3">
      <c r="A201" s="845">
        <v>39549</v>
      </c>
      <c r="B201" s="840">
        <v>107.1</v>
      </c>
      <c r="C201" s="840">
        <v>99.65</v>
      </c>
    </row>
    <row r="202" spans="1:3">
      <c r="A202" s="845">
        <v>39542</v>
      </c>
      <c r="B202" s="840">
        <v>103.9</v>
      </c>
      <c r="C202" s="840">
        <v>95.79</v>
      </c>
    </row>
    <row r="203" spans="1:3">
      <c r="A203" s="845">
        <v>39535</v>
      </c>
      <c r="B203" s="840">
        <v>104.75</v>
      </c>
      <c r="C203" s="840">
        <v>96.18</v>
      </c>
    </row>
    <row r="204" spans="1:3">
      <c r="A204" s="845">
        <v>39528</v>
      </c>
      <c r="B204" s="840">
        <v>107</v>
      </c>
      <c r="C204" s="840">
        <v>95.67</v>
      </c>
    </row>
    <row r="205" spans="1:3">
      <c r="A205" s="845">
        <v>39521</v>
      </c>
      <c r="B205" s="840">
        <v>114.3</v>
      </c>
      <c r="C205" s="840">
        <v>100.16</v>
      </c>
    </row>
    <row r="206" spans="1:3">
      <c r="A206" s="845">
        <v>39514</v>
      </c>
      <c r="B206" s="840">
        <v>114.9</v>
      </c>
      <c r="C206" s="840">
        <v>96.98</v>
      </c>
    </row>
    <row r="207" spans="1:3">
      <c r="A207" s="845">
        <v>39507</v>
      </c>
      <c r="B207" s="840">
        <v>118.85</v>
      </c>
      <c r="C207" s="840">
        <v>97.06</v>
      </c>
    </row>
    <row r="208" spans="1:3">
      <c r="A208" s="845">
        <v>39500</v>
      </c>
      <c r="B208" s="840">
        <v>113.85</v>
      </c>
      <c r="C208" s="840">
        <v>92.41</v>
      </c>
    </row>
    <row r="209" spans="1:3">
      <c r="A209" s="845">
        <v>39493</v>
      </c>
      <c r="B209" s="840">
        <v>115.9</v>
      </c>
      <c r="C209" s="840">
        <v>90.11</v>
      </c>
    </row>
    <row r="210" spans="1:3">
      <c r="A210" s="845">
        <v>39486</v>
      </c>
      <c r="B210" s="840">
        <v>110.2</v>
      </c>
      <c r="C210" s="840">
        <v>87.61</v>
      </c>
    </row>
    <row r="211" spans="1:3">
      <c r="A211" s="845">
        <v>39479</v>
      </c>
      <c r="B211" s="840">
        <v>111.3</v>
      </c>
      <c r="C211" s="840">
        <v>87.2</v>
      </c>
    </row>
    <row r="212" spans="1:3">
      <c r="A212" s="845">
        <v>39472</v>
      </c>
      <c r="B212" s="840">
        <v>99.1</v>
      </c>
      <c r="C212" s="840">
        <v>86.46</v>
      </c>
    </row>
    <row r="213" spans="1:3">
      <c r="A213" s="845">
        <v>39465</v>
      </c>
      <c r="B213" s="840">
        <v>101.4</v>
      </c>
      <c r="C213" s="840">
        <v>85.06</v>
      </c>
    </row>
    <row r="214" spans="1:3">
      <c r="A214" s="845">
        <v>39458</v>
      </c>
      <c r="B214" s="840">
        <v>100.9</v>
      </c>
      <c r="C214" s="840">
        <v>85.38</v>
      </c>
    </row>
    <row r="215" spans="1:3">
      <c r="A215" s="845">
        <v>39451</v>
      </c>
      <c r="B215" s="840">
        <v>99.35</v>
      </c>
      <c r="C215" s="840">
        <v>88.84</v>
      </c>
    </row>
    <row r="216" spans="1:3">
      <c r="A216" s="845">
        <v>39444</v>
      </c>
      <c r="B216" s="840">
        <v>95.85</v>
      </c>
      <c r="C216" s="840">
        <v>85.59</v>
      </c>
    </row>
    <row r="217" spans="1:3">
      <c r="A217" s="845">
        <v>39437</v>
      </c>
      <c r="B217" s="840">
        <v>95.7</v>
      </c>
      <c r="C217" s="840">
        <v>85.71</v>
      </c>
    </row>
    <row r="218" spans="1:3">
      <c r="A218" s="845">
        <v>39430</v>
      </c>
      <c r="B218" s="840">
        <v>93.75</v>
      </c>
      <c r="C218" s="840">
        <v>85.88</v>
      </c>
    </row>
    <row r="219" spans="1:3">
      <c r="A219" s="845">
        <v>39423</v>
      </c>
      <c r="B219" s="840">
        <v>91.25</v>
      </c>
      <c r="C219" s="840">
        <v>84.47</v>
      </c>
    </row>
    <row r="220" spans="1:3">
      <c r="A220" s="845">
        <v>39416</v>
      </c>
      <c r="B220" s="840">
        <v>100.25</v>
      </c>
      <c r="C220" s="840">
        <v>83.11</v>
      </c>
    </row>
    <row r="221" spans="1:3">
      <c r="A221" s="845">
        <v>39409</v>
      </c>
      <c r="B221" s="840">
        <v>95.1</v>
      </c>
      <c r="C221" s="840">
        <v>85.24</v>
      </c>
    </row>
    <row r="222" spans="1:3">
      <c r="A222" s="845">
        <v>39402</v>
      </c>
      <c r="B222" s="840">
        <v>85</v>
      </c>
      <c r="C222" s="840">
        <v>82.07</v>
      </c>
    </row>
    <row r="223" spans="1:3">
      <c r="A223" s="845">
        <v>39395</v>
      </c>
      <c r="B223" s="840">
        <v>84.1</v>
      </c>
      <c r="C223" s="840">
        <v>82.59</v>
      </c>
    </row>
    <row r="224" spans="1:3">
      <c r="A224" s="845">
        <v>39388</v>
      </c>
      <c r="B224" s="840">
        <v>82.25</v>
      </c>
      <c r="C224" s="840">
        <v>81.319999999999993</v>
      </c>
    </row>
    <row r="225" spans="1:3">
      <c r="A225" s="845">
        <v>39381</v>
      </c>
      <c r="B225" s="840">
        <v>80.349999999999994</v>
      </c>
      <c r="C225" s="840">
        <v>78.31</v>
      </c>
    </row>
    <row r="226" spans="1:3">
      <c r="A226" s="845">
        <v>39374</v>
      </c>
      <c r="B226" s="840">
        <v>75.900000000000006</v>
      </c>
      <c r="C226" s="840">
        <v>75.31</v>
      </c>
    </row>
    <row r="227" spans="1:3">
      <c r="A227" s="845">
        <v>39367</v>
      </c>
      <c r="B227" s="840">
        <v>69.3</v>
      </c>
      <c r="C227" s="840">
        <v>74.41</v>
      </c>
    </row>
    <row r="228" spans="1:3">
      <c r="A228" s="845">
        <v>39360</v>
      </c>
      <c r="B228" s="840">
        <v>66.55</v>
      </c>
      <c r="C228" s="840">
        <v>73.34</v>
      </c>
    </row>
    <row r="229" spans="1:3">
      <c r="A229" s="845">
        <v>39353</v>
      </c>
      <c r="B229" s="840">
        <v>65.099999999999994</v>
      </c>
      <c r="C229" s="840">
        <v>71.260000000000005</v>
      </c>
    </row>
    <row r="230" spans="1:3">
      <c r="A230" s="845">
        <v>39346</v>
      </c>
      <c r="B230" s="840">
        <v>64.05</v>
      </c>
      <c r="C230" s="840">
        <v>71.59</v>
      </c>
    </row>
    <row r="231" spans="1:3">
      <c r="A231" s="845">
        <v>39339</v>
      </c>
      <c r="B231" s="840">
        <v>61</v>
      </c>
      <c r="C231" s="840">
        <v>69.400000000000006</v>
      </c>
    </row>
    <row r="232" spans="1:3">
      <c r="A232" s="845">
        <v>39332</v>
      </c>
      <c r="B232" s="840">
        <v>60.55</v>
      </c>
      <c r="C232" s="840">
        <v>69.069999999999993</v>
      </c>
    </row>
    <row r="233" spans="1:3">
      <c r="A233" s="845">
        <v>39325</v>
      </c>
      <c r="B233" s="840">
        <v>60.3</v>
      </c>
      <c r="C233" s="840">
        <v>68.06</v>
      </c>
    </row>
    <row r="234" spans="1:3">
      <c r="A234" s="845">
        <v>39318</v>
      </c>
      <c r="B234" s="840">
        <v>60</v>
      </c>
      <c r="C234" s="840">
        <v>68.400000000000006</v>
      </c>
    </row>
    <row r="235" spans="1:3">
      <c r="A235" s="845">
        <v>39311</v>
      </c>
      <c r="B235" s="840">
        <v>60.1</v>
      </c>
      <c r="C235" s="840">
        <v>68.28</v>
      </c>
    </row>
    <row r="236" spans="1:3">
      <c r="A236" s="845">
        <v>39304</v>
      </c>
      <c r="B236" s="840">
        <v>60.35</v>
      </c>
      <c r="C236" s="840">
        <v>69.63</v>
      </c>
    </row>
    <row r="237" spans="1:3">
      <c r="A237" s="845">
        <v>39297</v>
      </c>
      <c r="B237" s="840">
        <v>59.74</v>
      </c>
      <c r="C237" s="840">
        <v>71.849999999999994</v>
      </c>
    </row>
    <row r="238" spans="1:3">
      <c r="A238" s="845">
        <v>39290</v>
      </c>
      <c r="B238" s="840">
        <v>58.2</v>
      </c>
      <c r="C238" s="840">
        <v>70.58</v>
      </c>
    </row>
    <row r="239" spans="1:3">
      <c r="A239" s="845">
        <v>39283</v>
      </c>
      <c r="B239" s="840">
        <v>58.7</v>
      </c>
      <c r="C239" s="840">
        <v>70.75</v>
      </c>
    </row>
    <row r="240" spans="1:3">
      <c r="A240" s="845">
        <v>39276</v>
      </c>
      <c r="B240" s="840">
        <v>57.85</v>
      </c>
      <c r="C240" s="840">
        <v>73.14</v>
      </c>
    </row>
    <row r="241" spans="1:3">
      <c r="A241" s="845">
        <v>39269</v>
      </c>
      <c r="B241" s="840">
        <v>56.9</v>
      </c>
      <c r="C241" s="840">
        <v>72</v>
      </c>
    </row>
    <row r="242" spans="1:3">
      <c r="A242" s="845">
        <v>39262</v>
      </c>
      <c r="B242" s="840">
        <v>59.2</v>
      </c>
      <c r="C242" s="840">
        <v>71.02</v>
      </c>
    </row>
    <row r="243" spans="1:3">
      <c r="A243" s="845">
        <v>39255</v>
      </c>
      <c r="B243" s="840">
        <v>58.7</v>
      </c>
      <c r="C243" s="840">
        <v>70.900000000000006</v>
      </c>
    </row>
    <row r="244" spans="1:3">
      <c r="A244" s="845">
        <v>39248</v>
      </c>
      <c r="B244" s="840">
        <v>57.55</v>
      </c>
      <c r="C244" s="840">
        <v>71.569999999999993</v>
      </c>
    </row>
    <row r="245" spans="1:3">
      <c r="A245" s="845">
        <v>39241</v>
      </c>
      <c r="B245" s="840">
        <v>54.6</v>
      </c>
      <c r="C245" s="840">
        <v>69</v>
      </c>
    </row>
    <row r="246" spans="1:3">
      <c r="A246" s="845">
        <v>39234</v>
      </c>
      <c r="B246" s="840">
        <v>53.35</v>
      </c>
      <c r="C246" s="840">
        <v>69.510000000000005</v>
      </c>
    </row>
    <row r="247" spans="1:3">
      <c r="A247" s="845">
        <v>39227</v>
      </c>
      <c r="B247" s="840">
        <v>52.05</v>
      </c>
      <c r="C247" s="840">
        <v>69.040000000000006</v>
      </c>
    </row>
    <row r="248" spans="1:3">
      <c r="A248" s="845">
        <v>39220</v>
      </c>
      <c r="B248" s="840">
        <v>49.35</v>
      </c>
      <c r="C248" s="840">
        <v>68.23</v>
      </c>
    </row>
    <row r="249" spans="1:3">
      <c r="A249" s="845">
        <v>39213</v>
      </c>
      <c r="B249" s="840">
        <v>48.75</v>
      </c>
      <c r="C249" s="840">
        <v>67.790000000000006</v>
      </c>
    </row>
    <row r="250" spans="1:3">
      <c r="A250" s="845">
        <v>39206</v>
      </c>
      <c r="B250" s="840">
        <v>50.5</v>
      </c>
      <c r="C250" s="840">
        <v>67.77</v>
      </c>
    </row>
    <row r="251" spans="1:3">
      <c r="A251" s="845">
        <v>39199</v>
      </c>
      <c r="B251" s="840">
        <v>51.3</v>
      </c>
      <c r="C251" s="840">
        <v>68.680000000000007</v>
      </c>
    </row>
    <row r="252" spans="1:3">
      <c r="A252" s="845">
        <v>39192</v>
      </c>
      <c r="B252" s="840">
        <v>51.1</v>
      </c>
      <c r="C252" s="840">
        <v>67.44</v>
      </c>
    </row>
    <row r="253" spans="1:3">
      <c r="A253" s="845">
        <v>39185</v>
      </c>
      <c r="B253" s="840">
        <v>51</v>
      </c>
      <c r="C253" s="840">
        <v>68.52</v>
      </c>
    </row>
    <row r="254" spans="1:3">
      <c r="A254" s="845">
        <v>39171</v>
      </c>
      <c r="B254" s="840">
        <v>54.15</v>
      </c>
      <c r="C254" s="840">
        <v>66.069999999999993</v>
      </c>
    </row>
    <row r="255" spans="1:3">
      <c r="A255" s="845">
        <v>39164</v>
      </c>
      <c r="B255" s="840">
        <v>54.35</v>
      </c>
      <c r="C255" s="840">
        <v>66.58</v>
      </c>
    </row>
    <row r="256" spans="1:3">
      <c r="A256" s="845">
        <v>39157</v>
      </c>
      <c r="B256" s="840">
        <v>53.8</v>
      </c>
      <c r="C256" s="840">
        <v>65.03</v>
      </c>
    </row>
    <row r="257" spans="1:3">
      <c r="A257" s="845">
        <v>39150</v>
      </c>
      <c r="B257" s="840">
        <v>53.45</v>
      </c>
      <c r="C257" s="840">
        <v>65.66</v>
      </c>
    </row>
    <row r="258" spans="1:3">
      <c r="A258" s="845">
        <v>39122</v>
      </c>
      <c r="B258" s="840">
        <v>51.2</v>
      </c>
      <c r="C258" s="840">
        <v>66.31</v>
      </c>
    </row>
    <row r="259" spans="1:3">
      <c r="A259" s="845">
        <v>39115</v>
      </c>
      <c r="B259" s="840">
        <v>50.1</v>
      </c>
      <c r="C259" s="840">
        <v>66</v>
      </c>
    </row>
    <row r="260" spans="1:3">
      <c r="A260" s="845">
        <v>39108</v>
      </c>
      <c r="B260" s="840">
        <v>51.25</v>
      </c>
      <c r="C260" s="840">
        <v>62.59</v>
      </c>
    </row>
    <row r="261" spans="1:3">
      <c r="A261" s="845">
        <v>39101</v>
      </c>
      <c r="B261" s="840">
        <v>50.6</v>
      </c>
      <c r="C261" s="840">
        <v>64.17</v>
      </c>
    </row>
    <row r="262" spans="1:3">
      <c r="A262" s="845">
        <v>39094</v>
      </c>
      <c r="B262" s="840">
        <v>49.6</v>
      </c>
      <c r="C262" s="840">
        <v>64.22</v>
      </c>
    </row>
    <row r="263" spans="1:3">
      <c r="A263" s="845">
        <v>39087</v>
      </c>
      <c r="B263" s="840">
        <v>49.46</v>
      </c>
      <c r="C263" s="840">
        <v>60.9</v>
      </c>
    </row>
    <row r="264" spans="1:3">
      <c r="A264" s="845">
        <v>39066</v>
      </c>
      <c r="B264" s="840">
        <v>51.06</v>
      </c>
      <c r="C264" s="840">
        <v>60.46</v>
      </c>
    </row>
    <row r="265" spans="1:3">
      <c r="A265" s="845">
        <v>39059</v>
      </c>
      <c r="B265" s="840">
        <v>50.63</v>
      </c>
      <c r="C265" s="840">
        <v>60.82</v>
      </c>
    </row>
    <row r="266" spans="1:3">
      <c r="A266" s="845">
        <v>39052</v>
      </c>
      <c r="B266" s="840">
        <v>50.67</v>
      </c>
      <c r="C266" s="840">
        <v>62.25</v>
      </c>
    </row>
    <row r="267" spans="1:3">
      <c r="A267" s="845">
        <v>39045</v>
      </c>
      <c r="B267" s="840">
        <v>47.9</v>
      </c>
      <c r="C267" s="840">
        <v>65.459999999999994</v>
      </c>
    </row>
    <row r="268" spans="1:3">
      <c r="A268" s="845">
        <v>39031</v>
      </c>
      <c r="B268" s="840">
        <v>49.45</v>
      </c>
    </row>
    <row r="269" spans="1:3">
      <c r="A269" s="845">
        <v>39024</v>
      </c>
      <c r="B269" s="840">
        <v>49.45</v>
      </c>
    </row>
    <row r="270" spans="1:3">
      <c r="A270" s="845">
        <v>39017</v>
      </c>
      <c r="B270" s="840">
        <v>50.05</v>
      </c>
    </row>
    <row r="271" spans="1:3">
      <c r="A271" s="845">
        <v>39010</v>
      </c>
      <c r="B271" s="840">
        <v>50.15</v>
      </c>
    </row>
    <row r="272" spans="1:3">
      <c r="A272" s="845">
        <v>39003</v>
      </c>
      <c r="B272" s="840">
        <v>49.64</v>
      </c>
    </row>
    <row r="273" spans="1:2">
      <c r="A273" s="845">
        <v>38996</v>
      </c>
      <c r="B273" s="840">
        <v>48.65</v>
      </c>
    </row>
    <row r="274" spans="1:2">
      <c r="A274" s="845">
        <v>38989</v>
      </c>
      <c r="B274" s="840">
        <v>50.25</v>
      </c>
    </row>
    <row r="275" spans="1:2">
      <c r="A275" s="845">
        <v>38982</v>
      </c>
      <c r="B275" s="840">
        <v>47.8</v>
      </c>
    </row>
    <row r="276" spans="1:2">
      <c r="A276" s="845">
        <v>38975</v>
      </c>
      <c r="B276" s="840">
        <v>46.9</v>
      </c>
    </row>
    <row r="277" spans="1:2">
      <c r="A277" s="845">
        <v>38968</v>
      </c>
      <c r="B277" s="840">
        <v>48.7</v>
      </c>
    </row>
    <row r="278" spans="1:2">
      <c r="A278" s="845">
        <v>38961</v>
      </c>
      <c r="B278" s="840">
        <v>51.75</v>
      </c>
    </row>
    <row r="279" spans="1:2">
      <c r="A279" s="845">
        <v>38954</v>
      </c>
      <c r="B279" s="840">
        <v>53.2</v>
      </c>
    </row>
    <row r="280" spans="1:2">
      <c r="A280" s="845">
        <v>38947</v>
      </c>
      <c r="B280" s="840">
        <v>54.55</v>
      </c>
    </row>
    <row r="281" spans="1:2">
      <c r="A281" s="845">
        <v>38940</v>
      </c>
      <c r="B281" s="840">
        <v>54.55</v>
      </c>
    </row>
    <row r="282" spans="1:2">
      <c r="A282" s="845">
        <v>38933</v>
      </c>
      <c r="B282" s="840">
        <v>53.7</v>
      </c>
    </row>
    <row r="283" spans="1:2">
      <c r="A283" s="845">
        <v>38926</v>
      </c>
      <c r="B283" s="840">
        <v>54.2</v>
      </c>
    </row>
    <row r="284" spans="1:2">
      <c r="A284" s="845">
        <v>38919</v>
      </c>
      <c r="B284" s="840">
        <v>52.6</v>
      </c>
    </row>
    <row r="285" spans="1:2">
      <c r="A285" s="845">
        <v>38912</v>
      </c>
      <c r="B285" s="840">
        <v>51.9</v>
      </c>
    </row>
    <row r="286" spans="1:2">
      <c r="A286" s="845">
        <v>38905</v>
      </c>
      <c r="B286" s="840">
        <v>51.3</v>
      </c>
    </row>
    <row r="287" spans="1:2">
      <c r="A287" s="845">
        <v>38898</v>
      </c>
      <c r="B287" s="840">
        <v>50.75</v>
      </c>
    </row>
    <row r="288" spans="1:2">
      <c r="A288" s="845">
        <v>38891</v>
      </c>
      <c r="B288" s="840">
        <v>52.1</v>
      </c>
    </row>
    <row r="289" spans="1:2">
      <c r="A289" s="845">
        <v>38884</v>
      </c>
      <c r="B289" s="840">
        <v>52.3</v>
      </c>
    </row>
    <row r="290" spans="1:2">
      <c r="A290" s="845">
        <v>38877</v>
      </c>
      <c r="B290" s="840">
        <v>52.3</v>
      </c>
    </row>
    <row r="291" spans="1:2">
      <c r="A291" s="845">
        <v>38863</v>
      </c>
      <c r="B291" s="840">
        <v>49.2</v>
      </c>
    </row>
    <row r="292" spans="1:2">
      <c r="A292" s="845">
        <v>38856</v>
      </c>
      <c r="B292" s="840">
        <v>48.85</v>
      </c>
    </row>
    <row r="293" spans="1:2">
      <c r="A293" s="845">
        <v>38849</v>
      </c>
      <c r="B293" s="840">
        <v>49</v>
      </c>
    </row>
    <row r="294" spans="1:2">
      <c r="A294" s="845">
        <v>38842</v>
      </c>
      <c r="B294" s="840">
        <v>49</v>
      </c>
    </row>
    <row r="295" spans="1:2">
      <c r="A295" s="845">
        <v>38835</v>
      </c>
      <c r="B295" s="840">
        <v>54.6</v>
      </c>
    </row>
    <row r="296" spans="1:2">
      <c r="A296" s="845">
        <v>38828</v>
      </c>
      <c r="B296" s="840">
        <v>54.6</v>
      </c>
    </row>
    <row r="297" spans="1:2">
      <c r="A297" s="845">
        <v>38821</v>
      </c>
      <c r="B297" s="840">
        <v>54.4</v>
      </c>
    </row>
    <row r="298" spans="1:2">
      <c r="A298" s="845">
        <v>38814</v>
      </c>
      <c r="B298" s="840">
        <v>56.4</v>
      </c>
    </row>
    <row r="299" spans="1:2">
      <c r="A299" s="845">
        <v>38807</v>
      </c>
      <c r="B299" s="840">
        <v>57</v>
      </c>
    </row>
    <row r="300" spans="1:2">
      <c r="A300" s="845">
        <v>38800</v>
      </c>
      <c r="B300" s="840">
        <v>57.5</v>
      </c>
    </row>
    <row r="301" spans="1:2">
      <c r="A301" s="845">
        <v>38793</v>
      </c>
      <c r="B301" s="840">
        <v>57.75</v>
      </c>
    </row>
    <row r="302" spans="1:2">
      <c r="A302" s="845">
        <v>38786</v>
      </c>
      <c r="B302" s="840">
        <v>53.95</v>
      </c>
    </row>
    <row r="303" spans="1:2">
      <c r="A303" s="845">
        <v>38758</v>
      </c>
      <c r="B303" s="840">
        <v>49.95</v>
      </c>
    </row>
    <row r="304" spans="1:2">
      <c r="A304" s="845">
        <v>38751</v>
      </c>
      <c r="B304" s="840">
        <v>50.4</v>
      </c>
    </row>
    <row r="305" spans="1:2">
      <c r="A305" s="845">
        <v>38744</v>
      </c>
      <c r="B305" s="840">
        <v>47.2</v>
      </c>
    </row>
    <row r="306" spans="1:2">
      <c r="A306" s="845">
        <v>38737</v>
      </c>
      <c r="B306" s="840">
        <v>45</v>
      </c>
    </row>
    <row r="307" spans="1:2">
      <c r="A307" s="845">
        <v>38730</v>
      </c>
      <c r="B307" s="840">
        <v>43.25</v>
      </c>
    </row>
    <row r="308" spans="1:2">
      <c r="A308" s="845">
        <v>38723</v>
      </c>
      <c r="B308" s="840">
        <v>43.5</v>
      </c>
    </row>
    <row r="309" spans="1:2">
      <c r="A309" s="845">
        <v>38702</v>
      </c>
      <c r="B309" s="840">
        <v>41.75</v>
      </c>
    </row>
    <row r="310" spans="1:2">
      <c r="A310" s="845">
        <v>38695</v>
      </c>
      <c r="B310" s="840">
        <v>40.5</v>
      </c>
    </row>
    <row r="311" spans="1:2">
      <c r="A311" s="845">
        <v>38688</v>
      </c>
      <c r="B311" s="840">
        <v>40.5</v>
      </c>
    </row>
    <row r="312" spans="1:2">
      <c r="A312" s="845">
        <v>38681</v>
      </c>
      <c r="B312" s="840">
        <v>38.5</v>
      </c>
    </row>
    <row r="313" spans="1:2">
      <c r="A313" s="845">
        <v>38674</v>
      </c>
      <c r="B313" s="840">
        <v>37.799999999999997</v>
      </c>
    </row>
    <row r="314" spans="1:2">
      <c r="A314" s="845">
        <v>38667</v>
      </c>
      <c r="B314" s="840">
        <v>38.299999999999997</v>
      </c>
    </row>
    <row r="315" spans="1:2">
      <c r="A315" s="845">
        <v>38660</v>
      </c>
      <c r="B315" s="840">
        <v>39.049999999999997</v>
      </c>
    </row>
    <row r="316" spans="1:2">
      <c r="A316" s="845">
        <v>38653</v>
      </c>
      <c r="B316" s="840">
        <v>40</v>
      </c>
    </row>
    <row r="317" spans="1:2">
      <c r="A317" s="845">
        <v>38646</v>
      </c>
      <c r="B317" s="840">
        <v>40.6</v>
      </c>
    </row>
    <row r="318" spans="1:2">
      <c r="A318" s="845">
        <v>38639</v>
      </c>
      <c r="B318" s="840">
        <v>41.6</v>
      </c>
    </row>
    <row r="319" spans="1:2">
      <c r="A319" s="845">
        <v>38632</v>
      </c>
      <c r="B319" s="840">
        <v>43.5</v>
      </c>
    </row>
    <row r="320" spans="1:2">
      <c r="A320" s="845">
        <v>38625</v>
      </c>
      <c r="B320" s="840">
        <v>44.7</v>
      </c>
    </row>
    <row r="321" spans="1:2">
      <c r="A321" s="845">
        <v>38618</v>
      </c>
      <c r="B321" s="840">
        <v>46.1</v>
      </c>
    </row>
    <row r="322" spans="1:2">
      <c r="A322" s="845">
        <v>38611</v>
      </c>
      <c r="B322" s="840">
        <v>46.9</v>
      </c>
    </row>
    <row r="323" spans="1:2">
      <c r="A323" s="845">
        <v>38604</v>
      </c>
      <c r="B323" s="840">
        <v>47.15</v>
      </c>
    </row>
    <row r="324" spans="1:2">
      <c r="A324" s="845">
        <v>38597</v>
      </c>
      <c r="B324" s="840">
        <v>47.15</v>
      </c>
    </row>
    <row r="325" spans="1:2">
      <c r="A325" s="845">
        <v>38590</v>
      </c>
      <c r="B325" s="840">
        <v>47.18</v>
      </c>
    </row>
    <row r="326" spans="1:2">
      <c r="A326" s="845">
        <v>38583</v>
      </c>
      <c r="B326" s="840">
        <v>47.5</v>
      </c>
    </row>
    <row r="327" spans="1:2">
      <c r="A327" s="845">
        <v>38576</v>
      </c>
      <c r="B327" s="840">
        <v>46.6</v>
      </c>
    </row>
    <row r="328" spans="1:2">
      <c r="A328" s="845">
        <v>38569</v>
      </c>
      <c r="B328" s="840">
        <v>48.2</v>
      </c>
    </row>
    <row r="329" spans="1:2">
      <c r="A329" s="845">
        <v>38562</v>
      </c>
      <c r="B329" s="840">
        <v>52</v>
      </c>
    </row>
    <row r="330" spans="1:2">
      <c r="A330" s="845">
        <v>38555</v>
      </c>
      <c r="B330" s="840">
        <v>53</v>
      </c>
    </row>
    <row r="331" spans="1:2">
      <c r="A331" s="845">
        <v>38548</v>
      </c>
      <c r="B331" s="840">
        <v>53.15</v>
      </c>
    </row>
    <row r="332" spans="1:2">
      <c r="A332" s="845">
        <v>38541</v>
      </c>
      <c r="B332" s="840">
        <v>52.55</v>
      </c>
    </row>
    <row r="333" spans="1:2">
      <c r="A333" s="845">
        <v>38534</v>
      </c>
      <c r="B333" s="840">
        <v>51.3</v>
      </c>
    </row>
    <row r="334" spans="1:2">
      <c r="A334" s="845">
        <v>38527</v>
      </c>
      <c r="B334" s="840">
        <v>50.4</v>
      </c>
    </row>
    <row r="335" spans="1:2">
      <c r="A335" s="845">
        <v>38520</v>
      </c>
      <c r="B335" s="840">
        <v>50.2</v>
      </c>
    </row>
    <row r="336" spans="1:2">
      <c r="A336" s="845">
        <v>38513</v>
      </c>
      <c r="B336" s="840">
        <v>50.25</v>
      </c>
    </row>
    <row r="337" spans="1:2">
      <c r="A337" s="845">
        <v>38506</v>
      </c>
      <c r="B337" s="840">
        <v>50</v>
      </c>
    </row>
    <row r="338" spans="1:2">
      <c r="A338" s="845">
        <v>38499</v>
      </c>
      <c r="B338" s="840">
        <v>50.1</v>
      </c>
    </row>
    <row r="339" spans="1:2">
      <c r="A339" s="845">
        <v>38492</v>
      </c>
      <c r="B339" s="840">
        <v>47.8</v>
      </c>
    </row>
    <row r="340" spans="1:2">
      <c r="A340" s="845">
        <v>38485</v>
      </c>
      <c r="B340" s="840">
        <v>46.5</v>
      </c>
    </row>
    <row r="341" spans="1:2">
      <c r="A341" s="845">
        <v>38478</v>
      </c>
      <c r="B341" s="840">
        <v>51</v>
      </c>
    </row>
    <row r="342" spans="1:2">
      <c r="A342" s="845">
        <v>38471</v>
      </c>
      <c r="B342" s="840">
        <v>47.7</v>
      </c>
    </row>
    <row r="343" spans="1:2">
      <c r="A343" s="845">
        <v>38464</v>
      </c>
      <c r="B343" s="840">
        <v>47.6</v>
      </c>
    </row>
    <row r="344" spans="1:2">
      <c r="A344" s="845">
        <v>38457</v>
      </c>
      <c r="B344" s="840">
        <v>47.7</v>
      </c>
    </row>
    <row r="345" spans="1:2">
      <c r="A345" s="845">
        <v>38450</v>
      </c>
      <c r="B345" s="840">
        <v>47.35</v>
      </c>
    </row>
    <row r="346" spans="1:2">
      <c r="A346" s="845">
        <v>38443</v>
      </c>
      <c r="B346" s="840">
        <v>47.15</v>
      </c>
    </row>
    <row r="347" spans="1:2">
      <c r="A347" s="845">
        <v>38436</v>
      </c>
      <c r="B347" s="840">
        <v>47</v>
      </c>
    </row>
    <row r="348" spans="1:2">
      <c r="A348" s="845">
        <v>38429</v>
      </c>
      <c r="B348" s="840">
        <v>46.6</v>
      </c>
    </row>
    <row r="349" spans="1:2">
      <c r="A349" s="845">
        <v>38422</v>
      </c>
      <c r="B349" s="840">
        <v>46.35</v>
      </c>
    </row>
    <row r="350" spans="1:2">
      <c r="A350" s="845">
        <v>38415</v>
      </c>
      <c r="B350" s="840">
        <v>46.35</v>
      </c>
    </row>
    <row r="351" spans="1:2">
      <c r="A351" s="845">
        <v>38408</v>
      </c>
      <c r="B351" s="840">
        <v>44.2</v>
      </c>
    </row>
    <row r="352" spans="1:2">
      <c r="A352" s="845">
        <v>38401</v>
      </c>
      <c r="B352" s="840">
        <v>43.15</v>
      </c>
    </row>
    <row r="353" spans="1:2">
      <c r="A353" s="845">
        <v>38394</v>
      </c>
      <c r="B353" s="840">
        <v>43.95</v>
      </c>
    </row>
    <row r="354" spans="1:2">
      <c r="A354" s="845">
        <v>38387</v>
      </c>
      <c r="B354" s="840">
        <v>46.4</v>
      </c>
    </row>
    <row r="355" spans="1:2">
      <c r="A355" s="845">
        <v>38380</v>
      </c>
      <c r="B355" s="840">
        <v>46.55</v>
      </c>
    </row>
    <row r="356" spans="1:2">
      <c r="A356" s="845">
        <v>38373</v>
      </c>
      <c r="B356" s="840">
        <v>45.45</v>
      </c>
    </row>
    <row r="357" spans="1:2">
      <c r="A357" s="845">
        <v>38366</v>
      </c>
      <c r="B357" s="840">
        <v>47.5</v>
      </c>
    </row>
    <row r="358" spans="1:2">
      <c r="A358" s="845">
        <v>38359</v>
      </c>
      <c r="B358" s="840">
        <v>51.55</v>
      </c>
    </row>
    <row r="359" spans="1:2">
      <c r="A359" s="845">
        <v>38345</v>
      </c>
      <c r="B359" s="840">
        <v>53.15</v>
      </c>
    </row>
    <row r="360" spans="1:2">
      <c r="A360" s="845">
        <v>38338</v>
      </c>
      <c r="B360" s="840">
        <v>53.15</v>
      </c>
    </row>
    <row r="361" spans="1:2">
      <c r="A361" s="845">
        <v>38331</v>
      </c>
      <c r="B361" s="840">
        <v>52.35</v>
      </c>
    </row>
    <row r="362" spans="1:2">
      <c r="A362" s="845">
        <v>38324</v>
      </c>
      <c r="B362" s="840">
        <v>52.95</v>
      </c>
    </row>
    <row r="363" spans="1:2">
      <c r="A363" s="845">
        <v>38317</v>
      </c>
      <c r="B363" s="840">
        <v>53.5</v>
      </c>
    </row>
    <row r="364" spans="1:2">
      <c r="A364" s="845">
        <v>38310</v>
      </c>
      <c r="B364" s="840">
        <v>54.4</v>
      </c>
    </row>
    <row r="365" spans="1:2">
      <c r="A365" s="845">
        <v>38303</v>
      </c>
      <c r="B365" s="840">
        <v>57.25</v>
      </c>
    </row>
    <row r="366" spans="1:2">
      <c r="A366" s="845">
        <v>38296</v>
      </c>
      <c r="B366" s="840">
        <v>58.95</v>
      </c>
    </row>
    <row r="367" spans="1:2">
      <c r="A367" s="845">
        <v>38289</v>
      </c>
      <c r="B367" s="840">
        <v>59.1</v>
      </c>
    </row>
    <row r="368" spans="1:2">
      <c r="A368" s="845">
        <v>38282</v>
      </c>
      <c r="B368" s="840">
        <v>59.5</v>
      </c>
    </row>
    <row r="369" spans="1:2">
      <c r="A369" s="845">
        <v>38275</v>
      </c>
      <c r="B369" s="840">
        <v>59.85</v>
      </c>
    </row>
    <row r="370" spans="1:2">
      <c r="A370" s="845">
        <v>38268</v>
      </c>
      <c r="B370" s="840">
        <v>59.95</v>
      </c>
    </row>
    <row r="371" spans="1:2">
      <c r="A371" s="845">
        <v>38261</v>
      </c>
      <c r="B371" s="840">
        <v>59.2</v>
      </c>
    </row>
    <row r="372" spans="1:2">
      <c r="A372" s="845">
        <v>38254</v>
      </c>
      <c r="B372" s="840">
        <v>58.65</v>
      </c>
    </row>
    <row r="373" spans="1:2">
      <c r="A373" s="845">
        <v>38247</v>
      </c>
      <c r="B373" s="840">
        <v>58.9</v>
      </c>
    </row>
    <row r="374" spans="1:2">
      <c r="A374" s="845">
        <v>38240</v>
      </c>
      <c r="B374" s="840">
        <v>60.1</v>
      </c>
    </row>
    <row r="375" spans="1:2">
      <c r="A375" s="845">
        <v>38233</v>
      </c>
      <c r="B375" s="840">
        <v>60.25</v>
      </c>
    </row>
    <row r="376" spans="1:2">
      <c r="A376" s="845">
        <v>38226</v>
      </c>
      <c r="B376" s="840">
        <v>60.8</v>
      </c>
    </row>
    <row r="377" spans="1:2">
      <c r="A377" s="845">
        <v>38219</v>
      </c>
      <c r="B377" s="840">
        <v>61.5</v>
      </c>
    </row>
    <row r="378" spans="1:2">
      <c r="A378" s="845">
        <v>38212</v>
      </c>
      <c r="B378" s="840">
        <v>62.3</v>
      </c>
    </row>
    <row r="379" spans="1:2">
      <c r="A379" s="845">
        <v>38205</v>
      </c>
      <c r="B379" s="840">
        <v>63.25</v>
      </c>
    </row>
    <row r="380" spans="1:2">
      <c r="A380" s="845">
        <v>38198</v>
      </c>
      <c r="B380" s="840">
        <v>63.3</v>
      </c>
    </row>
    <row r="381" spans="1:2">
      <c r="A381" s="845">
        <v>38191</v>
      </c>
      <c r="B381" s="840">
        <v>63.05</v>
      </c>
    </row>
    <row r="382" spans="1:2">
      <c r="A382" s="845">
        <v>38184</v>
      </c>
      <c r="B382" s="840">
        <v>66.599999999999994</v>
      </c>
    </row>
    <row r="383" spans="1:2">
      <c r="A383" s="845">
        <v>38177</v>
      </c>
      <c r="B383" s="840">
        <v>68.2</v>
      </c>
    </row>
    <row r="384" spans="1:2">
      <c r="A384" s="845">
        <v>38170</v>
      </c>
      <c r="B384" s="840">
        <v>70.05</v>
      </c>
    </row>
    <row r="385" spans="1:2">
      <c r="A385" s="845">
        <v>38163</v>
      </c>
      <c r="B385" s="840">
        <v>70.099999999999994</v>
      </c>
    </row>
    <row r="386" spans="1:2">
      <c r="A386" s="845">
        <v>38156</v>
      </c>
      <c r="B386" s="840">
        <v>65.099999999999994</v>
      </c>
    </row>
    <row r="387" spans="1:2">
      <c r="A387" s="845">
        <v>38149</v>
      </c>
      <c r="B387" s="840">
        <v>60.15</v>
      </c>
    </row>
    <row r="388" spans="1:2">
      <c r="A388" s="845">
        <v>38142</v>
      </c>
      <c r="B388" s="840">
        <v>58.9</v>
      </c>
    </row>
    <row r="389" spans="1:2">
      <c r="A389" s="845">
        <v>38135</v>
      </c>
      <c r="B389" s="840">
        <v>58.2</v>
      </c>
    </row>
    <row r="390" spans="1:2">
      <c r="A390" s="845">
        <v>38128</v>
      </c>
      <c r="B390" s="840">
        <v>54.85</v>
      </c>
    </row>
    <row r="391" spans="1:2">
      <c r="A391" s="845">
        <v>38121</v>
      </c>
      <c r="B391" s="840">
        <v>52.95</v>
      </c>
    </row>
    <row r="392" spans="1:2">
      <c r="A392" s="845">
        <v>38114</v>
      </c>
      <c r="B392" s="840">
        <v>51.5</v>
      </c>
    </row>
    <row r="393" spans="1:2">
      <c r="A393" s="845">
        <v>38107</v>
      </c>
      <c r="B393" s="840">
        <v>50.65</v>
      </c>
    </row>
    <row r="394" spans="1:2">
      <c r="A394" s="845">
        <v>38100</v>
      </c>
      <c r="B394" s="840">
        <v>50.1</v>
      </c>
    </row>
    <row r="395" spans="1:2">
      <c r="A395" s="845">
        <v>38093</v>
      </c>
      <c r="B395" s="840">
        <v>48.85</v>
      </c>
    </row>
    <row r="396" spans="1:2">
      <c r="A396" s="845">
        <v>38086</v>
      </c>
      <c r="B396" s="840">
        <v>46.9</v>
      </c>
    </row>
    <row r="397" spans="1:2">
      <c r="A397" s="845">
        <v>38079</v>
      </c>
      <c r="B397" s="840">
        <v>45.15</v>
      </c>
    </row>
    <row r="398" spans="1:2">
      <c r="A398" s="845">
        <v>38072</v>
      </c>
      <c r="B398" s="840">
        <v>44.85</v>
      </c>
    </row>
    <row r="399" spans="1:2">
      <c r="A399" s="845">
        <v>38065</v>
      </c>
      <c r="B399" s="840">
        <v>44.6</v>
      </c>
    </row>
    <row r="400" spans="1:2">
      <c r="A400" s="845">
        <v>38058</v>
      </c>
      <c r="B400" s="840">
        <v>44.15</v>
      </c>
    </row>
    <row r="401" spans="1:2">
      <c r="A401" s="845">
        <v>38051</v>
      </c>
      <c r="B401" s="840">
        <v>44.05</v>
      </c>
    </row>
    <row r="402" spans="1:2">
      <c r="A402" s="845">
        <v>38044</v>
      </c>
      <c r="B402" s="840">
        <v>42.8</v>
      </c>
    </row>
    <row r="403" spans="1:2">
      <c r="A403" s="845">
        <v>38037</v>
      </c>
      <c r="B403" s="840">
        <v>42.95</v>
      </c>
    </row>
    <row r="404" spans="1:2">
      <c r="A404" s="845">
        <v>38030</v>
      </c>
      <c r="B404" s="840">
        <v>43.4</v>
      </c>
    </row>
    <row r="405" spans="1:2">
      <c r="A405" s="845">
        <v>38023</v>
      </c>
      <c r="B405" s="840">
        <v>43.4</v>
      </c>
    </row>
    <row r="406" spans="1:2">
      <c r="A406" s="845">
        <v>38016</v>
      </c>
      <c r="B406" s="840">
        <v>43.25</v>
      </c>
    </row>
    <row r="407" spans="1:2">
      <c r="A407" s="845">
        <v>38009</v>
      </c>
      <c r="B407" s="840">
        <v>42.7</v>
      </c>
    </row>
    <row r="408" spans="1:2">
      <c r="A408" s="845">
        <v>38002</v>
      </c>
      <c r="B408" s="840">
        <v>43.1</v>
      </c>
    </row>
    <row r="409" spans="1:2">
      <c r="A409" s="845">
        <v>37995</v>
      </c>
      <c r="B409" s="840">
        <v>42.75</v>
      </c>
    </row>
    <row r="410" spans="1:2">
      <c r="A410" s="845">
        <v>37988</v>
      </c>
      <c r="B410" s="840">
        <v>40.1</v>
      </c>
    </row>
    <row r="411" spans="1:2">
      <c r="A411" s="845">
        <v>37981</v>
      </c>
      <c r="B411" s="840">
        <v>37.9</v>
      </c>
    </row>
    <row r="412" spans="1:2">
      <c r="A412" s="845">
        <v>37974</v>
      </c>
      <c r="B412" s="840">
        <v>40.85</v>
      </c>
    </row>
    <row r="413" spans="1:2">
      <c r="A413" s="845">
        <v>37967</v>
      </c>
      <c r="B413" s="840">
        <v>40.1</v>
      </c>
    </row>
    <row r="414" spans="1:2">
      <c r="A414" s="845">
        <v>37960</v>
      </c>
      <c r="B414" s="840">
        <v>39.049999999999997</v>
      </c>
    </row>
    <row r="415" spans="1:2">
      <c r="A415" s="845">
        <v>37953</v>
      </c>
      <c r="B415" s="840">
        <v>38.9</v>
      </c>
    </row>
    <row r="416" spans="1:2">
      <c r="A416" s="845">
        <v>37946</v>
      </c>
      <c r="B416" s="840">
        <v>38.9</v>
      </c>
    </row>
    <row r="417" spans="1:2">
      <c r="A417" s="845">
        <v>37939</v>
      </c>
      <c r="B417" s="840">
        <v>38.9</v>
      </c>
    </row>
    <row r="418" spans="1:2">
      <c r="A418" s="845">
        <v>37932</v>
      </c>
      <c r="B418" s="840">
        <v>39.950000000000003</v>
      </c>
    </row>
    <row r="419" spans="1:2">
      <c r="A419" s="845">
        <v>37925</v>
      </c>
      <c r="B419" s="840">
        <v>39</v>
      </c>
    </row>
    <row r="420" spans="1:2">
      <c r="A420" s="845">
        <v>37918</v>
      </c>
      <c r="B420" s="840">
        <v>38.5</v>
      </c>
    </row>
    <row r="421" spans="1:2">
      <c r="A421" s="845">
        <v>37911</v>
      </c>
      <c r="B421" s="840">
        <v>37.950000000000003</v>
      </c>
    </row>
    <row r="422" spans="1:2">
      <c r="A422" s="845">
        <v>37904</v>
      </c>
      <c r="B422" s="840">
        <v>37.950000000000003</v>
      </c>
    </row>
    <row r="423" spans="1:2">
      <c r="A423" s="845">
        <v>37897</v>
      </c>
      <c r="B423" s="840">
        <v>36.450000000000003</v>
      </c>
    </row>
    <row r="424" spans="1:2">
      <c r="A424" s="845">
        <v>37890</v>
      </c>
      <c r="B424" s="840">
        <v>36.450000000000003</v>
      </c>
    </row>
    <row r="425" spans="1:2">
      <c r="A425" s="845">
        <v>37883</v>
      </c>
      <c r="B425" s="840">
        <v>36.25</v>
      </c>
    </row>
    <row r="426" spans="1:2">
      <c r="A426" s="845">
        <v>37876</v>
      </c>
      <c r="B426" s="840">
        <v>35.65</v>
      </c>
    </row>
    <row r="427" spans="1:2">
      <c r="A427" s="845">
        <v>37869</v>
      </c>
      <c r="B427" s="840">
        <v>33.4</v>
      </c>
    </row>
    <row r="428" spans="1:2">
      <c r="A428" s="845">
        <v>37862</v>
      </c>
      <c r="B428" s="840">
        <v>33</v>
      </c>
    </row>
    <row r="429" spans="1:2">
      <c r="A429" s="845">
        <v>37855</v>
      </c>
      <c r="B429" s="840">
        <v>31.8</v>
      </c>
    </row>
    <row r="430" spans="1:2">
      <c r="A430" s="845">
        <v>37848</v>
      </c>
      <c r="B430" s="840">
        <v>31</v>
      </c>
    </row>
    <row r="431" spans="1:2">
      <c r="A431" s="845">
        <v>37841</v>
      </c>
      <c r="B431" s="840">
        <v>30.75</v>
      </c>
    </row>
    <row r="432" spans="1:2">
      <c r="A432" s="845">
        <v>37834</v>
      </c>
      <c r="B432" s="840">
        <v>30.6</v>
      </c>
    </row>
    <row r="433" spans="1:2">
      <c r="A433" s="845">
        <v>37827</v>
      </c>
      <c r="B433" s="840">
        <v>30.3</v>
      </c>
    </row>
    <row r="434" spans="1:2">
      <c r="A434" s="845">
        <v>37820</v>
      </c>
      <c r="B434" s="840">
        <v>29.45</v>
      </c>
    </row>
    <row r="435" spans="1:2">
      <c r="A435" s="845">
        <v>37813</v>
      </c>
      <c r="B435" s="840">
        <v>29</v>
      </c>
    </row>
    <row r="436" spans="1:2">
      <c r="A436" s="845">
        <v>37806</v>
      </c>
      <c r="B436" s="840">
        <v>29.07</v>
      </c>
    </row>
    <row r="437" spans="1:2">
      <c r="A437" s="845">
        <v>37799</v>
      </c>
      <c r="B437" s="840">
        <v>28.45</v>
      </c>
    </row>
    <row r="438" spans="1:2">
      <c r="A438" s="845">
        <v>37792</v>
      </c>
      <c r="B438" s="840">
        <v>27.85</v>
      </c>
    </row>
    <row r="439" spans="1:2">
      <c r="A439" s="845">
        <v>37785</v>
      </c>
      <c r="B439" s="840">
        <v>27.25</v>
      </c>
    </row>
    <row r="440" spans="1:2">
      <c r="A440" s="845">
        <v>37778</v>
      </c>
      <c r="B440" s="840">
        <v>26.75</v>
      </c>
    </row>
    <row r="441" spans="1:2">
      <c r="A441" s="845">
        <v>37771</v>
      </c>
      <c r="B441" s="840">
        <v>26.35</v>
      </c>
    </row>
    <row r="442" spans="1:2">
      <c r="A442" s="845">
        <v>37764</v>
      </c>
      <c r="B442" s="840">
        <v>25.3</v>
      </c>
    </row>
    <row r="443" spans="1:2">
      <c r="A443" s="845">
        <v>37757</v>
      </c>
      <c r="B443" s="840">
        <v>24.6</v>
      </c>
    </row>
    <row r="444" spans="1:2">
      <c r="A444" s="845">
        <v>37750</v>
      </c>
      <c r="B444" s="840">
        <v>24.15</v>
      </c>
    </row>
    <row r="445" spans="1:2">
      <c r="A445" s="845">
        <v>37743</v>
      </c>
      <c r="B445" s="840">
        <v>23.25</v>
      </c>
    </row>
    <row r="446" spans="1:2">
      <c r="A446" s="845">
        <v>37736</v>
      </c>
      <c r="B446" s="840">
        <v>23.25</v>
      </c>
    </row>
    <row r="447" spans="1:2">
      <c r="A447" s="845">
        <v>37729</v>
      </c>
      <c r="B447" s="840">
        <v>23.4</v>
      </c>
    </row>
    <row r="448" spans="1:2">
      <c r="A448" s="845">
        <v>37722</v>
      </c>
      <c r="B448" s="840">
        <v>23.45</v>
      </c>
    </row>
    <row r="449" spans="1:2">
      <c r="A449" s="845">
        <v>37715</v>
      </c>
      <c r="B449" s="840">
        <v>23.6</v>
      </c>
    </row>
    <row r="450" spans="1:2">
      <c r="A450" s="845">
        <v>37708</v>
      </c>
      <c r="B450" s="840">
        <v>23.95</v>
      </c>
    </row>
    <row r="451" spans="1:2">
      <c r="A451" s="845">
        <v>37701</v>
      </c>
      <c r="B451" s="840">
        <v>24.35</v>
      </c>
    </row>
    <row r="452" spans="1:2">
      <c r="A452" s="845">
        <v>37694</v>
      </c>
      <c r="B452" s="840">
        <v>24.5</v>
      </c>
    </row>
    <row r="453" spans="1:2">
      <c r="A453" s="845">
        <v>37687</v>
      </c>
      <c r="B453" s="840">
        <v>25.3</v>
      </c>
    </row>
    <row r="454" spans="1:2">
      <c r="A454" s="845">
        <v>37680</v>
      </c>
      <c r="B454" s="840">
        <v>25.55</v>
      </c>
    </row>
    <row r="455" spans="1:2">
      <c r="A455" s="845">
        <v>37673</v>
      </c>
      <c r="B455" s="840">
        <v>26.05</v>
      </c>
    </row>
    <row r="456" spans="1:2">
      <c r="A456" s="845">
        <v>37666</v>
      </c>
      <c r="B456" s="840">
        <v>26.85</v>
      </c>
    </row>
    <row r="457" spans="1:2">
      <c r="A457" s="845">
        <v>37659</v>
      </c>
      <c r="B457" s="840">
        <v>27.1</v>
      </c>
    </row>
    <row r="458" spans="1:2">
      <c r="A458" s="845">
        <v>37652</v>
      </c>
      <c r="B458" s="840">
        <v>27.55</v>
      </c>
    </row>
    <row r="459" spans="1:2">
      <c r="A459" s="845">
        <v>37645</v>
      </c>
      <c r="B459" s="840">
        <v>27.55</v>
      </c>
    </row>
    <row r="460" spans="1:2">
      <c r="A460" s="845">
        <v>37638</v>
      </c>
      <c r="B460" s="840">
        <v>27.85</v>
      </c>
    </row>
    <row r="461" spans="1:2">
      <c r="A461" s="845">
        <v>37631</v>
      </c>
      <c r="B461" s="840">
        <v>27.7</v>
      </c>
    </row>
    <row r="462" spans="1:2">
      <c r="A462" s="845">
        <v>37624</v>
      </c>
      <c r="B462" s="840">
        <v>27.5</v>
      </c>
    </row>
    <row r="463" spans="1:2">
      <c r="A463" s="845">
        <v>37617</v>
      </c>
      <c r="B463" s="840">
        <v>27.22</v>
      </c>
    </row>
    <row r="464" spans="1:2">
      <c r="A464" s="845">
        <v>37610</v>
      </c>
      <c r="B464" s="840">
        <v>27.15</v>
      </c>
    </row>
    <row r="465" spans="1:2">
      <c r="A465" s="845">
        <v>37603</v>
      </c>
      <c r="B465" s="840">
        <v>27.1</v>
      </c>
    </row>
    <row r="466" spans="1:2">
      <c r="A466" s="845">
        <v>37596</v>
      </c>
      <c r="B466" s="840">
        <v>26.79</v>
      </c>
    </row>
    <row r="467" spans="1:2">
      <c r="A467" s="845">
        <v>37589</v>
      </c>
      <c r="B467" s="840">
        <v>26.5</v>
      </c>
    </row>
    <row r="468" spans="1:2">
      <c r="A468" s="845">
        <v>37582</v>
      </c>
      <c r="B468" s="840">
        <v>26.2</v>
      </c>
    </row>
    <row r="469" spans="1:2">
      <c r="A469" s="845">
        <v>37575</v>
      </c>
      <c r="B469" s="840">
        <v>26.33</v>
      </c>
    </row>
    <row r="470" spans="1:2">
      <c r="A470" s="845">
        <v>37568</v>
      </c>
      <c r="B470" s="840">
        <v>26.42</v>
      </c>
    </row>
    <row r="471" spans="1:2">
      <c r="A471" s="845">
        <v>37561</v>
      </c>
      <c r="B471" s="840">
        <v>26.45</v>
      </c>
    </row>
    <row r="472" spans="1:2">
      <c r="A472" s="845">
        <v>37547</v>
      </c>
      <c r="B472" s="840">
        <v>26.75</v>
      </c>
    </row>
    <row r="473" spans="1:2">
      <c r="A473" s="845">
        <v>37533</v>
      </c>
      <c r="B473" s="840">
        <v>26.8</v>
      </c>
    </row>
    <row r="474" spans="1:2">
      <c r="A474" s="845">
        <v>37526</v>
      </c>
      <c r="B474" s="840">
        <v>26.45</v>
      </c>
    </row>
    <row r="475" spans="1:2">
      <c r="A475" s="845">
        <v>37519</v>
      </c>
      <c r="B475" s="840">
        <v>24.55</v>
      </c>
    </row>
    <row r="476" spans="1:2">
      <c r="A476" s="845">
        <v>37512</v>
      </c>
      <c r="B476" s="840">
        <v>23.49</v>
      </c>
    </row>
    <row r="477" spans="1:2">
      <c r="A477" s="845">
        <v>37505</v>
      </c>
      <c r="B477" s="840">
        <v>22.57</v>
      </c>
    </row>
    <row r="478" spans="1:2">
      <c r="A478" s="845">
        <v>37498</v>
      </c>
      <c r="B478" s="840">
        <v>21.35</v>
      </c>
    </row>
    <row r="479" spans="1:2">
      <c r="A479" s="845">
        <v>37491</v>
      </c>
      <c r="B479" s="840">
        <v>21.05</v>
      </c>
    </row>
    <row r="480" spans="1:2">
      <c r="A480" s="845">
        <v>37484</v>
      </c>
      <c r="B480" s="840">
        <v>20.96</v>
      </c>
    </row>
    <row r="481" spans="1:2">
      <c r="A481" s="845">
        <v>37477</v>
      </c>
      <c r="B481" s="840">
        <v>20.64</v>
      </c>
    </row>
    <row r="482" spans="1:2">
      <c r="A482" s="845">
        <v>37470</v>
      </c>
      <c r="B482" s="840">
        <v>20.82</v>
      </c>
    </row>
    <row r="483" spans="1:2">
      <c r="A483" s="845">
        <v>37463</v>
      </c>
      <c r="B483" s="840">
        <v>21.06</v>
      </c>
    </row>
    <row r="484" spans="1:2">
      <c r="A484" s="845">
        <v>37456</v>
      </c>
      <c r="B484" s="840">
        <v>21.15</v>
      </c>
    </row>
    <row r="485" spans="1:2">
      <c r="A485" s="845">
        <v>37449</v>
      </c>
      <c r="B485" s="840">
        <v>21.37</v>
      </c>
    </row>
    <row r="486" spans="1:2">
      <c r="A486" s="845">
        <v>37442</v>
      </c>
      <c r="B486" s="840">
        <v>22.17</v>
      </c>
    </row>
    <row r="487" spans="1:2">
      <c r="A487" s="845">
        <v>37435</v>
      </c>
      <c r="B487" s="840">
        <v>22.69</v>
      </c>
    </row>
    <row r="488" spans="1:2">
      <c r="A488" s="845">
        <v>37428</v>
      </c>
      <c r="B488" s="840">
        <v>23.1</v>
      </c>
    </row>
    <row r="489" spans="1:2">
      <c r="A489" s="845">
        <v>37421</v>
      </c>
      <c r="B489" s="840">
        <v>23.4</v>
      </c>
    </row>
    <row r="490" spans="1:2">
      <c r="A490" s="845">
        <v>37414</v>
      </c>
      <c r="B490" s="840">
        <v>23.4</v>
      </c>
    </row>
    <row r="491" spans="1:2">
      <c r="A491" s="845">
        <v>37407</v>
      </c>
      <c r="B491" s="840">
        <v>23.6</v>
      </c>
    </row>
    <row r="492" spans="1:2">
      <c r="A492" s="845">
        <v>37400</v>
      </c>
      <c r="B492" s="840">
        <v>23.8</v>
      </c>
    </row>
    <row r="493" spans="1:2">
      <c r="A493" s="845">
        <v>37393</v>
      </c>
      <c r="B493" s="840">
        <v>24.6</v>
      </c>
    </row>
    <row r="494" spans="1:2">
      <c r="A494" s="845">
        <v>37386</v>
      </c>
      <c r="B494" s="840">
        <v>26</v>
      </c>
    </row>
    <row r="495" spans="1:2">
      <c r="A495" s="845">
        <v>37379</v>
      </c>
      <c r="B495" s="840">
        <v>26.05</v>
      </c>
    </row>
    <row r="496" spans="1:2">
      <c r="A496" s="845">
        <v>37372</v>
      </c>
      <c r="B496" s="840">
        <v>26.1</v>
      </c>
    </row>
    <row r="497" spans="1:2">
      <c r="A497" s="845">
        <v>37365</v>
      </c>
      <c r="B497" s="840">
        <v>26.92</v>
      </c>
    </row>
    <row r="498" spans="1:2">
      <c r="A498" s="845">
        <v>37358</v>
      </c>
      <c r="B498" s="840">
        <v>27.55</v>
      </c>
    </row>
    <row r="499" spans="1:2">
      <c r="A499" s="845">
        <v>37351</v>
      </c>
      <c r="B499" s="840">
        <v>27.55</v>
      </c>
    </row>
    <row r="500" spans="1:2">
      <c r="A500" s="845">
        <v>37344</v>
      </c>
      <c r="B500" s="840">
        <v>27.6</v>
      </c>
    </row>
    <row r="501" spans="1:2">
      <c r="A501" s="845">
        <v>37337</v>
      </c>
      <c r="B501" s="840">
        <v>27.85</v>
      </c>
    </row>
    <row r="502" spans="1:2">
      <c r="A502" s="845">
        <v>37330</v>
      </c>
      <c r="B502" s="840">
        <v>28.4</v>
      </c>
    </row>
    <row r="503" spans="1:2">
      <c r="A503" s="845">
        <v>37323</v>
      </c>
      <c r="B503" s="840">
        <v>28.65</v>
      </c>
    </row>
    <row r="504" spans="1:2">
      <c r="A504" s="845">
        <v>37316</v>
      </c>
      <c r="B504" s="840">
        <v>28.8</v>
      </c>
    </row>
    <row r="505" spans="1:2">
      <c r="A505" s="845">
        <v>37309</v>
      </c>
      <c r="B505" s="840">
        <v>28.9</v>
      </c>
    </row>
    <row r="506" spans="1:2">
      <c r="A506" s="845">
        <v>37302</v>
      </c>
      <c r="B506" s="840">
        <v>29.15</v>
      </c>
    </row>
    <row r="507" spans="1:2">
      <c r="A507" s="845">
        <v>37295</v>
      </c>
      <c r="B507" s="840">
        <v>29.3</v>
      </c>
    </row>
    <row r="508" spans="1:2">
      <c r="A508" s="845">
        <v>37288</v>
      </c>
      <c r="B508" s="840">
        <v>29.2</v>
      </c>
    </row>
    <row r="509" spans="1:2">
      <c r="A509" s="845">
        <v>37281</v>
      </c>
      <c r="B509" s="840">
        <v>29.45</v>
      </c>
    </row>
    <row r="510" spans="1:2">
      <c r="A510" s="845">
        <v>37274</v>
      </c>
      <c r="B510" s="840">
        <v>29.47</v>
      </c>
    </row>
    <row r="511" spans="1:2">
      <c r="A511" s="845">
        <v>37267</v>
      </c>
      <c r="B511" s="840">
        <v>29.65</v>
      </c>
    </row>
    <row r="512" spans="1:2">
      <c r="A512" s="845">
        <v>37260</v>
      </c>
      <c r="B512" s="840">
        <v>29.85</v>
      </c>
    </row>
    <row r="513" spans="1:2">
      <c r="A513" s="845">
        <v>37253</v>
      </c>
      <c r="B513" s="840">
        <v>29.35</v>
      </c>
    </row>
    <row r="514" spans="1:2">
      <c r="A514" s="845">
        <v>37246</v>
      </c>
      <c r="B514" s="840">
        <v>29.25</v>
      </c>
    </row>
    <row r="515" spans="1:2">
      <c r="A515" s="845">
        <v>37239</v>
      </c>
      <c r="B515" s="840">
        <v>29.1</v>
      </c>
    </row>
    <row r="516" spans="1:2">
      <c r="A516" s="845">
        <v>37232</v>
      </c>
      <c r="B516" s="840">
        <v>29.2</v>
      </c>
    </row>
    <row r="517" spans="1:2">
      <c r="A517" s="845">
        <v>37225</v>
      </c>
      <c r="B517" s="840">
        <v>29.8</v>
      </c>
    </row>
    <row r="518" spans="1:2">
      <c r="A518" s="845">
        <v>37218</v>
      </c>
      <c r="B518" s="840">
        <v>29.4</v>
      </c>
    </row>
    <row r="519" spans="1:2">
      <c r="A519" s="845">
        <v>37211</v>
      </c>
      <c r="B519" s="840">
        <v>29.85</v>
      </c>
    </row>
    <row r="520" spans="1:2">
      <c r="A520" s="845">
        <v>37204</v>
      </c>
      <c r="B520" s="840">
        <v>30.05</v>
      </c>
    </row>
    <row r="521" spans="1:2">
      <c r="A521" s="845">
        <v>37197</v>
      </c>
      <c r="B521" s="840">
        <v>30.95</v>
      </c>
    </row>
    <row r="522" spans="1:2">
      <c r="A522" s="845">
        <v>37190</v>
      </c>
      <c r="B522" s="840">
        <v>31.1</v>
      </c>
    </row>
    <row r="523" spans="1:2">
      <c r="A523" s="845">
        <v>37183</v>
      </c>
      <c r="B523" s="840">
        <v>31.8</v>
      </c>
    </row>
    <row r="524" spans="1:2">
      <c r="A524" s="845">
        <v>37176</v>
      </c>
      <c r="B524" s="840">
        <v>31.8</v>
      </c>
    </row>
    <row r="525" spans="1:2">
      <c r="A525" s="845">
        <v>37169</v>
      </c>
      <c r="B525" s="840">
        <v>31.2</v>
      </c>
    </row>
    <row r="526" spans="1:2">
      <c r="A526" s="845">
        <v>37162</v>
      </c>
      <c r="B526" s="840">
        <v>31.4</v>
      </c>
    </row>
    <row r="527" spans="1:2">
      <c r="A527" s="845">
        <v>37155</v>
      </c>
      <c r="B527" s="840">
        <v>31.8</v>
      </c>
    </row>
    <row r="528" spans="1:2">
      <c r="A528" s="845">
        <v>37148</v>
      </c>
      <c r="B528" s="840">
        <v>31.9</v>
      </c>
    </row>
    <row r="529" spans="1:2">
      <c r="A529" s="845">
        <v>37141</v>
      </c>
      <c r="B529" s="840">
        <v>32.200000000000003</v>
      </c>
    </row>
    <row r="530" spans="1:2">
      <c r="A530" s="845">
        <v>37134</v>
      </c>
      <c r="B530" s="840">
        <v>32.6</v>
      </c>
    </row>
    <row r="531" spans="1:2">
      <c r="A531" s="845">
        <v>37127</v>
      </c>
      <c r="B531" s="840">
        <v>32.6</v>
      </c>
    </row>
    <row r="532" spans="1:2">
      <c r="A532" s="845">
        <v>37120</v>
      </c>
      <c r="B532" s="840">
        <v>32.6</v>
      </c>
    </row>
    <row r="533" spans="1:2">
      <c r="A533" s="845">
        <v>37113</v>
      </c>
      <c r="B533" s="840">
        <v>33</v>
      </c>
    </row>
    <row r="534" spans="1:2">
      <c r="A534" s="845">
        <v>37106</v>
      </c>
      <c r="B534" s="840">
        <v>32.9</v>
      </c>
    </row>
    <row r="535" spans="1:2">
      <c r="A535" s="845">
        <v>37099</v>
      </c>
      <c r="B535" s="840">
        <v>33.049999999999997</v>
      </c>
    </row>
    <row r="536" spans="1:2">
      <c r="A536" s="845">
        <v>37092</v>
      </c>
      <c r="B536" s="840">
        <v>33.049999999999997</v>
      </c>
    </row>
    <row r="537" spans="1:2">
      <c r="A537" s="845">
        <v>37085</v>
      </c>
      <c r="B537" s="840">
        <v>33</v>
      </c>
    </row>
    <row r="538" spans="1:2">
      <c r="A538" s="845">
        <v>37078</v>
      </c>
      <c r="B538" s="840">
        <v>33</v>
      </c>
    </row>
    <row r="539" spans="1:2">
      <c r="A539" s="845">
        <v>37071</v>
      </c>
      <c r="B539" s="840">
        <v>33.1</v>
      </c>
    </row>
    <row r="540" spans="1:2">
      <c r="A540" s="845">
        <v>37064</v>
      </c>
      <c r="B540" s="840">
        <v>33.5</v>
      </c>
    </row>
    <row r="541" spans="1:2">
      <c r="A541" s="845">
        <v>37057</v>
      </c>
      <c r="B541" s="840">
        <v>33.25</v>
      </c>
    </row>
    <row r="542" spans="1:2">
      <c r="A542" s="845">
        <v>37050</v>
      </c>
      <c r="B542" s="840">
        <v>33.1</v>
      </c>
    </row>
    <row r="543" spans="1:2">
      <c r="A543" s="845">
        <v>37043</v>
      </c>
      <c r="B543" s="840">
        <v>33.5</v>
      </c>
    </row>
    <row r="544" spans="1:2">
      <c r="A544" s="845">
        <v>37036</v>
      </c>
      <c r="B544" s="840">
        <v>33.4</v>
      </c>
    </row>
    <row r="545" spans="1:2">
      <c r="A545" s="845">
        <v>37029</v>
      </c>
      <c r="B545" s="840">
        <v>33.5</v>
      </c>
    </row>
    <row r="546" spans="1:2">
      <c r="A546" s="845">
        <v>37022</v>
      </c>
      <c r="B546" s="840">
        <v>33.5</v>
      </c>
    </row>
    <row r="547" spans="1:2">
      <c r="A547" s="845">
        <v>37015</v>
      </c>
      <c r="B547" s="840">
        <v>33.25</v>
      </c>
    </row>
    <row r="548" spans="1:2">
      <c r="A548" s="845">
        <v>37008</v>
      </c>
      <c r="B548" s="840">
        <v>33.1</v>
      </c>
    </row>
    <row r="549" spans="1:2">
      <c r="A549" s="845">
        <v>37001</v>
      </c>
      <c r="B549" s="840">
        <v>33</v>
      </c>
    </row>
    <row r="550" spans="1:2">
      <c r="A550" s="845">
        <v>36994</v>
      </c>
      <c r="B550" s="840">
        <v>33</v>
      </c>
    </row>
    <row r="551" spans="1:2">
      <c r="A551" s="845">
        <v>36987</v>
      </c>
      <c r="B551" s="840">
        <v>33</v>
      </c>
    </row>
    <row r="552" spans="1:2">
      <c r="A552" s="845">
        <v>36980</v>
      </c>
      <c r="B552" s="840">
        <v>33.5</v>
      </c>
    </row>
    <row r="553" spans="1:2">
      <c r="A553" s="845">
        <v>36973</v>
      </c>
      <c r="B553" s="840">
        <v>33.5</v>
      </c>
    </row>
    <row r="554" spans="1:2">
      <c r="A554" s="845">
        <v>36966</v>
      </c>
      <c r="B554" s="840">
        <v>33.25</v>
      </c>
    </row>
    <row r="555" spans="1:2">
      <c r="A555" s="845">
        <v>36959</v>
      </c>
      <c r="B555" s="840">
        <v>33.25</v>
      </c>
    </row>
    <row r="556" spans="1:2">
      <c r="A556" s="845">
        <v>36952</v>
      </c>
      <c r="B556" s="840">
        <v>33.1</v>
      </c>
    </row>
    <row r="557" spans="1:2">
      <c r="A557" s="845">
        <v>36945</v>
      </c>
      <c r="B557" s="840">
        <v>32.9</v>
      </c>
    </row>
    <row r="558" spans="1:2">
      <c r="A558" s="845">
        <v>36938</v>
      </c>
      <c r="B558" s="840">
        <v>32.950000000000003</v>
      </c>
    </row>
    <row r="559" spans="1:2">
      <c r="A559" s="845">
        <v>36931</v>
      </c>
      <c r="B559" s="840">
        <v>32.25</v>
      </c>
    </row>
    <row r="560" spans="1:2">
      <c r="A560" s="845">
        <v>36924</v>
      </c>
      <c r="B560" s="840">
        <v>32.25</v>
      </c>
    </row>
    <row r="561" spans="1:2">
      <c r="A561" s="845">
        <v>36917</v>
      </c>
      <c r="B561" s="840">
        <v>32.4</v>
      </c>
    </row>
    <row r="562" spans="1:2">
      <c r="A562" s="845">
        <v>36910</v>
      </c>
      <c r="B562" s="840">
        <v>32.85</v>
      </c>
    </row>
    <row r="563" spans="1:2">
      <c r="A563" s="845">
        <v>36903</v>
      </c>
      <c r="B563" s="840">
        <v>32.6</v>
      </c>
    </row>
    <row r="564" spans="1:2">
      <c r="A564" s="845">
        <v>36896</v>
      </c>
      <c r="B564" s="840">
        <v>32.6</v>
      </c>
    </row>
    <row r="565" spans="1:2">
      <c r="A565" s="845">
        <v>36889</v>
      </c>
      <c r="B565" s="840">
        <v>32.6</v>
      </c>
    </row>
    <row r="566" spans="1:2">
      <c r="A566" s="845">
        <v>36882</v>
      </c>
      <c r="B566" s="840">
        <v>32.6</v>
      </c>
    </row>
    <row r="567" spans="1:2">
      <c r="A567" s="845">
        <v>36875</v>
      </c>
      <c r="B567" s="840">
        <v>32.6</v>
      </c>
    </row>
    <row r="568" spans="1:2">
      <c r="A568" s="845">
        <v>36868</v>
      </c>
      <c r="B568" s="840">
        <v>32.6</v>
      </c>
    </row>
    <row r="569" spans="1:2">
      <c r="A569" s="845">
        <v>36861</v>
      </c>
      <c r="B569" s="840">
        <v>32.5</v>
      </c>
    </row>
    <row r="570" spans="1:2">
      <c r="A570" s="845">
        <v>36854</v>
      </c>
      <c r="B570" s="840">
        <v>31.9</v>
      </c>
    </row>
    <row r="571" spans="1:2">
      <c r="A571" s="845">
        <v>36847</v>
      </c>
      <c r="B571" s="840">
        <v>31.5</v>
      </c>
    </row>
    <row r="572" spans="1:2">
      <c r="A572" s="845">
        <v>36840</v>
      </c>
      <c r="B572" s="840">
        <v>31</v>
      </c>
    </row>
    <row r="573" spans="1:2">
      <c r="A573" s="845">
        <v>36833</v>
      </c>
      <c r="B573" s="840">
        <v>30.5</v>
      </c>
    </row>
    <row r="574" spans="1:2">
      <c r="A574" s="845">
        <v>36826</v>
      </c>
      <c r="B574" s="840">
        <v>30.5</v>
      </c>
    </row>
    <row r="575" spans="1:2">
      <c r="A575" s="845">
        <v>36819</v>
      </c>
      <c r="B575" s="840">
        <v>30.5</v>
      </c>
    </row>
    <row r="576" spans="1:2">
      <c r="A576" s="845">
        <v>36812</v>
      </c>
      <c r="B576" s="840">
        <v>30.25</v>
      </c>
    </row>
    <row r="577" spans="1:2">
      <c r="A577" s="845">
        <v>36805</v>
      </c>
      <c r="B577" s="840">
        <v>28.2</v>
      </c>
    </row>
    <row r="578" spans="1:2">
      <c r="A578" s="845">
        <v>36798</v>
      </c>
      <c r="B578" s="840">
        <v>27.75</v>
      </c>
    </row>
    <row r="579" spans="1:2">
      <c r="A579" s="845">
        <v>36791</v>
      </c>
      <c r="B579" s="840">
        <v>26.95</v>
      </c>
    </row>
    <row r="580" spans="1:2">
      <c r="A580" s="845">
        <v>36784</v>
      </c>
      <c r="B580" s="840">
        <v>26.7</v>
      </c>
    </row>
    <row r="581" spans="1:2">
      <c r="A581" s="845">
        <v>36777</v>
      </c>
      <c r="B581" s="840">
        <v>26.7</v>
      </c>
    </row>
    <row r="582" spans="1:2">
      <c r="A582" s="845">
        <v>36770</v>
      </c>
      <c r="B582" s="840">
        <v>26.7</v>
      </c>
    </row>
    <row r="583" spans="1:2">
      <c r="A583" s="845">
        <v>36763</v>
      </c>
      <c r="B583" s="840">
        <v>26</v>
      </c>
    </row>
    <row r="584" spans="1:2">
      <c r="A584" s="845">
        <v>36756</v>
      </c>
      <c r="B584" s="840">
        <v>26</v>
      </c>
    </row>
    <row r="585" spans="1:2">
      <c r="A585" s="845">
        <v>36749</v>
      </c>
      <c r="B585" s="840">
        <v>25.5</v>
      </c>
    </row>
    <row r="586" spans="1:2">
      <c r="A586" s="845">
        <v>36742</v>
      </c>
      <c r="B586" s="840">
        <v>24.8</v>
      </c>
    </row>
    <row r="587" spans="1:2">
      <c r="A587" s="845"/>
    </row>
    <row r="588" spans="1:2">
      <c r="A588" s="845"/>
    </row>
    <row r="589" spans="1:2">
      <c r="A589" s="845"/>
    </row>
    <row r="590" spans="1:2">
      <c r="A590" s="845"/>
    </row>
    <row r="591" spans="1:2">
      <c r="A591" s="845"/>
    </row>
    <row r="592" spans="1:2">
      <c r="A592" s="845"/>
    </row>
    <row r="593" spans="1:1">
      <c r="A593" s="845"/>
    </row>
    <row r="594" spans="1:1">
      <c r="A594" s="845"/>
    </row>
    <row r="595" spans="1:1">
      <c r="A595" s="845"/>
    </row>
    <row r="596" spans="1:1">
      <c r="A596" s="845"/>
    </row>
  </sheetData>
  <mergeCells count="1">
    <mergeCell ref="K28:M28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92"/>
  <sheetViews>
    <sheetView workbookViewId="0"/>
  </sheetViews>
  <sheetFormatPr defaultRowHeight="12.75"/>
  <sheetData>
    <row r="1" spans="1:12">
      <c r="A1" s="463" t="s">
        <v>212</v>
      </c>
      <c r="B1" s="461"/>
      <c r="C1" s="461"/>
      <c r="D1" s="461"/>
      <c r="E1" s="461"/>
      <c r="F1" s="461"/>
      <c r="G1" s="461"/>
      <c r="H1" s="461"/>
      <c r="I1" s="461"/>
      <c r="J1" s="461"/>
      <c r="K1" s="461"/>
      <c r="L1" s="461"/>
    </row>
    <row r="2" spans="1:12">
      <c r="A2" s="461"/>
      <c r="B2" s="461"/>
      <c r="C2" s="461"/>
      <c r="D2" s="461"/>
      <c r="E2" s="461"/>
      <c r="F2" s="461"/>
      <c r="G2" s="461"/>
      <c r="H2" s="461"/>
      <c r="I2" s="461"/>
      <c r="J2" s="461"/>
      <c r="K2" s="461"/>
      <c r="L2" s="461"/>
    </row>
    <row r="3" spans="1:12">
      <c r="A3" s="461"/>
      <c r="B3" s="461"/>
      <c r="C3" s="461"/>
      <c r="D3" s="461"/>
      <c r="E3" s="461"/>
      <c r="F3" s="461"/>
      <c r="G3" s="461"/>
      <c r="H3" s="461"/>
      <c r="I3" s="461"/>
      <c r="J3" s="461"/>
      <c r="K3" s="461"/>
      <c r="L3" s="461"/>
    </row>
    <row r="4" spans="1:12">
      <c r="A4" s="520" t="s">
        <v>679</v>
      </c>
      <c r="B4" s="521"/>
      <c r="C4" s="521"/>
      <c r="D4" s="521"/>
      <c r="E4" s="521"/>
      <c r="F4" s="521"/>
      <c r="G4" s="521"/>
      <c r="H4" s="521"/>
      <c r="I4" s="521"/>
      <c r="J4" s="521"/>
      <c r="K4" s="521"/>
      <c r="L4" s="461"/>
    </row>
    <row r="5" spans="1:12">
      <c r="A5" s="521" t="s">
        <v>544</v>
      </c>
      <c r="B5" s="521">
        <v>825</v>
      </c>
      <c r="C5" s="521">
        <v>825</v>
      </c>
      <c r="D5" s="521"/>
      <c r="E5" s="521"/>
      <c r="F5" s="521"/>
      <c r="G5" s="521"/>
      <c r="H5" s="521"/>
      <c r="I5" s="521"/>
      <c r="J5" s="521"/>
      <c r="K5" s="521"/>
      <c r="L5" s="461"/>
    </row>
    <row r="6" spans="1:12">
      <c r="A6" s="521" t="s">
        <v>545</v>
      </c>
      <c r="B6" s="521">
        <v>14</v>
      </c>
      <c r="C6" s="521"/>
      <c r="D6" s="521"/>
      <c r="E6" s="521"/>
      <c r="F6" s="521"/>
      <c r="G6" s="521"/>
      <c r="H6" s="521"/>
      <c r="I6" s="521"/>
      <c r="J6" s="521"/>
      <c r="K6" s="521"/>
      <c r="L6" s="461"/>
    </row>
    <row r="7" spans="1:12">
      <c r="A7" s="521" t="s">
        <v>546</v>
      </c>
      <c r="B7" s="521">
        <v>4</v>
      </c>
      <c r="C7" s="521"/>
      <c r="D7" s="521"/>
      <c r="E7" s="521"/>
      <c r="F7" s="521"/>
      <c r="G7" s="521"/>
      <c r="H7" s="521"/>
      <c r="I7" s="521"/>
      <c r="J7" s="521"/>
      <c r="K7" s="521"/>
      <c r="L7" s="461"/>
    </row>
    <row r="8" spans="1:12">
      <c r="A8" s="521" t="s">
        <v>213</v>
      </c>
      <c r="B8" s="523">
        <f>10.2%+0.6%</f>
        <v>0.108</v>
      </c>
      <c r="C8" s="521"/>
      <c r="D8" s="521"/>
      <c r="E8" s="521"/>
      <c r="F8" s="521"/>
      <c r="G8" s="521"/>
      <c r="H8" s="521"/>
      <c r="I8" s="521"/>
      <c r="J8" s="521"/>
      <c r="K8" s="521"/>
      <c r="L8" s="461"/>
    </row>
    <row r="9" spans="1:12">
      <c r="A9" s="521" t="s">
        <v>547</v>
      </c>
      <c r="B9" s="527">
        <f>B5/B6</f>
        <v>58.928571428571431</v>
      </c>
      <c r="C9" s="521"/>
      <c r="D9" s="521"/>
      <c r="E9" s="521"/>
      <c r="F9" s="521"/>
      <c r="G9" s="521"/>
      <c r="H9" s="521"/>
      <c r="I9" s="521"/>
      <c r="J9" s="521"/>
      <c r="K9" s="521"/>
      <c r="L9" s="461"/>
    </row>
    <row r="10" spans="1:12">
      <c r="A10" s="521"/>
      <c r="B10" s="521"/>
      <c r="C10" s="520" t="s">
        <v>217</v>
      </c>
      <c r="D10" s="525" t="s">
        <v>318</v>
      </c>
      <c r="E10" s="525" t="s">
        <v>547</v>
      </c>
      <c r="F10" s="525"/>
      <c r="G10" s="525" t="s">
        <v>2</v>
      </c>
      <c r="H10" s="525" t="s">
        <v>216</v>
      </c>
      <c r="I10" s="525" t="s">
        <v>318</v>
      </c>
      <c r="J10" s="520"/>
      <c r="K10" s="521"/>
      <c r="L10" s="461"/>
    </row>
    <row r="11" spans="1:12">
      <c r="A11" s="521"/>
      <c r="B11" s="521"/>
      <c r="C11" s="1229">
        <v>41122</v>
      </c>
      <c r="D11" s="1230">
        <f>B5</f>
        <v>825</v>
      </c>
      <c r="E11" s="1231">
        <f>$B$9</f>
        <v>58.928571428571431</v>
      </c>
      <c r="F11" s="1232"/>
      <c r="G11" s="1233">
        <f>$B$8/$B$7</f>
        <v>2.7E-2</v>
      </c>
      <c r="H11" s="1234">
        <f>D11*G11</f>
        <v>22.274999999999999</v>
      </c>
      <c r="I11" s="1232">
        <f>D11-E11</f>
        <v>766.07142857142856</v>
      </c>
      <c r="J11" s="527"/>
      <c r="K11" s="521"/>
      <c r="L11" s="461"/>
    </row>
    <row r="12" spans="1:12">
      <c r="A12" s="521"/>
      <c r="B12" s="521"/>
      <c r="C12" s="1229">
        <v>41214</v>
      </c>
      <c r="D12" s="1231">
        <f>I11</f>
        <v>766.07142857142856</v>
      </c>
      <c r="E12" s="1231">
        <f>$B$9</f>
        <v>58.928571428571431</v>
      </c>
      <c r="F12" s="1232"/>
      <c r="G12" s="1233">
        <f>$B$8/$B$7</f>
        <v>2.7E-2</v>
      </c>
      <c r="H12" s="1234">
        <f>D12*G12</f>
        <v>20.68392857142857</v>
      </c>
      <c r="I12" s="1232">
        <f t="shared" ref="I12:I24" si="0">D12-E12</f>
        <v>707.14285714285711</v>
      </c>
      <c r="J12" s="565"/>
      <c r="K12" s="521"/>
      <c r="L12" s="461"/>
    </row>
    <row r="13" spans="1:12">
      <c r="A13" s="462"/>
      <c r="B13" s="462"/>
      <c r="C13" s="528">
        <v>41306</v>
      </c>
      <c r="D13" s="563">
        <f>I12</f>
        <v>707.14285714285711</v>
      </c>
      <c r="E13" s="563">
        <f>$B$9</f>
        <v>58.928571428571431</v>
      </c>
      <c r="F13" s="527"/>
      <c r="G13" s="20">
        <f>$B$8/$B$7</f>
        <v>2.7E-2</v>
      </c>
      <c r="H13" s="564">
        <f>D13*G13</f>
        <v>19.092857142857142</v>
      </c>
      <c r="I13" s="527">
        <f t="shared" si="0"/>
        <v>648.21428571428567</v>
      </c>
      <c r="J13" s="527"/>
      <c r="K13" s="462"/>
      <c r="L13" s="461"/>
    </row>
    <row r="14" spans="1:12">
      <c r="A14" s="462"/>
      <c r="B14" s="462"/>
      <c r="C14" s="528">
        <v>41395</v>
      </c>
      <c r="D14" s="563">
        <f t="shared" ref="D14:D24" si="1">I13</f>
        <v>648.21428571428567</v>
      </c>
      <c r="E14" s="563">
        <f t="shared" ref="E14" si="2">$B$9</f>
        <v>58.928571428571431</v>
      </c>
      <c r="F14" s="527"/>
      <c r="G14" s="20">
        <f>$B$8/$B$7</f>
        <v>2.7E-2</v>
      </c>
      <c r="H14" s="564">
        <f>D14*G14</f>
        <v>17.501785714285713</v>
      </c>
      <c r="I14" s="527">
        <v>512.5</v>
      </c>
      <c r="J14" s="565"/>
      <c r="K14" s="462"/>
      <c r="L14" s="461"/>
    </row>
    <row r="15" spans="1:12">
      <c r="A15" s="462"/>
      <c r="B15" s="462"/>
      <c r="C15" s="528">
        <v>41487</v>
      </c>
      <c r="D15" s="563">
        <f t="shared" si="1"/>
        <v>512.5</v>
      </c>
      <c r="E15" s="563">
        <f>512.5/7</f>
        <v>73.214285714285708</v>
      </c>
      <c r="F15" s="527"/>
      <c r="G15" s="20">
        <f t="shared" ref="G15:G24" si="3">$B$8/$B$7</f>
        <v>2.7E-2</v>
      </c>
      <c r="H15" s="564">
        <f t="shared" ref="H15:H24" si="4">D15*G15</f>
        <v>13.8375</v>
      </c>
      <c r="I15" s="527">
        <f t="shared" si="0"/>
        <v>439.28571428571428</v>
      </c>
      <c r="J15" s="565"/>
      <c r="K15" s="462"/>
      <c r="L15" s="461"/>
    </row>
    <row r="16" spans="1:12">
      <c r="A16" s="462"/>
      <c r="B16" s="462"/>
      <c r="C16" s="528">
        <v>41579</v>
      </c>
      <c r="D16" s="563">
        <f t="shared" si="1"/>
        <v>439.28571428571428</v>
      </c>
      <c r="E16" s="563">
        <f>E15</f>
        <v>73.214285714285708</v>
      </c>
      <c r="F16" s="527"/>
      <c r="G16" s="20">
        <f t="shared" si="3"/>
        <v>2.7E-2</v>
      </c>
      <c r="H16" s="564">
        <f t="shared" si="4"/>
        <v>11.860714285714286</v>
      </c>
      <c r="I16" s="527">
        <f t="shared" si="0"/>
        <v>366.07142857142856</v>
      </c>
      <c r="J16" s="565"/>
      <c r="K16" s="462"/>
      <c r="L16" s="461"/>
    </row>
    <row r="17" spans="1:12">
      <c r="A17" s="462"/>
      <c r="B17" s="462"/>
      <c r="C17" s="528">
        <v>41671</v>
      </c>
      <c r="D17" s="563">
        <f t="shared" si="1"/>
        <v>366.07142857142856</v>
      </c>
      <c r="E17" s="563">
        <f>E16</f>
        <v>73.214285714285708</v>
      </c>
      <c r="F17" s="527"/>
      <c r="G17" s="20">
        <f t="shared" si="3"/>
        <v>2.7E-2</v>
      </c>
      <c r="H17" s="564">
        <f t="shared" si="4"/>
        <v>9.8839285714285712</v>
      </c>
      <c r="I17" s="527">
        <f t="shared" si="0"/>
        <v>292.85714285714283</v>
      </c>
      <c r="J17" s="565"/>
      <c r="K17" s="462"/>
      <c r="L17" s="461"/>
    </row>
    <row r="18" spans="1:12">
      <c r="A18" s="462"/>
      <c r="B18" s="462"/>
      <c r="C18" s="528">
        <v>41760</v>
      </c>
      <c r="D18" s="563">
        <f t="shared" si="1"/>
        <v>292.85714285714283</v>
      </c>
      <c r="E18" s="563">
        <f t="shared" ref="E18:E21" si="5">E17</f>
        <v>73.214285714285708</v>
      </c>
      <c r="F18" s="527"/>
      <c r="G18" s="20">
        <f t="shared" si="3"/>
        <v>2.7E-2</v>
      </c>
      <c r="H18" s="564">
        <f t="shared" si="4"/>
        <v>7.9071428571428566</v>
      </c>
      <c r="I18" s="527">
        <f t="shared" si="0"/>
        <v>219.64285714285711</v>
      </c>
      <c r="J18" s="565"/>
      <c r="K18" s="462"/>
      <c r="L18" s="461"/>
    </row>
    <row r="19" spans="1:12">
      <c r="A19" s="462"/>
      <c r="B19" s="462"/>
      <c r="C19" s="528">
        <v>41852</v>
      </c>
      <c r="D19" s="563">
        <f t="shared" si="1"/>
        <v>219.64285714285711</v>
      </c>
      <c r="E19" s="563">
        <f t="shared" si="5"/>
        <v>73.214285714285708</v>
      </c>
      <c r="F19" s="527"/>
      <c r="G19" s="20">
        <f t="shared" si="3"/>
        <v>2.7E-2</v>
      </c>
      <c r="H19" s="564">
        <f t="shared" si="4"/>
        <v>5.930357142857142</v>
      </c>
      <c r="I19" s="527">
        <f t="shared" si="0"/>
        <v>146.42857142857139</v>
      </c>
      <c r="J19" s="565"/>
      <c r="K19" s="462"/>
      <c r="L19" s="461"/>
    </row>
    <row r="20" spans="1:12">
      <c r="A20" s="462"/>
      <c r="B20" s="462"/>
      <c r="C20" s="528">
        <v>41944</v>
      </c>
      <c r="D20" s="563">
        <f t="shared" si="1"/>
        <v>146.42857142857139</v>
      </c>
      <c r="E20" s="563">
        <f t="shared" si="5"/>
        <v>73.214285714285708</v>
      </c>
      <c r="F20" s="527"/>
      <c r="G20" s="20">
        <f t="shared" si="3"/>
        <v>2.7E-2</v>
      </c>
      <c r="H20" s="564">
        <f t="shared" si="4"/>
        <v>3.9535714285714274</v>
      </c>
      <c r="I20" s="527">
        <f t="shared" si="0"/>
        <v>73.21428571428568</v>
      </c>
      <c r="J20" s="565"/>
      <c r="K20" s="462"/>
      <c r="L20" s="461"/>
    </row>
    <row r="21" spans="1:12">
      <c r="A21" s="462"/>
      <c r="B21" s="462"/>
      <c r="C21" s="528">
        <v>42036</v>
      </c>
      <c r="D21" s="563">
        <f t="shared" si="1"/>
        <v>73.21428571428568</v>
      </c>
      <c r="E21" s="563">
        <f t="shared" si="5"/>
        <v>73.214285714285708</v>
      </c>
      <c r="F21" s="527"/>
      <c r="G21" s="20">
        <f t="shared" si="3"/>
        <v>2.7E-2</v>
      </c>
      <c r="H21" s="564">
        <f t="shared" si="4"/>
        <v>1.9767857142857133</v>
      </c>
      <c r="I21" s="527">
        <f t="shared" si="0"/>
        <v>0</v>
      </c>
      <c r="J21" s="565"/>
      <c r="K21" s="462"/>
      <c r="L21" s="461"/>
    </row>
    <row r="22" spans="1:12" ht="15">
      <c r="A22" s="462"/>
      <c r="B22" s="462"/>
      <c r="C22" s="528">
        <v>42125</v>
      </c>
      <c r="D22" s="870">
        <f t="shared" si="1"/>
        <v>0</v>
      </c>
      <c r="E22" s="563"/>
      <c r="F22" s="527"/>
      <c r="G22" s="20">
        <f t="shared" si="3"/>
        <v>2.7E-2</v>
      </c>
      <c r="H22" s="564">
        <f t="shared" si="4"/>
        <v>0</v>
      </c>
      <c r="I22" s="527">
        <f t="shared" si="0"/>
        <v>0</v>
      </c>
      <c r="J22" s="565"/>
      <c r="K22" s="462"/>
      <c r="L22" s="461"/>
    </row>
    <row r="23" spans="1:12">
      <c r="A23" s="462"/>
      <c r="B23" s="462"/>
      <c r="C23" s="528">
        <v>42217</v>
      </c>
      <c r="D23" s="563">
        <f t="shared" si="1"/>
        <v>0</v>
      </c>
      <c r="E23" s="563"/>
      <c r="F23" s="527"/>
      <c r="G23" s="20">
        <f t="shared" si="3"/>
        <v>2.7E-2</v>
      </c>
      <c r="H23" s="564">
        <f t="shared" si="4"/>
        <v>0</v>
      </c>
      <c r="I23" s="527">
        <f t="shared" si="0"/>
        <v>0</v>
      </c>
      <c r="J23" s="565"/>
      <c r="K23" s="462"/>
      <c r="L23" s="461"/>
    </row>
    <row r="24" spans="1:12">
      <c r="A24" s="462"/>
      <c r="B24" s="462"/>
      <c r="C24" s="528">
        <v>42309</v>
      </c>
      <c r="D24" s="563">
        <f t="shared" si="1"/>
        <v>0</v>
      </c>
      <c r="E24" s="563"/>
      <c r="F24" s="527"/>
      <c r="G24" s="20">
        <f t="shared" si="3"/>
        <v>2.7E-2</v>
      </c>
      <c r="H24" s="564">
        <f t="shared" si="4"/>
        <v>0</v>
      </c>
      <c r="I24" s="527">
        <f t="shared" si="0"/>
        <v>0</v>
      </c>
      <c r="J24" s="565"/>
      <c r="K24" s="462"/>
      <c r="L24" s="461"/>
    </row>
    <row r="25" spans="1:12">
      <c r="A25" s="461"/>
      <c r="B25" s="461"/>
      <c r="C25" s="461"/>
      <c r="D25" s="461"/>
      <c r="E25" s="461"/>
      <c r="F25" s="461"/>
      <c r="G25" s="461"/>
      <c r="H25" s="461"/>
      <c r="I25" s="461"/>
      <c r="J25" s="461"/>
      <c r="K25" s="461"/>
      <c r="L25" s="461"/>
    </row>
    <row r="26" spans="1:12">
      <c r="A26" s="520" t="s">
        <v>680</v>
      </c>
      <c r="B26" s="521"/>
      <c r="C26" s="521"/>
      <c r="D26" s="521"/>
      <c r="E26" s="521"/>
      <c r="F26" s="521"/>
      <c r="G26" s="521"/>
      <c r="H26" s="521"/>
      <c r="I26" s="521"/>
      <c r="J26" s="521"/>
      <c r="K26" s="521"/>
      <c r="L26" s="461"/>
    </row>
    <row r="27" spans="1:12">
      <c r="A27" s="521" t="s">
        <v>544</v>
      </c>
      <c r="B27" s="521">
        <v>425</v>
      </c>
      <c r="C27" s="521"/>
      <c r="D27" s="521"/>
      <c r="E27" s="521"/>
      <c r="F27" s="521"/>
      <c r="G27" s="521"/>
      <c r="H27" s="521"/>
      <c r="I27" s="521"/>
      <c r="J27" s="521"/>
      <c r="K27" s="521"/>
      <c r="L27" s="461"/>
    </row>
    <row r="28" spans="1:12">
      <c r="A28" s="521" t="s">
        <v>545</v>
      </c>
      <c r="B28" s="521">
        <v>8</v>
      </c>
      <c r="C28" s="521"/>
      <c r="D28" s="521"/>
      <c r="E28" s="521"/>
      <c r="F28" s="521"/>
      <c r="G28" s="521"/>
      <c r="H28" s="521"/>
      <c r="I28" s="521"/>
      <c r="J28" s="521"/>
      <c r="K28" s="521"/>
      <c r="L28" s="461"/>
    </row>
    <row r="29" spans="1:12">
      <c r="A29" s="521" t="s">
        <v>546</v>
      </c>
      <c r="B29" s="521">
        <v>4</v>
      </c>
      <c r="C29" s="521"/>
      <c r="D29" s="521"/>
      <c r="E29" s="521"/>
      <c r="F29" s="521"/>
      <c r="G29" s="521"/>
      <c r="H29" s="521"/>
      <c r="I29" s="521"/>
      <c r="J29" s="521"/>
      <c r="K29" s="521"/>
      <c r="L29" s="461"/>
    </row>
    <row r="30" spans="1:12">
      <c r="A30" s="521" t="s">
        <v>213</v>
      </c>
      <c r="B30" s="523">
        <f>10.2%+0.6%</f>
        <v>0.108</v>
      </c>
      <c r="C30" s="521"/>
      <c r="D30" s="521"/>
      <c r="E30" s="521"/>
      <c r="F30" s="521"/>
      <c r="G30" s="521"/>
      <c r="H30" s="521"/>
      <c r="I30" s="521"/>
      <c r="J30" s="521"/>
      <c r="K30" s="521"/>
      <c r="L30" s="461"/>
    </row>
    <row r="31" spans="1:12">
      <c r="A31" s="521" t="s">
        <v>547</v>
      </c>
      <c r="B31" s="527">
        <f>B27/B28</f>
        <v>53.125</v>
      </c>
      <c r="C31" s="521"/>
      <c r="D31" s="521"/>
      <c r="E31" s="521"/>
      <c r="F31" s="521"/>
      <c r="G31" s="521"/>
      <c r="H31" s="521"/>
      <c r="I31" s="521"/>
      <c r="J31" s="521"/>
      <c r="K31" s="521"/>
      <c r="L31" s="461"/>
    </row>
    <row r="32" spans="1:12">
      <c r="A32" s="521"/>
      <c r="B32" s="521"/>
      <c r="C32" s="520" t="s">
        <v>217</v>
      </c>
      <c r="D32" s="525" t="s">
        <v>318</v>
      </c>
      <c r="E32" s="525" t="s">
        <v>547</v>
      </c>
      <c r="F32" s="525" t="s">
        <v>548</v>
      </c>
      <c r="G32" s="525" t="s">
        <v>2</v>
      </c>
      <c r="H32" s="525" t="s">
        <v>216</v>
      </c>
      <c r="I32" s="525" t="s">
        <v>318</v>
      </c>
      <c r="J32" s="520"/>
      <c r="K32" s="521"/>
      <c r="L32" s="461"/>
    </row>
    <row r="33" spans="1:12">
      <c r="A33" s="521"/>
      <c r="B33" s="521"/>
      <c r="C33" s="528">
        <v>41182</v>
      </c>
      <c r="D33" s="524">
        <f>B27</f>
        <v>425</v>
      </c>
      <c r="E33" s="563">
        <f>$B$31</f>
        <v>53.125</v>
      </c>
      <c r="F33" s="527"/>
      <c r="G33" s="20">
        <f>$B$30/$B$29</f>
        <v>2.7E-2</v>
      </c>
      <c r="H33" s="564">
        <f>D33*G33</f>
        <v>11.475</v>
      </c>
      <c r="I33" s="527">
        <f>D33-E33</f>
        <v>371.875</v>
      </c>
      <c r="J33" s="527"/>
      <c r="K33" s="521"/>
      <c r="L33" s="461"/>
    </row>
    <row r="34" spans="1:12">
      <c r="A34" s="521"/>
      <c r="B34" s="521"/>
      <c r="C34" s="528">
        <v>41274</v>
      </c>
      <c r="D34" s="563">
        <f>I33</f>
        <v>371.875</v>
      </c>
      <c r="E34" s="563">
        <f>$B$31</f>
        <v>53.125</v>
      </c>
      <c r="F34" s="527"/>
      <c r="G34" s="20">
        <f>$B$30/$B$29</f>
        <v>2.7E-2</v>
      </c>
      <c r="H34" s="564">
        <f>D34*G34</f>
        <v>10.040625</v>
      </c>
      <c r="I34" s="527">
        <f t="shared" ref="I34:I48" si="6">D34-E34</f>
        <v>318.75</v>
      </c>
      <c r="J34" s="565"/>
      <c r="K34" s="521"/>
      <c r="L34" s="461"/>
    </row>
    <row r="35" spans="1:12">
      <c r="A35" s="462"/>
      <c r="B35" s="462"/>
      <c r="C35" s="528">
        <v>41364</v>
      </c>
      <c r="D35" s="563">
        <f t="shared" ref="D35:D48" si="7">I34</f>
        <v>318.75</v>
      </c>
      <c r="E35" s="563">
        <f>$B$31</f>
        <v>53.125</v>
      </c>
      <c r="F35" s="527"/>
      <c r="G35" s="20">
        <f>$B$30/$B$29</f>
        <v>2.7E-2</v>
      </c>
      <c r="H35" s="564">
        <f>D35*G35</f>
        <v>8.6062499999999993</v>
      </c>
      <c r="I35" s="527">
        <f t="shared" si="6"/>
        <v>265.625</v>
      </c>
      <c r="J35" s="527"/>
      <c r="K35" s="462"/>
      <c r="L35" s="461"/>
    </row>
    <row r="36" spans="1:12">
      <c r="A36" s="462"/>
      <c r="B36" s="462"/>
      <c r="C36" s="528">
        <v>41455</v>
      </c>
      <c r="D36" s="563">
        <f t="shared" si="7"/>
        <v>265.625</v>
      </c>
      <c r="E36" s="563">
        <f>$B$31</f>
        <v>53.125</v>
      </c>
      <c r="F36" s="527"/>
      <c r="G36" s="20">
        <f>$B$30/$B$29</f>
        <v>2.7E-2</v>
      </c>
      <c r="H36" s="564">
        <f>D36*G36</f>
        <v>7.171875</v>
      </c>
      <c r="I36" s="527">
        <v>425</v>
      </c>
      <c r="J36" s="527"/>
      <c r="K36" s="462"/>
      <c r="L36" s="461"/>
    </row>
    <row r="37" spans="1:12">
      <c r="A37" s="462"/>
      <c r="B37" s="462"/>
      <c r="C37" s="528">
        <v>41547</v>
      </c>
      <c r="D37" s="563">
        <f t="shared" si="7"/>
        <v>425</v>
      </c>
      <c r="E37" s="563">
        <f t="shared" ref="E37:E44" si="8">$B$31</f>
        <v>53.125</v>
      </c>
      <c r="F37" s="527"/>
      <c r="G37" s="20">
        <f t="shared" ref="G37:G48" si="9">$B$30/$B$29</f>
        <v>2.7E-2</v>
      </c>
      <c r="H37" s="564">
        <f t="shared" ref="H37:H48" si="10">D37*G37</f>
        <v>11.475</v>
      </c>
      <c r="I37" s="527">
        <f t="shared" si="6"/>
        <v>371.875</v>
      </c>
      <c r="J37" s="527"/>
      <c r="K37" s="462"/>
      <c r="L37" s="461"/>
    </row>
    <row r="38" spans="1:12">
      <c r="A38" s="462"/>
      <c r="B38" s="462"/>
      <c r="C38" s="528">
        <v>41639</v>
      </c>
      <c r="D38" s="563">
        <f t="shared" si="7"/>
        <v>371.875</v>
      </c>
      <c r="E38" s="563">
        <f t="shared" si="8"/>
        <v>53.125</v>
      </c>
      <c r="F38" s="527"/>
      <c r="G38" s="20">
        <f t="shared" si="9"/>
        <v>2.7E-2</v>
      </c>
      <c r="H38" s="564">
        <f t="shared" si="10"/>
        <v>10.040625</v>
      </c>
      <c r="I38" s="527">
        <f t="shared" si="6"/>
        <v>318.75</v>
      </c>
      <c r="J38" s="527"/>
      <c r="K38" s="462"/>
      <c r="L38" s="461"/>
    </row>
    <row r="39" spans="1:12">
      <c r="A39" s="462"/>
      <c r="B39" s="462"/>
      <c r="C39" s="528">
        <v>41729</v>
      </c>
      <c r="D39" s="563">
        <f t="shared" si="7"/>
        <v>318.75</v>
      </c>
      <c r="E39" s="563">
        <f t="shared" si="8"/>
        <v>53.125</v>
      </c>
      <c r="F39" s="527"/>
      <c r="G39" s="20">
        <f t="shared" si="9"/>
        <v>2.7E-2</v>
      </c>
      <c r="H39" s="564">
        <f t="shared" si="10"/>
        <v>8.6062499999999993</v>
      </c>
      <c r="I39" s="527">
        <f t="shared" si="6"/>
        <v>265.625</v>
      </c>
      <c r="J39" s="527"/>
      <c r="K39" s="462"/>
      <c r="L39" s="461"/>
    </row>
    <row r="40" spans="1:12">
      <c r="A40" s="462"/>
      <c r="B40" s="462"/>
      <c r="C40" s="528">
        <v>41820</v>
      </c>
      <c r="D40" s="563">
        <f t="shared" si="7"/>
        <v>265.625</v>
      </c>
      <c r="E40" s="563">
        <f t="shared" si="8"/>
        <v>53.125</v>
      </c>
      <c r="F40" s="527"/>
      <c r="G40" s="20">
        <f t="shared" si="9"/>
        <v>2.7E-2</v>
      </c>
      <c r="H40" s="564">
        <f t="shared" si="10"/>
        <v>7.171875</v>
      </c>
      <c r="I40" s="527">
        <f t="shared" si="6"/>
        <v>212.5</v>
      </c>
      <c r="J40" s="527"/>
      <c r="K40" s="462"/>
      <c r="L40" s="461"/>
    </row>
    <row r="41" spans="1:12">
      <c r="A41" s="462"/>
      <c r="B41" s="462"/>
      <c r="C41" s="528">
        <v>41912</v>
      </c>
      <c r="D41" s="563">
        <f t="shared" si="7"/>
        <v>212.5</v>
      </c>
      <c r="E41" s="563">
        <f t="shared" si="8"/>
        <v>53.125</v>
      </c>
      <c r="F41" s="527"/>
      <c r="G41" s="20">
        <f t="shared" si="9"/>
        <v>2.7E-2</v>
      </c>
      <c r="H41" s="564">
        <f t="shared" si="10"/>
        <v>5.7374999999999998</v>
      </c>
      <c r="I41" s="527">
        <f t="shared" si="6"/>
        <v>159.375</v>
      </c>
      <c r="J41" s="527"/>
      <c r="K41" s="462"/>
      <c r="L41" s="461"/>
    </row>
    <row r="42" spans="1:12">
      <c r="A42" s="462"/>
      <c r="B42" s="462"/>
      <c r="C42" s="528">
        <v>42004</v>
      </c>
      <c r="D42" s="563">
        <f t="shared" si="7"/>
        <v>159.375</v>
      </c>
      <c r="E42" s="563">
        <f t="shared" si="8"/>
        <v>53.125</v>
      </c>
      <c r="F42" s="527"/>
      <c r="G42" s="20">
        <f t="shared" si="9"/>
        <v>2.7E-2</v>
      </c>
      <c r="H42" s="564">
        <f t="shared" si="10"/>
        <v>4.3031249999999996</v>
      </c>
      <c r="I42" s="527">
        <f t="shared" si="6"/>
        <v>106.25</v>
      </c>
      <c r="J42" s="527"/>
      <c r="K42" s="462"/>
      <c r="L42" s="461"/>
    </row>
    <row r="43" spans="1:12">
      <c r="A43" s="462"/>
      <c r="B43" s="462"/>
      <c r="C43" s="528">
        <v>42094</v>
      </c>
      <c r="D43" s="563">
        <f t="shared" si="7"/>
        <v>106.25</v>
      </c>
      <c r="E43" s="563">
        <f t="shared" si="8"/>
        <v>53.125</v>
      </c>
      <c r="F43" s="527"/>
      <c r="G43" s="20">
        <f t="shared" si="9"/>
        <v>2.7E-2</v>
      </c>
      <c r="H43" s="564">
        <f t="shared" si="10"/>
        <v>2.8687499999999999</v>
      </c>
      <c r="I43" s="527">
        <f t="shared" si="6"/>
        <v>53.125</v>
      </c>
      <c r="J43" s="527"/>
      <c r="K43" s="462"/>
      <c r="L43" s="461"/>
    </row>
    <row r="44" spans="1:12">
      <c r="A44" s="462"/>
      <c r="B44" s="462"/>
      <c r="C44" s="528">
        <v>42185</v>
      </c>
      <c r="D44" s="563">
        <f t="shared" si="7"/>
        <v>53.125</v>
      </c>
      <c r="E44" s="563">
        <f t="shared" si="8"/>
        <v>53.125</v>
      </c>
      <c r="F44" s="527"/>
      <c r="G44" s="20">
        <f t="shared" si="9"/>
        <v>2.7E-2</v>
      </c>
      <c r="H44" s="564">
        <f t="shared" si="10"/>
        <v>1.434375</v>
      </c>
      <c r="I44" s="527">
        <f t="shared" si="6"/>
        <v>0</v>
      </c>
      <c r="J44" s="527"/>
      <c r="K44" s="462"/>
      <c r="L44" s="461"/>
    </row>
    <row r="45" spans="1:12">
      <c r="A45" s="462"/>
      <c r="B45" s="462"/>
      <c r="C45" s="528">
        <v>42277</v>
      </c>
      <c r="D45" s="563">
        <f t="shared" si="7"/>
        <v>0</v>
      </c>
      <c r="E45" s="563">
        <v>0</v>
      </c>
      <c r="F45" s="527"/>
      <c r="G45" s="20">
        <f t="shared" si="9"/>
        <v>2.7E-2</v>
      </c>
      <c r="H45" s="564">
        <f t="shared" si="10"/>
        <v>0</v>
      </c>
      <c r="I45" s="527">
        <f t="shared" si="6"/>
        <v>0</v>
      </c>
      <c r="J45" s="527"/>
      <c r="K45" s="462"/>
      <c r="L45" s="461"/>
    </row>
    <row r="46" spans="1:12">
      <c r="A46" s="462"/>
      <c r="B46" s="462"/>
      <c r="C46" s="528">
        <v>42369</v>
      </c>
      <c r="D46" s="563">
        <f t="shared" si="7"/>
        <v>0</v>
      </c>
      <c r="E46" s="563">
        <v>0</v>
      </c>
      <c r="F46" s="527"/>
      <c r="G46" s="20">
        <f t="shared" si="9"/>
        <v>2.7E-2</v>
      </c>
      <c r="H46" s="564">
        <f t="shared" si="10"/>
        <v>0</v>
      </c>
      <c r="I46" s="527">
        <f t="shared" si="6"/>
        <v>0</v>
      </c>
      <c r="J46" s="527"/>
      <c r="K46" s="462"/>
      <c r="L46" s="461"/>
    </row>
    <row r="47" spans="1:12">
      <c r="A47" s="462"/>
      <c r="B47" s="462"/>
      <c r="C47" s="528">
        <v>42460</v>
      </c>
      <c r="D47" s="563">
        <f t="shared" si="7"/>
        <v>0</v>
      </c>
      <c r="E47" s="563">
        <v>0</v>
      </c>
      <c r="F47" s="527"/>
      <c r="G47" s="20">
        <f t="shared" si="9"/>
        <v>2.7E-2</v>
      </c>
      <c r="H47" s="564">
        <f t="shared" si="10"/>
        <v>0</v>
      </c>
      <c r="I47" s="527">
        <f t="shared" si="6"/>
        <v>0</v>
      </c>
      <c r="J47" s="527"/>
      <c r="K47" s="462"/>
      <c r="L47" s="461"/>
    </row>
    <row r="48" spans="1:12">
      <c r="A48" s="462"/>
      <c r="B48" s="462"/>
      <c r="C48" s="528">
        <v>42551</v>
      </c>
      <c r="D48" s="563">
        <f t="shared" si="7"/>
        <v>0</v>
      </c>
      <c r="E48" s="563">
        <v>0</v>
      </c>
      <c r="F48" s="527"/>
      <c r="G48" s="20">
        <f t="shared" si="9"/>
        <v>2.7E-2</v>
      </c>
      <c r="H48" s="564">
        <f t="shared" si="10"/>
        <v>0</v>
      </c>
      <c r="I48" s="527">
        <f t="shared" si="6"/>
        <v>0</v>
      </c>
      <c r="J48" s="527"/>
      <c r="K48" s="462"/>
      <c r="L48" s="461"/>
    </row>
    <row r="49" spans="1:12">
      <c r="A49" s="462"/>
      <c r="B49" s="462"/>
      <c r="C49" s="528"/>
      <c r="D49" s="563"/>
      <c r="E49" s="563"/>
      <c r="F49" s="527"/>
      <c r="G49" s="20"/>
      <c r="H49" s="564"/>
      <c r="I49" s="527"/>
      <c r="J49" s="527"/>
      <c r="K49" s="462"/>
      <c r="L49" s="461"/>
    </row>
    <row r="50" spans="1:12">
      <c r="A50" s="462"/>
      <c r="B50" s="462"/>
      <c r="C50" s="528"/>
      <c r="D50" s="563"/>
      <c r="E50" s="563"/>
      <c r="F50" s="527"/>
      <c r="G50" s="20"/>
      <c r="H50" s="564"/>
      <c r="I50" s="565"/>
      <c r="J50" s="565"/>
      <c r="K50" s="462"/>
      <c r="L50" s="461"/>
    </row>
    <row r="51" spans="1:12">
      <c r="A51" s="461"/>
      <c r="B51" s="461"/>
      <c r="C51" s="461"/>
      <c r="D51" s="461"/>
      <c r="E51" s="461"/>
      <c r="F51" s="461"/>
      <c r="G51" s="461"/>
      <c r="H51" s="461"/>
      <c r="I51" s="461"/>
      <c r="J51" s="461"/>
      <c r="K51" s="461"/>
      <c r="L51" s="461"/>
    </row>
    <row r="52" spans="1:12">
      <c r="A52" s="520" t="s">
        <v>682</v>
      </c>
      <c r="B52" s="521"/>
      <c r="C52" s="521"/>
      <c r="D52" s="521"/>
      <c r="E52" s="521"/>
      <c r="F52" s="521"/>
      <c r="G52" s="521"/>
      <c r="H52" s="521"/>
      <c r="I52" s="521"/>
      <c r="J52" s="521"/>
      <c r="K52" s="521"/>
      <c r="L52" s="461"/>
    </row>
    <row r="53" spans="1:12">
      <c r="A53" s="521" t="s">
        <v>544</v>
      </c>
      <c r="B53" s="521">
        <v>183.333</v>
      </c>
      <c r="C53" s="521"/>
      <c r="D53" s="521"/>
      <c r="E53" s="521"/>
      <c r="F53" s="521"/>
      <c r="G53" s="521"/>
      <c r="H53" s="521"/>
      <c r="I53" s="521"/>
      <c r="J53" s="521"/>
      <c r="K53" s="521"/>
      <c r="L53" s="461"/>
    </row>
    <row r="54" spans="1:12">
      <c r="A54" s="521" t="s">
        <v>545</v>
      </c>
      <c r="B54" s="521">
        <v>11</v>
      </c>
      <c r="C54" s="521"/>
      <c r="D54" s="521"/>
      <c r="E54" s="521"/>
      <c r="F54" s="521"/>
      <c r="G54" s="521"/>
      <c r="H54" s="521"/>
      <c r="I54" s="521"/>
      <c r="J54" s="521"/>
      <c r="K54" s="521"/>
      <c r="L54" s="461"/>
    </row>
    <row r="55" spans="1:12">
      <c r="A55" s="521" t="s">
        <v>546</v>
      </c>
      <c r="B55" s="521">
        <v>4</v>
      </c>
      <c r="C55" s="521"/>
      <c r="D55" s="521"/>
      <c r="E55" s="521"/>
      <c r="F55" s="521"/>
      <c r="G55" s="521"/>
      <c r="H55" s="521"/>
      <c r="I55" s="521"/>
      <c r="J55" s="521"/>
      <c r="K55" s="521"/>
      <c r="L55" s="461"/>
    </row>
    <row r="56" spans="1:12">
      <c r="A56" s="521" t="s">
        <v>213</v>
      </c>
      <c r="B56" s="523">
        <f>10%+1.1%</f>
        <v>0.111</v>
      </c>
      <c r="C56" s="521"/>
      <c r="D56" s="521"/>
      <c r="E56" s="521"/>
      <c r="F56" s="521"/>
      <c r="G56" s="521"/>
      <c r="H56" s="521"/>
      <c r="I56" s="521"/>
      <c r="J56" s="521"/>
      <c r="K56" s="521"/>
      <c r="L56" s="461"/>
    </row>
    <row r="57" spans="1:12">
      <c r="A57" s="521" t="s">
        <v>547</v>
      </c>
      <c r="B57" s="527">
        <f>B53/B54</f>
        <v>16.666636363636364</v>
      </c>
      <c r="C57" s="521"/>
      <c r="D57" s="521"/>
      <c r="E57" s="521"/>
      <c r="F57" s="521"/>
      <c r="G57" s="521"/>
      <c r="H57" s="521"/>
      <c r="I57" s="521"/>
      <c r="J57" s="521"/>
      <c r="K57" s="521"/>
      <c r="L57" s="461"/>
    </row>
    <row r="58" spans="1:12">
      <c r="A58" s="521"/>
      <c r="B58" s="521"/>
      <c r="C58" s="520" t="s">
        <v>217</v>
      </c>
      <c r="D58" s="525" t="s">
        <v>318</v>
      </c>
      <c r="E58" s="525" t="s">
        <v>547</v>
      </c>
      <c r="F58" s="525" t="s">
        <v>548</v>
      </c>
      <c r="G58" s="525" t="s">
        <v>2</v>
      </c>
      <c r="H58" s="525" t="s">
        <v>216</v>
      </c>
      <c r="I58" s="525" t="s">
        <v>318</v>
      </c>
      <c r="J58" s="520"/>
      <c r="K58" s="521"/>
      <c r="L58" s="461"/>
    </row>
    <row r="59" spans="1:12">
      <c r="A59" s="521"/>
      <c r="B59" s="521"/>
      <c r="C59" s="528">
        <v>41122</v>
      </c>
      <c r="D59" s="524">
        <f>B53</f>
        <v>183.333</v>
      </c>
      <c r="E59" s="563">
        <f>$B$57</f>
        <v>16.666636363636364</v>
      </c>
      <c r="F59" s="527"/>
      <c r="G59" s="20">
        <f>$B$56/$B$55</f>
        <v>2.775E-2</v>
      </c>
      <c r="H59" s="564">
        <f>D59*G59</f>
        <v>5.0874907499999997</v>
      </c>
      <c r="I59" s="527">
        <f>D59-E59</f>
        <v>166.66636363636363</v>
      </c>
      <c r="J59" s="527"/>
      <c r="K59" s="521"/>
      <c r="L59" s="461"/>
    </row>
    <row r="60" spans="1:12">
      <c r="A60" s="521"/>
      <c r="B60" s="521"/>
      <c r="C60" s="528">
        <v>41214</v>
      </c>
      <c r="D60" s="563">
        <f>I59</f>
        <v>166.66636363636363</v>
      </c>
      <c r="E60" s="563">
        <f>$B$57</f>
        <v>16.666636363636364</v>
      </c>
      <c r="F60" s="527"/>
      <c r="G60" s="20">
        <f>$B$56/$B$55</f>
        <v>2.775E-2</v>
      </c>
      <c r="H60" s="564">
        <f>D60*G60</f>
        <v>4.6249915909090911</v>
      </c>
      <c r="I60" s="527">
        <f t="shared" ref="I60:I69" si="11">D60-E60</f>
        <v>149.99972727272726</v>
      </c>
      <c r="J60" s="565"/>
      <c r="K60" s="521"/>
      <c r="L60" s="461"/>
    </row>
    <row r="61" spans="1:12">
      <c r="A61" s="521"/>
      <c r="B61" s="521"/>
      <c r="C61" s="528">
        <v>41306</v>
      </c>
      <c r="D61" s="563">
        <f t="shared" ref="D61:D69" si="12">I60</f>
        <v>149.99972727272726</v>
      </c>
      <c r="E61" s="563">
        <f t="shared" ref="E61:E69" si="13">$B$57</f>
        <v>16.666636363636364</v>
      </c>
      <c r="F61" s="527"/>
      <c r="G61" s="20">
        <f t="shared" ref="G61:G69" si="14">$B$56/$B$55</f>
        <v>2.775E-2</v>
      </c>
      <c r="H61" s="564">
        <f t="shared" ref="H61:H69" si="15">D61*G61</f>
        <v>4.1624924318181815</v>
      </c>
      <c r="I61" s="527">
        <f t="shared" si="11"/>
        <v>133.33309090909088</v>
      </c>
      <c r="J61" s="565"/>
      <c r="K61" s="521"/>
      <c r="L61" s="461"/>
    </row>
    <row r="62" spans="1:12">
      <c r="A62" s="521"/>
      <c r="B62" s="521"/>
      <c r="C62" s="528">
        <v>41395</v>
      </c>
      <c r="D62" s="563">
        <f t="shared" si="12"/>
        <v>133.33309090909088</v>
      </c>
      <c r="E62" s="563">
        <f t="shared" si="13"/>
        <v>16.666636363636364</v>
      </c>
      <c r="F62" s="527"/>
      <c r="G62" s="20">
        <f t="shared" si="14"/>
        <v>2.775E-2</v>
      </c>
      <c r="H62" s="564">
        <f t="shared" si="15"/>
        <v>3.699993272727272</v>
      </c>
      <c r="I62" s="527">
        <f t="shared" si="11"/>
        <v>116.66645454545451</v>
      </c>
      <c r="J62" s="565"/>
      <c r="K62" s="521"/>
      <c r="L62" s="461"/>
    </row>
    <row r="63" spans="1:12">
      <c r="A63" s="521"/>
      <c r="B63" s="521"/>
      <c r="C63" s="528">
        <v>41487</v>
      </c>
      <c r="D63" s="563">
        <f t="shared" si="12"/>
        <v>116.66645454545451</v>
      </c>
      <c r="E63" s="563">
        <f t="shared" si="13"/>
        <v>16.666636363636364</v>
      </c>
      <c r="F63" s="527"/>
      <c r="G63" s="20">
        <f t="shared" si="14"/>
        <v>2.775E-2</v>
      </c>
      <c r="H63" s="564">
        <f t="shared" si="15"/>
        <v>3.2374941136363629</v>
      </c>
      <c r="I63" s="527">
        <f t="shared" si="11"/>
        <v>99.999818181818142</v>
      </c>
      <c r="J63" s="565"/>
      <c r="K63" s="521"/>
      <c r="L63" s="461"/>
    </row>
    <row r="64" spans="1:12">
      <c r="A64" s="521"/>
      <c r="B64" s="521"/>
      <c r="C64" s="528">
        <v>41579</v>
      </c>
      <c r="D64" s="563">
        <f t="shared" si="12"/>
        <v>99.999818181818142</v>
      </c>
      <c r="E64" s="563">
        <f t="shared" si="13"/>
        <v>16.666636363636364</v>
      </c>
      <c r="F64" s="527"/>
      <c r="G64" s="20">
        <f t="shared" si="14"/>
        <v>2.775E-2</v>
      </c>
      <c r="H64" s="564">
        <f t="shared" si="15"/>
        <v>2.7749949545454533</v>
      </c>
      <c r="I64" s="527">
        <f t="shared" si="11"/>
        <v>83.333181818181771</v>
      </c>
      <c r="J64" s="565"/>
      <c r="K64" s="521"/>
      <c r="L64" s="461"/>
    </row>
    <row r="65" spans="1:12">
      <c r="A65" s="521"/>
      <c r="B65" s="521"/>
      <c r="C65" s="528">
        <v>41671</v>
      </c>
      <c r="D65" s="563">
        <f t="shared" si="12"/>
        <v>83.333181818181771</v>
      </c>
      <c r="E65" s="563">
        <f t="shared" si="13"/>
        <v>16.666636363636364</v>
      </c>
      <c r="F65" s="527"/>
      <c r="G65" s="20">
        <f t="shared" si="14"/>
        <v>2.775E-2</v>
      </c>
      <c r="H65" s="564">
        <f t="shared" si="15"/>
        <v>2.3124957954545442</v>
      </c>
      <c r="I65" s="527">
        <f t="shared" si="11"/>
        <v>66.6665454545454</v>
      </c>
      <c r="J65" s="565"/>
      <c r="K65" s="521"/>
      <c r="L65" s="461"/>
    </row>
    <row r="66" spans="1:12">
      <c r="A66" s="521"/>
      <c r="B66" s="521"/>
      <c r="C66" s="528">
        <v>41760</v>
      </c>
      <c r="D66" s="563">
        <f t="shared" si="12"/>
        <v>66.6665454545454</v>
      </c>
      <c r="E66" s="563">
        <f t="shared" si="13"/>
        <v>16.666636363636364</v>
      </c>
      <c r="F66" s="527"/>
      <c r="G66" s="20">
        <f t="shared" si="14"/>
        <v>2.775E-2</v>
      </c>
      <c r="H66" s="564">
        <f t="shared" si="15"/>
        <v>1.8499966363636349</v>
      </c>
      <c r="I66" s="527">
        <f t="shared" si="11"/>
        <v>49.999909090909036</v>
      </c>
      <c r="J66" s="565"/>
      <c r="K66" s="521"/>
      <c r="L66" s="461"/>
    </row>
    <row r="67" spans="1:12">
      <c r="A67" s="521"/>
      <c r="B67" s="521"/>
      <c r="C67" s="528">
        <v>41852</v>
      </c>
      <c r="D67" s="563">
        <f t="shared" si="12"/>
        <v>49.999909090909036</v>
      </c>
      <c r="E67" s="563">
        <f t="shared" si="13"/>
        <v>16.666636363636364</v>
      </c>
      <c r="F67" s="527"/>
      <c r="G67" s="20">
        <f t="shared" si="14"/>
        <v>2.775E-2</v>
      </c>
      <c r="H67" s="564">
        <f t="shared" si="15"/>
        <v>1.3874974772727258</v>
      </c>
      <c r="I67" s="527">
        <f t="shared" si="11"/>
        <v>33.333272727272671</v>
      </c>
      <c r="J67" s="565"/>
      <c r="K67" s="521"/>
      <c r="L67" s="461"/>
    </row>
    <row r="68" spans="1:12">
      <c r="A68" s="521"/>
      <c r="B68" s="521"/>
      <c r="C68" s="528">
        <v>41944</v>
      </c>
      <c r="D68" s="563">
        <f t="shared" si="12"/>
        <v>33.333272727272671</v>
      </c>
      <c r="E68" s="563">
        <f t="shared" si="13"/>
        <v>16.666636363636364</v>
      </c>
      <c r="F68" s="527"/>
      <c r="G68" s="20">
        <f t="shared" si="14"/>
        <v>2.775E-2</v>
      </c>
      <c r="H68" s="564">
        <f t="shared" si="15"/>
        <v>0.92499831818181666</v>
      </c>
      <c r="I68" s="527">
        <f t="shared" si="11"/>
        <v>16.666636363636307</v>
      </c>
      <c r="J68" s="565"/>
      <c r="K68" s="521"/>
      <c r="L68" s="461"/>
    </row>
    <row r="69" spans="1:12">
      <c r="A69" s="521"/>
      <c r="B69" s="521"/>
      <c r="C69" s="528">
        <v>42036</v>
      </c>
      <c r="D69" s="563">
        <f t="shared" si="12"/>
        <v>16.666636363636307</v>
      </c>
      <c r="E69" s="563">
        <f t="shared" si="13"/>
        <v>16.666636363636364</v>
      </c>
      <c r="F69" s="527"/>
      <c r="G69" s="20">
        <f t="shared" si="14"/>
        <v>2.775E-2</v>
      </c>
      <c r="H69" s="564">
        <f t="shared" si="15"/>
        <v>0.46249915909090755</v>
      </c>
      <c r="I69" s="527">
        <f t="shared" si="11"/>
        <v>-5.6843418860808015E-14</v>
      </c>
      <c r="J69" s="565"/>
      <c r="K69" s="521"/>
      <c r="L69" s="461"/>
    </row>
    <row r="70" spans="1:12">
      <c r="A70" s="461"/>
      <c r="B70" s="461"/>
      <c r="C70" s="461"/>
      <c r="D70" s="461"/>
      <c r="E70" s="461"/>
      <c r="F70" s="461"/>
      <c r="G70" s="461"/>
      <c r="H70" s="461"/>
      <c r="I70" s="461"/>
      <c r="J70" s="461"/>
      <c r="K70" s="461"/>
      <c r="L70" s="461"/>
    </row>
    <row r="71" spans="1:12">
      <c r="A71" s="520" t="s">
        <v>682</v>
      </c>
      <c r="B71" s="521"/>
      <c r="C71" s="521"/>
      <c r="D71" s="521"/>
      <c r="E71" s="521"/>
      <c r="F71" s="521"/>
      <c r="G71" s="521"/>
      <c r="H71" s="521"/>
      <c r="I71" s="521"/>
      <c r="J71" s="521"/>
      <c r="K71" s="521"/>
      <c r="L71" s="461"/>
    </row>
    <row r="72" spans="1:12">
      <c r="A72" s="521" t="s">
        <v>544</v>
      </c>
      <c r="B72" s="521">
        <v>720</v>
      </c>
      <c r="C72" s="521"/>
      <c r="D72" s="521"/>
      <c r="E72" s="521"/>
      <c r="F72" s="521"/>
      <c r="G72" s="521"/>
      <c r="H72" s="521"/>
      <c r="I72" s="521"/>
      <c r="J72" s="521"/>
      <c r="K72" s="521"/>
      <c r="L72" s="461"/>
    </row>
    <row r="73" spans="1:12">
      <c r="A73" s="521" t="s">
        <v>545</v>
      </c>
      <c r="B73" s="521">
        <v>18</v>
      </c>
      <c r="C73" s="521"/>
      <c r="D73" s="521"/>
      <c r="E73" s="521"/>
      <c r="F73" s="521"/>
      <c r="G73" s="521"/>
      <c r="H73" s="521"/>
      <c r="I73" s="521"/>
      <c r="J73" s="521"/>
      <c r="K73" s="521"/>
      <c r="L73" s="461"/>
    </row>
    <row r="74" spans="1:12">
      <c r="A74" s="521" t="s">
        <v>546</v>
      </c>
      <c r="B74" s="521">
        <v>4</v>
      </c>
      <c r="C74" s="521"/>
      <c r="D74" s="521"/>
      <c r="E74" s="521"/>
      <c r="F74" s="521"/>
      <c r="G74" s="521"/>
      <c r="H74" s="521"/>
      <c r="I74" s="521"/>
      <c r="J74" s="521"/>
      <c r="K74" s="521"/>
      <c r="L74" s="461"/>
    </row>
    <row r="75" spans="1:12">
      <c r="A75" s="521" t="s">
        <v>213</v>
      </c>
      <c r="B75" s="523">
        <f>10.1%+0.5%</f>
        <v>0.106</v>
      </c>
      <c r="C75" s="521"/>
      <c r="D75" s="521"/>
      <c r="E75" s="521"/>
      <c r="F75" s="521"/>
      <c r="G75" s="521"/>
      <c r="H75" s="521"/>
      <c r="I75" s="521"/>
      <c r="J75" s="521"/>
      <c r="K75" s="521"/>
      <c r="L75" s="461"/>
    </row>
    <row r="76" spans="1:12">
      <c r="A76" s="521" t="s">
        <v>547</v>
      </c>
      <c r="B76" s="527">
        <f>B72/B73</f>
        <v>40</v>
      </c>
      <c r="C76" s="521"/>
      <c r="D76" s="521"/>
      <c r="E76" s="521"/>
      <c r="F76" s="521"/>
      <c r="G76" s="521"/>
      <c r="H76" s="521"/>
      <c r="I76" s="521"/>
      <c r="J76" s="521"/>
      <c r="K76" s="521"/>
      <c r="L76" s="461"/>
    </row>
    <row r="77" spans="1:12">
      <c r="A77" s="521"/>
      <c r="B77" s="521"/>
      <c r="C77" s="520" t="s">
        <v>217</v>
      </c>
      <c r="D77" s="525" t="s">
        <v>318</v>
      </c>
      <c r="E77" s="525" t="s">
        <v>547</v>
      </c>
      <c r="F77" s="525" t="s">
        <v>548</v>
      </c>
      <c r="G77" s="525" t="s">
        <v>2</v>
      </c>
      <c r="H77" s="525" t="s">
        <v>216</v>
      </c>
      <c r="I77" s="525" t="s">
        <v>318</v>
      </c>
      <c r="J77" s="520"/>
      <c r="K77" s="521"/>
      <c r="L77" s="461"/>
    </row>
    <row r="78" spans="1:12">
      <c r="A78" s="521"/>
      <c r="B78" s="521"/>
      <c r="C78" s="528">
        <v>41547</v>
      </c>
      <c r="D78" s="524">
        <f>B72</f>
        <v>720</v>
      </c>
      <c r="E78" s="563">
        <f>B76</f>
        <v>40</v>
      </c>
      <c r="F78" s="527"/>
      <c r="G78" s="20">
        <f>$B$56/$B$55</f>
        <v>2.775E-2</v>
      </c>
      <c r="H78" s="564">
        <f>D78*G78</f>
        <v>19.98</v>
      </c>
      <c r="I78" s="527">
        <f>D78-E78</f>
        <v>680</v>
      </c>
      <c r="J78" s="527"/>
      <c r="K78" s="521"/>
      <c r="L78" s="461"/>
    </row>
    <row r="79" spans="1:12">
      <c r="A79" s="521"/>
      <c r="B79" s="521"/>
      <c r="C79" s="528">
        <v>41639</v>
      </c>
      <c r="D79" s="563">
        <f>I78</f>
        <v>680</v>
      </c>
      <c r="E79" s="563">
        <f>E78</f>
        <v>40</v>
      </c>
      <c r="F79" s="527"/>
      <c r="G79" s="20">
        <f>$B$56/$B$55</f>
        <v>2.775E-2</v>
      </c>
      <c r="H79" s="564">
        <f>D79*G79</f>
        <v>18.87</v>
      </c>
      <c r="I79" s="527">
        <f t="shared" ref="I79:I95" si="16">D79-E79</f>
        <v>640</v>
      </c>
      <c r="J79" s="565"/>
      <c r="K79" s="521"/>
      <c r="L79" s="461"/>
    </row>
    <row r="80" spans="1:12">
      <c r="A80" s="521"/>
      <c r="B80" s="521"/>
      <c r="C80" s="528">
        <v>41729</v>
      </c>
      <c r="D80" s="563">
        <f t="shared" ref="D80:D95" si="17">I79</f>
        <v>640</v>
      </c>
      <c r="E80" s="563">
        <f t="shared" ref="E80:E95" si="18">E79</f>
        <v>40</v>
      </c>
      <c r="F80" s="527"/>
      <c r="G80" s="20">
        <f t="shared" ref="G80:G95" si="19">$B$56/$B$55</f>
        <v>2.775E-2</v>
      </c>
      <c r="H80" s="564">
        <f t="shared" ref="H80:H95" si="20">D80*G80</f>
        <v>17.760000000000002</v>
      </c>
      <c r="I80" s="527">
        <f t="shared" si="16"/>
        <v>600</v>
      </c>
      <c r="J80" s="565"/>
      <c r="K80" s="521"/>
      <c r="L80" s="461"/>
    </row>
    <row r="81" spans="1:12">
      <c r="A81" s="521"/>
      <c r="B81" s="521"/>
      <c r="C81" s="528">
        <v>41820</v>
      </c>
      <c r="D81" s="563">
        <f t="shared" si="17"/>
        <v>600</v>
      </c>
      <c r="E81" s="563">
        <f t="shared" si="18"/>
        <v>40</v>
      </c>
      <c r="F81" s="527"/>
      <c r="G81" s="20">
        <f t="shared" si="19"/>
        <v>2.775E-2</v>
      </c>
      <c r="H81" s="564">
        <f t="shared" si="20"/>
        <v>16.649999999999999</v>
      </c>
      <c r="I81" s="527">
        <f t="shared" si="16"/>
        <v>560</v>
      </c>
      <c r="J81" s="565"/>
      <c r="K81" s="521"/>
      <c r="L81" s="461"/>
    </row>
    <row r="82" spans="1:12">
      <c r="A82" s="521"/>
      <c r="B82" s="521"/>
      <c r="C82" s="528">
        <v>41912</v>
      </c>
      <c r="D82" s="563">
        <f t="shared" si="17"/>
        <v>560</v>
      </c>
      <c r="E82" s="563">
        <f t="shared" si="18"/>
        <v>40</v>
      </c>
      <c r="F82" s="527"/>
      <c r="G82" s="20">
        <f t="shared" si="19"/>
        <v>2.775E-2</v>
      </c>
      <c r="H82" s="564">
        <f t="shared" si="20"/>
        <v>15.540000000000001</v>
      </c>
      <c r="I82" s="527">
        <f t="shared" si="16"/>
        <v>520</v>
      </c>
      <c r="J82" s="565"/>
      <c r="K82" s="521"/>
      <c r="L82" s="461"/>
    </row>
    <row r="83" spans="1:12">
      <c r="A83" s="521"/>
      <c r="B83" s="521"/>
      <c r="C83" s="528">
        <v>42004</v>
      </c>
      <c r="D83" s="563">
        <f t="shared" si="17"/>
        <v>520</v>
      </c>
      <c r="E83" s="563">
        <f t="shared" si="18"/>
        <v>40</v>
      </c>
      <c r="F83" s="527"/>
      <c r="G83" s="20">
        <f t="shared" si="19"/>
        <v>2.775E-2</v>
      </c>
      <c r="H83" s="564">
        <f t="shared" si="20"/>
        <v>14.43</v>
      </c>
      <c r="I83" s="527">
        <f t="shared" si="16"/>
        <v>480</v>
      </c>
      <c r="J83" s="565"/>
      <c r="K83" s="521"/>
      <c r="L83" s="461"/>
    </row>
    <row r="84" spans="1:12">
      <c r="A84" s="521"/>
      <c r="B84" s="521"/>
      <c r="C84" s="528">
        <v>42094</v>
      </c>
      <c r="D84" s="563">
        <f t="shared" si="17"/>
        <v>480</v>
      </c>
      <c r="E84" s="563">
        <f t="shared" si="18"/>
        <v>40</v>
      </c>
      <c r="F84" s="527"/>
      <c r="G84" s="20">
        <f t="shared" si="19"/>
        <v>2.775E-2</v>
      </c>
      <c r="H84" s="564">
        <f t="shared" si="20"/>
        <v>13.32</v>
      </c>
      <c r="I84" s="527">
        <f t="shared" si="16"/>
        <v>440</v>
      </c>
      <c r="J84" s="565"/>
      <c r="K84" s="521"/>
      <c r="L84" s="461"/>
    </row>
    <row r="85" spans="1:12">
      <c r="A85" s="521"/>
      <c r="B85" s="521"/>
      <c r="C85" s="528">
        <v>42185</v>
      </c>
      <c r="D85" s="563">
        <f t="shared" si="17"/>
        <v>440</v>
      </c>
      <c r="E85" s="563">
        <f t="shared" si="18"/>
        <v>40</v>
      </c>
      <c r="F85" s="527"/>
      <c r="G85" s="20">
        <f t="shared" si="19"/>
        <v>2.775E-2</v>
      </c>
      <c r="H85" s="564">
        <f t="shared" si="20"/>
        <v>12.21</v>
      </c>
      <c r="I85" s="527">
        <f t="shared" si="16"/>
        <v>400</v>
      </c>
      <c r="J85" s="565"/>
      <c r="K85" s="521"/>
      <c r="L85" s="461"/>
    </row>
    <row r="86" spans="1:12">
      <c r="A86" s="521"/>
      <c r="B86" s="521"/>
      <c r="C86" s="528">
        <v>42277</v>
      </c>
      <c r="D86" s="563">
        <f t="shared" si="17"/>
        <v>400</v>
      </c>
      <c r="E86" s="563">
        <f t="shared" si="18"/>
        <v>40</v>
      </c>
      <c r="F86" s="527"/>
      <c r="G86" s="20">
        <f t="shared" si="19"/>
        <v>2.775E-2</v>
      </c>
      <c r="H86" s="564">
        <f t="shared" si="20"/>
        <v>11.1</v>
      </c>
      <c r="I86" s="527">
        <f t="shared" si="16"/>
        <v>360</v>
      </c>
      <c r="J86" s="565"/>
      <c r="K86" s="521"/>
      <c r="L86" s="461"/>
    </row>
    <row r="87" spans="1:12">
      <c r="A87" s="521"/>
      <c r="B87" s="521"/>
      <c r="C87" s="528">
        <v>42369</v>
      </c>
      <c r="D87" s="563">
        <f t="shared" si="17"/>
        <v>360</v>
      </c>
      <c r="E87" s="563">
        <f t="shared" si="18"/>
        <v>40</v>
      </c>
      <c r="F87" s="527"/>
      <c r="G87" s="20">
        <f t="shared" si="19"/>
        <v>2.775E-2</v>
      </c>
      <c r="H87" s="564">
        <f t="shared" si="20"/>
        <v>9.99</v>
      </c>
      <c r="I87" s="527">
        <f t="shared" si="16"/>
        <v>320</v>
      </c>
      <c r="J87" s="565"/>
      <c r="K87" s="521"/>
      <c r="L87" s="461"/>
    </row>
    <row r="88" spans="1:12">
      <c r="A88" s="521"/>
      <c r="B88" s="521"/>
      <c r="C88" s="528">
        <v>42460</v>
      </c>
      <c r="D88" s="563">
        <f t="shared" si="17"/>
        <v>320</v>
      </c>
      <c r="E88" s="563">
        <f t="shared" si="18"/>
        <v>40</v>
      </c>
      <c r="F88" s="527"/>
      <c r="G88" s="20">
        <f t="shared" si="19"/>
        <v>2.775E-2</v>
      </c>
      <c r="H88" s="564">
        <f t="shared" si="20"/>
        <v>8.8800000000000008</v>
      </c>
      <c r="I88" s="527">
        <f t="shared" si="16"/>
        <v>280</v>
      </c>
      <c r="J88" s="565"/>
      <c r="K88" s="521"/>
      <c r="L88" s="461"/>
    </row>
    <row r="89" spans="1:12">
      <c r="A89" s="521"/>
      <c r="B89" s="521"/>
      <c r="C89" s="528">
        <v>42551</v>
      </c>
      <c r="D89" s="563">
        <f t="shared" si="17"/>
        <v>280</v>
      </c>
      <c r="E89" s="563">
        <f t="shared" si="18"/>
        <v>40</v>
      </c>
      <c r="F89" s="527"/>
      <c r="G89" s="20">
        <f t="shared" si="19"/>
        <v>2.775E-2</v>
      </c>
      <c r="H89" s="564">
        <f t="shared" si="20"/>
        <v>7.7700000000000005</v>
      </c>
      <c r="I89" s="527">
        <f t="shared" si="16"/>
        <v>240</v>
      </c>
      <c r="J89" s="565"/>
      <c r="K89" s="521"/>
      <c r="L89" s="461"/>
    </row>
    <row r="90" spans="1:12">
      <c r="A90" s="521"/>
      <c r="B90" s="521"/>
      <c r="C90" s="528">
        <v>42643</v>
      </c>
      <c r="D90" s="563">
        <f t="shared" si="17"/>
        <v>240</v>
      </c>
      <c r="E90" s="563">
        <f t="shared" si="18"/>
        <v>40</v>
      </c>
      <c r="F90" s="527"/>
      <c r="G90" s="20">
        <f t="shared" si="19"/>
        <v>2.775E-2</v>
      </c>
      <c r="H90" s="564">
        <f t="shared" si="20"/>
        <v>6.66</v>
      </c>
      <c r="I90" s="527">
        <f t="shared" si="16"/>
        <v>200</v>
      </c>
      <c r="J90" s="565"/>
      <c r="K90" s="521"/>
      <c r="L90" s="461"/>
    </row>
    <row r="91" spans="1:12">
      <c r="A91" s="521"/>
      <c r="B91" s="521"/>
      <c r="C91" s="528">
        <v>42735</v>
      </c>
      <c r="D91" s="563">
        <f t="shared" si="17"/>
        <v>200</v>
      </c>
      <c r="E91" s="563">
        <f t="shared" si="18"/>
        <v>40</v>
      </c>
      <c r="F91" s="527"/>
      <c r="G91" s="20">
        <f t="shared" si="19"/>
        <v>2.775E-2</v>
      </c>
      <c r="H91" s="564">
        <f t="shared" si="20"/>
        <v>5.55</v>
      </c>
      <c r="I91" s="527">
        <f t="shared" si="16"/>
        <v>160</v>
      </c>
      <c r="J91" s="565"/>
      <c r="K91" s="521"/>
      <c r="L91" s="461"/>
    </row>
    <row r="92" spans="1:12">
      <c r="A92" s="521"/>
      <c r="B92" s="521"/>
      <c r="C92" s="528">
        <v>42825</v>
      </c>
      <c r="D92" s="563">
        <f t="shared" si="17"/>
        <v>160</v>
      </c>
      <c r="E92" s="563">
        <f t="shared" si="18"/>
        <v>40</v>
      </c>
      <c r="F92" s="527"/>
      <c r="G92" s="20">
        <f t="shared" si="19"/>
        <v>2.775E-2</v>
      </c>
      <c r="H92" s="564">
        <f t="shared" si="20"/>
        <v>4.4400000000000004</v>
      </c>
      <c r="I92" s="527">
        <f t="shared" si="16"/>
        <v>120</v>
      </c>
      <c r="J92" s="565"/>
      <c r="K92" s="521"/>
      <c r="L92" s="461"/>
    </row>
    <row r="93" spans="1:12">
      <c r="A93" s="521"/>
      <c r="B93" s="521"/>
      <c r="C93" s="528">
        <v>42916</v>
      </c>
      <c r="D93" s="563">
        <f t="shared" si="17"/>
        <v>120</v>
      </c>
      <c r="E93" s="563">
        <f t="shared" si="18"/>
        <v>40</v>
      </c>
      <c r="F93" s="527"/>
      <c r="G93" s="20">
        <f t="shared" si="19"/>
        <v>2.775E-2</v>
      </c>
      <c r="H93" s="564">
        <f t="shared" si="20"/>
        <v>3.33</v>
      </c>
      <c r="I93" s="527">
        <f t="shared" si="16"/>
        <v>80</v>
      </c>
      <c r="J93" s="565"/>
      <c r="K93" s="521"/>
      <c r="L93" s="461"/>
    </row>
    <row r="94" spans="1:12">
      <c r="A94" s="521"/>
      <c r="B94" s="521"/>
      <c r="C94" s="528">
        <v>43008</v>
      </c>
      <c r="D94" s="563">
        <f t="shared" si="17"/>
        <v>80</v>
      </c>
      <c r="E94" s="563">
        <f t="shared" si="18"/>
        <v>40</v>
      </c>
      <c r="F94" s="527"/>
      <c r="G94" s="20">
        <f t="shared" si="19"/>
        <v>2.775E-2</v>
      </c>
      <c r="H94" s="564">
        <f t="shared" si="20"/>
        <v>2.2200000000000002</v>
      </c>
      <c r="I94" s="527">
        <f t="shared" si="16"/>
        <v>40</v>
      </c>
      <c r="J94" s="565"/>
      <c r="K94" s="521"/>
      <c r="L94" s="461"/>
    </row>
    <row r="95" spans="1:12">
      <c r="A95" s="521"/>
      <c r="B95" s="521"/>
      <c r="C95" s="528">
        <v>43100</v>
      </c>
      <c r="D95" s="563">
        <f t="shared" si="17"/>
        <v>40</v>
      </c>
      <c r="E95" s="563">
        <f t="shared" si="18"/>
        <v>40</v>
      </c>
      <c r="F95" s="527"/>
      <c r="G95" s="20">
        <f t="shared" si="19"/>
        <v>2.775E-2</v>
      </c>
      <c r="H95" s="564">
        <f t="shared" si="20"/>
        <v>1.1100000000000001</v>
      </c>
      <c r="I95" s="527">
        <f t="shared" si="16"/>
        <v>0</v>
      </c>
      <c r="J95" s="565"/>
      <c r="K95" s="521"/>
      <c r="L95" s="461"/>
    </row>
    <row r="96" spans="1:12">
      <c r="A96" s="461"/>
      <c r="B96" s="461"/>
      <c r="C96" s="461"/>
      <c r="D96" s="461"/>
      <c r="E96" s="461"/>
      <c r="F96" s="461"/>
      <c r="G96" s="461"/>
      <c r="H96" s="461"/>
      <c r="I96" s="461"/>
      <c r="J96" s="461"/>
      <c r="K96" s="461"/>
      <c r="L96" s="461"/>
    </row>
    <row r="97" spans="1:12">
      <c r="A97" s="520" t="s">
        <v>683</v>
      </c>
      <c r="B97" s="521"/>
      <c r="C97" s="521"/>
      <c r="D97" s="521"/>
      <c r="E97" s="521"/>
      <c r="F97" s="521"/>
      <c r="G97" s="521"/>
      <c r="H97" s="521"/>
      <c r="I97" s="521"/>
      <c r="J97" s="521"/>
      <c r="K97" s="521"/>
      <c r="L97" s="461"/>
    </row>
    <row r="98" spans="1:12">
      <c r="A98" s="521" t="s">
        <v>544</v>
      </c>
      <c r="B98" s="521">
        <v>431.25</v>
      </c>
      <c r="C98" s="521"/>
      <c r="D98" s="521"/>
      <c r="E98" s="521"/>
      <c r="F98" s="521"/>
      <c r="G98" s="521"/>
      <c r="H98" s="521"/>
      <c r="I98" s="521"/>
      <c r="J98" s="521"/>
      <c r="K98" s="521"/>
      <c r="L98" s="461"/>
    </row>
    <row r="99" spans="1:12">
      <c r="A99" s="521" t="s">
        <v>545</v>
      </c>
      <c r="B99" s="521">
        <v>15</v>
      </c>
      <c r="C99" s="521"/>
      <c r="D99" s="521"/>
      <c r="E99" s="521"/>
      <c r="F99" s="521"/>
      <c r="G99" s="521"/>
      <c r="H99" s="521"/>
      <c r="I99" s="521"/>
      <c r="J99" s="521"/>
      <c r="K99" s="521"/>
      <c r="L99" s="461"/>
    </row>
    <row r="100" spans="1:12">
      <c r="A100" s="521" t="s">
        <v>546</v>
      </c>
      <c r="B100" s="521">
        <v>4</v>
      </c>
      <c r="C100" s="521"/>
      <c r="D100" s="521"/>
      <c r="E100" s="521"/>
      <c r="F100" s="521"/>
      <c r="G100" s="521"/>
      <c r="H100" s="521"/>
      <c r="I100" s="521"/>
      <c r="J100" s="521"/>
      <c r="K100" s="521"/>
      <c r="L100" s="461"/>
    </row>
    <row r="101" spans="1:12">
      <c r="A101" s="521" t="s">
        <v>213</v>
      </c>
      <c r="B101" s="523">
        <f>10%+0.6%</f>
        <v>0.10600000000000001</v>
      </c>
      <c r="C101" s="521"/>
      <c r="D101" s="521"/>
      <c r="E101" s="521"/>
      <c r="F101" s="521"/>
      <c r="G101" s="521"/>
      <c r="H101" s="521"/>
      <c r="I101" s="521"/>
      <c r="J101" s="521"/>
      <c r="K101" s="521"/>
      <c r="L101" s="461"/>
    </row>
    <row r="102" spans="1:12">
      <c r="A102" s="521" t="s">
        <v>547</v>
      </c>
      <c r="B102" s="527">
        <f>B98/B99</f>
        <v>28.75</v>
      </c>
      <c r="C102" s="521"/>
      <c r="D102" s="521"/>
      <c r="E102" s="521"/>
      <c r="F102" s="521"/>
      <c r="G102" s="521"/>
      <c r="H102" s="521"/>
      <c r="I102" s="521"/>
      <c r="J102" s="521"/>
      <c r="K102" s="521"/>
      <c r="L102" s="461"/>
    </row>
    <row r="103" spans="1:12">
      <c r="A103" s="521"/>
      <c r="B103" s="521"/>
      <c r="C103" s="520" t="s">
        <v>217</v>
      </c>
      <c r="D103" s="520" t="s">
        <v>318</v>
      </c>
      <c r="E103" s="520" t="s">
        <v>547</v>
      </c>
      <c r="F103" s="520" t="s">
        <v>548</v>
      </c>
      <c r="G103" s="520" t="s">
        <v>2</v>
      </c>
      <c r="H103" s="520" t="s">
        <v>216</v>
      </c>
      <c r="I103" s="520" t="s">
        <v>318</v>
      </c>
      <c r="J103" s="520"/>
      <c r="K103" s="521"/>
      <c r="L103" s="461"/>
    </row>
    <row r="104" spans="1:12">
      <c r="A104" s="521"/>
      <c r="B104" s="521"/>
      <c r="C104" s="528">
        <v>41091</v>
      </c>
      <c r="D104" s="524">
        <f>B98</f>
        <v>431.25</v>
      </c>
      <c r="E104" s="563">
        <f>$B$102</f>
        <v>28.75</v>
      </c>
      <c r="F104" s="527"/>
      <c r="G104" s="20">
        <f>$B$101/$B$100</f>
        <v>2.6500000000000003E-2</v>
      </c>
      <c r="H104" s="564">
        <f>D104*G104</f>
        <v>11.428125000000001</v>
      </c>
      <c r="I104" s="527">
        <f>D104-E104</f>
        <v>402.5</v>
      </c>
      <c r="J104" s="527"/>
      <c r="K104" s="521"/>
      <c r="L104" s="461"/>
    </row>
    <row r="105" spans="1:12">
      <c r="A105" s="521"/>
      <c r="B105" s="521"/>
      <c r="C105" s="528">
        <v>41183</v>
      </c>
      <c r="D105" s="563">
        <f>I104</f>
        <v>402.5</v>
      </c>
      <c r="E105" s="563">
        <f>$B$102</f>
        <v>28.75</v>
      </c>
      <c r="F105" s="527"/>
      <c r="G105" s="20">
        <f>$B$101/$B$100</f>
        <v>2.6500000000000003E-2</v>
      </c>
      <c r="H105" s="564">
        <f>D105*G105</f>
        <v>10.666250000000002</v>
      </c>
      <c r="I105" s="527">
        <f t="shared" ref="I105:I118" si="21">D105-E105</f>
        <v>373.75</v>
      </c>
      <c r="J105" s="565"/>
      <c r="K105" s="521"/>
      <c r="L105" s="461"/>
    </row>
    <row r="106" spans="1:12">
      <c r="A106" s="462"/>
      <c r="B106" s="462"/>
      <c r="C106" s="528">
        <v>41275</v>
      </c>
      <c r="D106" s="563">
        <f>I105</f>
        <v>373.75</v>
      </c>
      <c r="E106" s="563">
        <f>$B$102</f>
        <v>28.75</v>
      </c>
      <c r="F106" s="527"/>
      <c r="G106" s="20">
        <f>$B$101/$B$100</f>
        <v>2.6500000000000003E-2</v>
      </c>
      <c r="H106" s="564">
        <f>D106*G106</f>
        <v>9.9043750000000017</v>
      </c>
      <c r="I106" s="527">
        <f t="shared" si="21"/>
        <v>345</v>
      </c>
      <c r="J106" s="527"/>
      <c r="K106" s="462"/>
      <c r="L106" s="461"/>
    </row>
    <row r="107" spans="1:12">
      <c r="A107" s="462"/>
      <c r="B107" s="462"/>
      <c r="C107" s="528">
        <v>41365</v>
      </c>
      <c r="D107" s="563">
        <f>I106</f>
        <v>345</v>
      </c>
      <c r="E107" s="563">
        <f>$B$102</f>
        <v>28.75</v>
      </c>
      <c r="F107" s="527"/>
      <c r="G107" s="20">
        <f>$B$101/$B$100</f>
        <v>2.6500000000000003E-2</v>
      </c>
      <c r="H107" s="564">
        <f>D107*G107</f>
        <v>9.1425000000000001</v>
      </c>
      <c r="I107" s="527">
        <v>350</v>
      </c>
      <c r="J107" s="565"/>
      <c r="K107" s="462"/>
      <c r="L107" s="461"/>
    </row>
    <row r="108" spans="1:12">
      <c r="A108" s="462"/>
      <c r="B108" s="462"/>
      <c r="C108" s="528">
        <v>41456</v>
      </c>
      <c r="D108" s="563">
        <f t="shared" ref="D108:D118" si="22">I107</f>
        <v>350</v>
      </c>
      <c r="E108" s="563">
        <f>I107/11</f>
        <v>31.818181818181817</v>
      </c>
      <c r="F108" s="527"/>
      <c r="G108" s="20">
        <f t="shared" ref="G108:G118" si="23">$B$101/$B$100</f>
        <v>2.6500000000000003E-2</v>
      </c>
      <c r="H108" s="564">
        <f t="shared" ref="H108:H118" si="24">D108*G108</f>
        <v>9.2750000000000004</v>
      </c>
      <c r="I108" s="527">
        <f t="shared" si="21"/>
        <v>318.18181818181819</v>
      </c>
      <c r="J108" s="565"/>
      <c r="K108" s="462"/>
      <c r="L108" s="461"/>
    </row>
    <row r="109" spans="1:12">
      <c r="A109" s="462"/>
      <c r="B109" s="462"/>
      <c r="C109" s="528">
        <v>41548</v>
      </c>
      <c r="D109" s="563">
        <f t="shared" si="22"/>
        <v>318.18181818181819</v>
      </c>
      <c r="E109" s="563">
        <f>E108</f>
        <v>31.818181818181817</v>
      </c>
      <c r="F109" s="527"/>
      <c r="G109" s="20">
        <f t="shared" si="23"/>
        <v>2.6500000000000003E-2</v>
      </c>
      <c r="H109" s="564">
        <f t="shared" si="24"/>
        <v>8.4318181818181834</v>
      </c>
      <c r="I109" s="527">
        <f t="shared" si="21"/>
        <v>286.36363636363637</v>
      </c>
      <c r="J109" s="565"/>
      <c r="K109" s="462"/>
      <c r="L109" s="461"/>
    </row>
    <row r="110" spans="1:12">
      <c r="A110" s="462"/>
      <c r="B110" s="462"/>
      <c r="C110" s="528">
        <v>41640</v>
      </c>
      <c r="D110" s="563">
        <f t="shared" si="22"/>
        <v>286.36363636363637</v>
      </c>
      <c r="E110" s="563">
        <f t="shared" ref="E110:E118" si="25">E109</f>
        <v>31.818181818181817</v>
      </c>
      <c r="F110" s="527"/>
      <c r="G110" s="20">
        <f t="shared" si="23"/>
        <v>2.6500000000000003E-2</v>
      </c>
      <c r="H110" s="564">
        <f t="shared" si="24"/>
        <v>7.5886363636363647</v>
      </c>
      <c r="I110" s="527">
        <f t="shared" si="21"/>
        <v>254.54545454545456</v>
      </c>
      <c r="J110" s="565"/>
      <c r="K110" s="462"/>
      <c r="L110" s="461"/>
    </row>
    <row r="111" spans="1:12">
      <c r="A111" s="462"/>
      <c r="B111" s="462"/>
      <c r="C111" s="528">
        <v>41730</v>
      </c>
      <c r="D111" s="563">
        <f t="shared" si="22"/>
        <v>254.54545454545456</v>
      </c>
      <c r="E111" s="563">
        <f t="shared" si="25"/>
        <v>31.818181818181817</v>
      </c>
      <c r="F111" s="527"/>
      <c r="G111" s="20">
        <f t="shared" si="23"/>
        <v>2.6500000000000003E-2</v>
      </c>
      <c r="H111" s="564">
        <f t="shared" si="24"/>
        <v>6.7454545454545469</v>
      </c>
      <c r="I111" s="527">
        <f t="shared" si="21"/>
        <v>222.72727272727275</v>
      </c>
      <c r="J111" s="565"/>
      <c r="K111" s="462"/>
      <c r="L111" s="461"/>
    </row>
    <row r="112" spans="1:12">
      <c r="A112" s="462"/>
      <c r="B112" s="462"/>
      <c r="C112" s="528">
        <v>41821</v>
      </c>
      <c r="D112" s="563">
        <f t="shared" si="22"/>
        <v>222.72727272727275</v>
      </c>
      <c r="E112" s="563">
        <f t="shared" si="25"/>
        <v>31.818181818181817</v>
      </c>
      <c r="F112" s="527"/>
      <c r="G112" s="20">
        <f t="shared" si="23"/>
        <v>2.6500000000000003E-2</v>
      </c>
      <c r="H112" s="564">
        <f t="shared" si="24"/>
        <v>5.9022727272727282</v>
      </c>
      <c r="I112" s="527">
        <f t="shared" si="21"/>
        <v>190.90909090909093</v>
      </c>
      <c r="J112" s="565"/>
      <c r="K112" s="462"/>
      <c r="L112" s="461"/>
    </row>
    <row r="113" spans="1:12">
      <c r="A113" s="462"/>
      <c r="B113" s="462"/>
      <c r="C113" s="528">
        <v>41913</v>
      </c>
      <c r="D113" s="563">
        <f t="shared" si="22"/>
        <v>190.90909090909093</v>
      </c>
      <c r="E113" s="563">
        <f t="shared" si="25"/>
        <v>31.818181818181817</v>
      </c>
      <c r="F113" s="527"/>
      <c r="G113" s="20">
        <f t="shared" si="23"/>
        <v>2.6500000000000003E-2</v>
      </c>
      <c r="H113" s="564">
        <f t="shared" si="24"/>
        <v>5.0590909090909104</v>
      </c>
      <c r="I113" s="527">
        <f t="shared" si="21"/>
        <v>159.09090909090912</v>
      </c>
      <c r="J113" s="565"/>
      <c r="K113" s="462"/>
      <c r="L113" s="461"/>
    </row>
    <row r="114" spans="1:12">
      <c r="A114" s="462"/>
      <c r="B114" s="462"/>
      <c r="C114" s="528">
        <v>42005</v>
      </c>
      <c r="D114" s="563">
        <f t="shared" si="22"/>
        <v>159.09090909090912</v>
      </c>
      <c r="E114" s="563">
        <f t="shared" si="25"/>
        <v>31.818181818181817</v>
      </c>
      <c r="F114" s="527"/>
      <c r="G114" s="20">
        <f t="shared" si="23"/>
        <v>2.6500000000000003E-2</v>
      </c>
      <c r="H114" s="564">
        <f t="shared" si="24"/>
        <v>4.2159090909090926</v>
      </c>
      <c r="I114" s="527">
        <f t="shared" si="21"/>
        <v>127.27272727272731</v>
      </c>
      <c r="J114" s="565"/>
      <c r="K114" s="462"/>
      <c r="L114" s="461"/>
    </row>
    <row r="115" spans="1:12">
      <c r="A115" s="462"/>
      <c r="B115" s="462"/>
      <c r="C115" s="528">
        <v>42095</v>
      </c>
      <c r="D115" s="563">
        <f t="shared" si="22"/>
        <v>127.27272727272731</v>
      </c>
      <c r="E115" s="563">
        <f t="shared" si="25"/>
        <v>31.818181818181817</v>
      </c>
      <c r="F115" s="527"/>
      <c r="G115" s="20">
        <f t="shared" si="23"/>
        <v>2.6500000000000003E-2</v>
      </c>
      <c r="H115" s="564">
        <f t="shared" si="24"/>
        <v>3.3727272727272739</v>
      </c>
      <c r="I115" s="527">
        <f t="shared" si="21"/>
        <v>95.454545454545496</v>
      </c>
      <c r="J115" s="565"/>
      <c r="K115" s="462"/>
      <c r="L115" s="461"/>
    </row>
    <row r="116" spans="1:12">
      <c r="A116" s="462"/>
      <c r="B116" s="462"/>
      <c r="C116" s="528">
        <v>42186</v>
      </c>
      <c r="D116" s="563">
        <f t="shared" si="22"/>
        <v>95.454545454545496</v>
      </c>
      <c r="E116" s="563">
        <f t="shared" si="25"/>
        <v>31.818181818181817</v>
      </c>
      <c r="F116" s="527"/>
      <c r="G116" s="20">
        <f t="shared" si="23"/>
        <v>2.6500000000000003E-2</v>
      </c>
      <c r="H116" s="564">
        <f t="shared" si="24"/>
        <v>2.5295454545454561</v>
      </c>
      <c r="I116" s="527">
        <f t="shared" si="21"/>
        <v>63.636363636363683</v>
      </c>
      <c r="J116" s="565"/>
      <c r="K116" s="462"/>
      <c r="L116" s="461"/>
    </row>
    <row r="117" spans="1:12">
      <c r="A117" s="462"/>
      <c r="B117" s="462"/>
      <c r="C117" s="528">
        <v>42278</v>
      </c>
      <c r="D117" s="563">
        <f t="shared" si="22"/>
        <v>63.636363636363683</v>
      </c>
      <c r="E117" s="563">
        <f t="shared" si="25"/>
        <v>31.818181818181817</v>
      </c>
      <c r="F117" s="527"/>
      <c r="G117" s="20">
        <f t="shared" si="23"/>
        <v>2.6500000000000003E-2</v>
      </c>
      <c r="H117" s="564">
        <f t="shared" si="24"/>
        <v>1.6863636363636378</v>
      </c>
      <c r="I117" s="527">
        <f t="shared" si="21"/>
        <v>31.818181818181866</v>
      </c>
      <c r="J117" s="565"/>
      <c r="K117" s="462"/>
      <c r="L117" s="461"/>
    </row>
    <row r="118" spans="1:12">
      <c r="A118" s="462"/>
      <c r="B118" s="462"/>
      <c r="C118" s="528">
        <v>42370</v>
      </c>
      <c r="D118" s="563">
        <f t="shared" si="22"/>
        <v>31.818181818181866</v>
      </c>
      <c r="E118" s="563">
        <f t="shared" si="25"/>
        <v>31.818181818181817</v>
      </c>
      <c r="F118" s="527"/>
      <c r="G118" s="20">
        <f t="shared" si="23"/>
        <v>2.6500000000000003E-2</v>
      </c>
      <c r="H118" s="564">
        <f t="shared" si="24"/>
        <v>0.84318181818181959</v>
      </c>
      <c r="I118" s="527">
        <f t="shared" si="21"/>
        <v>4.9737991503207013E-14</v>
      </c>
      <c r="J118" s="527"/>
      <c r="K118" s="462"/>
      <c r="L118" s="461"/>
    </row>
    <row r="119" spans="1:12" ht="13.5" customHeight="1">
      <c r="A119" s="461"/>
      <c r="B119" s="461"/>
      <c r="C119" s="461"/>
      <c r="D119" s="461"/>
      <c r="E119" s="461"/>
      <c r="F119" s="461"/>
      <c r="G119" s="461"/>
      <c r="H119" s="461"/>
      <c r="I119" s="461"/>
      <c r="J119" s="461"/>
      <c r="K119" s="461"/>
      <c r="L119" s="461"/>
    </row>
    <row r="120" spans="1:12">
      <c r="A120" s="464" t="s">
        <v>685</v>
      </c>
      <c r="B120" s="462"/>
      <c r="C120" s="462"/>
      <c r="D120" s="462"/>
      <c r="E120" s="462"/>
      <c r="F120" s="462"/>
      <c r="G120" s="462"/>
      <c r="H120" s="462"/>
      <c r="I120" s="462"/>
      <c r="J120" s="462"/>
      <c r="K120" s="462"/>
      <c r="L120" s="461"/>
    </row>
    <row r="121" spans="1:12">
      <c r="A121" s="462" t="s">
        <v>544</v>
      </c>
      <c r="B121" s="333">
        <v>20.984999999999999</v>
      </c>
      <c r="C121" s="462"/>
      <c r="D121" s="462">
        <v>1976.787</v>
      </c>
      <c r="E121" s="462">
        <f>D121/B121</f>
        <v>94.2</v>
      </c>
      <c r="F121" s="462"/>
      <c r="G121" s="462"/>
      <c r="H121" s="462"/>
      <c r="I121" s="462"/>
      <c r="J121" s="462"/>
      <c r="K121" s="462"/>
      <c r="L121" s="461"/>
    </row>
    <row r="122" spans="1:12">
      <c r="A122" s="462" t="s">
        <v>549</v>
      </c>
      <c r="B122" s="462">
        <v>9</v>
      </c>
      <c r="C122" s="462"/>
      <c r="D122" s="462"/>
      <c r="E122" s="462"/>
      <c r="F122" s="462"/>
      <c r="G122" s="462"/>
      <c r="H122" s="462"/>
      <c r="I122" s="462"/>
      <c r="J122" s="462"/>
      <c r="K122" s="462"/>
      <c r="L122" s="461"/>
    </row>
    <row r="123" spans="1:12">
      <c r="A123" s="462" t="s">
        <v>550</v>
      </c>
      <c r="B123" s="462">
        <v>2</v>
      </c>
      <c r="C123" s="462"/>
      <c r="D123" s="462"/>
      <c r="E123" s="462"/>
      <c r="F123" s="462"/>
      <c r="G123" s="462"/>
      <c r="H123" s="462"/>
      <c r="I123" s="462"/>
      <c r="J123" s="462"/>
      <c r="K123" s="462"/>
      <c r="L123" s="461"/>
    </row>
    <row r="124" spans="1:12">
      <c r="A124" s="462" t="s">
        <v>213</v>
      </c>
      <c r="B124" s="523">
        <f>0.6%+1.65%</f>
        <v>2.2499999999999999E-2</v>
      </c>
      <c r="C124" s="462"/>
      <c r="D124" s="462"/>
      <c r="E124" s="462"/>
      <c r="F124" s="462"/>
      <c r="G124" s="462"/>
      <c r="H124" s="462"/>
      <c r="I124" s="462"/>
      <c r="J124" s="462"/>
      <c r="K124" s="462"/>
      <c r="L124" s="461"/>
    </row>
    <row r="125" spans="1:12">
      <c r="A125" s="462" t="s">
        <v>547</v>
      </c>
      <c r="B125" s="527">
        <f>B121/B122</f>
        <v>2.3316666666666666</v>
      </c>
      <c r="C125" s="462"/>
      <c r="D125" s="462"/>
      <c r="E125" s="462"/>
      <c r="F125" s="462"/>
      <c r="G125" s="462"/>
      <c r="H125" s="462"/>
      <c r="I125" s="462"/>
      <c r="J125" s="462"/>
      <c r="K125" s="462"/>
      <c r="L125" s="461"/>
    </row>
    <row r="126" spans="1:12">
      <c r="A126" s="462"/>
      <c r="B126" s="462"/>
      <c r="C126" s="530" t="s">
        <v>217</v>
      </c>
      <c r="D126" s="530" t="s">
        <v>318</v>
      </c>
      <c r="E126" s="530" t="s">
        <v>547</v>
      </c>
      <c r="F126" s="530"/>
      <c r="G126" s="530" t="s">
        <v>2</v>
      </c>
      <c r="H126" s="530" t="s">
        <v>216</v>
      </c>
      <c r="I126" s="530" t="s">
        <v>318</v>
      </c>
      <c r="J126" s="530" t="s">
        <v>547</v>
      </c>
      <c r="K126" s="530" t="s">
        <v>553</v>
      </c>
      <c r="L126" s="530" t="s">
        <v>554</v>
      </c>
    </row>
    <row r="127" spans="1:12">
      <c r="A127" s="462"/>
      <c r="B127" s="462">
        <v>1</v>
      </c>
      <c r="C127" s="528">
        <v>41214</v>
      </c>
      <c r="D127" s="531">
        <f>B121</f>
        <v>20.984999999999999</v>
      </c>
      <c r="E127" s="532">
        <v>0</v>
      </c>
      <c r="F127" s="532"/>
      <c r="G127" s="316">
        <f t="shared" ref="G127:G136" si="26">$B$124/$B$123</f>
        <v>1.125E-2</v>
      </c>
      <c r="H127" s="333">
        <f t="shared" ref="H127:H136" si="27">D127*G127</f>
        <v>0.23608124999999999</v>
      </c>
      <c r="I127" s="609">
        <f t="shared" ref="I127:I136" si="28">D127-E127</f>
        <v>20.984999999999999</v>
      </c>
      <c r="J127" s="536">
        <f>E127*Assumptions!$BI$7</f>
        <v>0</v>
      </c>
      <c r="K127" s="536">
        <f>H127*Assumptions!$BI$7</f>
        <v>22.849005740625</v>
      </c>
      <c r="L127" s="15">
        <f>I127*Assumptions!$BI$7</f>
        <v>2031.0227324999998</v>
      </c>
    </row>
    <row r="128" spans="1:12">
      <c r="A128" s="462"/>
      <c r="B128" s="462">
        <f>B127+1</f>
        <v>2</v>
      </c>
      <c r="C128" s="528">
        <v>41395</v>
      </c>
      <c r="D128" s="531">
        <f>I127</f>
        <v>20.984999999999999</v>
      </c>
      <c r="E128" s="532">
        <f t="shared" ref="E128:E136" si="29">$B$125</f>
        <v>2.3316666666666666</v>
      </c>
      <c r="F128" s="532"/>
      <c r="G128" s="316">
        <f t="shared" si="26"/>
        <v>1.125E-2</v>
      </c>
      <c r="H128" s="333">
        <f t="shared" si="27"/>
        <v>0.23608124999999999</v>
      </c>
      <c r="I128" s="609">
        <f t="shared" si="28"/>
        <v>18.653333333333332</v>
      </c>
      <c r="J128" s="536">
        <f>E128*Assumptions!$BI$7</f>
        <v>225.66919249999998</v>
      </c>
      <c r="K128" s="536">
        <f>H128*Assumptions!$BI$7</f>
        <v>22.849005740625</v>
      </c>
      <c r="L128" s="15">
        <f>I128*Assumptions!$BI$7</f>
        <v>1805.3535399999998</v>
      </c>
    </row>
    <row r="129" spans="1:12">
      <c r="A129" s="462"/>
      <c r="B129" s="462">
        <f t="shared" ref="B129:B136" si="30">B128+1</f>
        <v>3</v>
      </c>
      <c r="C129" s="528">
        <v>41579</v>
      </c>
      <c r="D129" s="531">
        <f t="shared" ref="D129:D136" si="31">I128</f>
        <v>18.653333333333332</v>
      </c>
      <c r="E129" s="532">
        <f t="shared" si="29"/>
        <v>2.3316666666666666</v>
      </c>
      <c r="F129" s="532"/>
      <c r="G129" s="316">
        <f t="shared" si="26"/>
        <v>1.125E-2</v>
      </c>
      <c r="H129" s="333">
        <f t="shared" si="27"/>
        <v>0.20984999999999998</v>
      </c>
      <c r="I129" s="609">
        <f t="shared" si="28"/>
        <v>16.321666666666665</v>
      </c>
      <c r="J129" s="536">
        <f>E129*Assumptions!$BN$7</f>
        <v>240.33654166666665</v>
      </c>
      <c r="K129" s="536">
        <f>H129*Assumptions!$BN$7</f>
        <v>21.630288749999998</v>
      </c>
      <c r="L129" s="15">
        <f>I129*Assumptions!$BN$7</f>
        <v>1682.3557916666666</v>
      </c>
    </row>
    <row r="130" spans="1:12">
      <c r="A130" s="462"/>
      <c r="B130" s="462">
        <f t="shared" si="30"/>
        <v>4</v>
      </c>
      <c r="C130" s="528">
        <v>41760</v>
      </c>
      <c r="D130" s="531">
        <f t="shared" si="31"/>
        <v>16.321666666666665</v>
      </c>
      <c r="E130" s="532">
        <f t="shared" si="29"/>
        <v>2.3316666666666666</v>
      </c>
      <c r="F130" s="532"/>
      <c r="G130" s="316">
        <f t="shared" si="26"/>
        <v>1.125E-2</v>
      </c>
      <c r="H130" s="333">
        <f t="shared" si="27"/>
        <v>0.18361874999999997</v>
      </c>
      <c r="I130" s="609">
        <f t="shared" si="28"/>
        <v>13.989999999999998</v>
      </c>
      <c r="J130" s="536">
        <f>E130*Assumptions!$BN$7</f>
        <v>240.33654166666665</v>
      </c>
      <c r="K130" s="536">
        <f>H130*Assumptions!$BN$7</f>
        <v>18.926502656249998</v>
      </c>
      <c r="L130" s="15">
        <f>I130*Assumptions!$BN$7</f>
        <v>1442.0192499999998</v>
      </c>
    </row>
    <row r="131" spans="1:12">
      <c r="A131" s="462"/>
      <c r="B131" s="462">
        <f t="shared" si="30"/>
        <v>5</v>
      </c>
      <c r="C131" s="528">
        <v>41944</v>
      </c>
      <c r="D131" s="531">
        <f t="shared" si="31"/>
        <v>13.989999999999998</v>
      </c>
      <c r="E131" s="532">
        <f t="shared" si="29"/>
        <v>2.3316666666666666</v>
      </c>
      <c r="F131" s="532"/>
      <c r="G131" s="316">
        <f t="shared" si="26"/>
        <v>1.125E-2</v>
      </c>
      <c r="H131" s="333">
        <f t="shared" si="27"/>
        <v>0.15738749999999999</v>
      </c>
      <c r="I131" s="609">
        <f t="shared" si="28"/>
        <v>11.658333333333331</v>
      </c>
      <c r="J131" s="536">
        <f>E131*Assumptions!$BR$7</f>
        <v>252.35336874999999</v>
      </c>
      <c r="K131" s="536">
        <f>H131*Assumptions!$BR$7</f>
        <v>17.033852390625</v>
      </c>
      <c r="L131" s="15">
        <f>I131*Assumptions!$BR$7</f>
        <v>1261.7668437499999</v>
      </c>
    </row>
    <row r="132" spans="1:12">
      <c r="A132" s="462"/>
      <c r="B132" s="462">
        <f t="shared" si="30"/>
        <v>6</v>
      </c>
      <c r="C132" s="528">
        <v>42125</v>
      </c>
      <c r="D132" s="531">
        <f t="shared" si="31"/>
        <v>11.658333333333331</v>
      </c>
      <c r="E132" s="532">
        <f t="shared" si="29"/>
        <v>2.3316666666666666</v>
      </c>
      <c r="F132" s="532"/>
      <c r="G132" s="316">
        <f t="shared" si="26"/>
        <v>1.125E-2</v>
      </c>
      <c r="H132" s="333">
        <f t="shared" si="27"/>
        <v>0.13115624999999997</v>
      </c>
      <c r="I132" s="609">
        <f t="shared" si="28"/>
        <v>9.3266666666666644</v>
      </c>
      <c r="J132" s="536">
        <f>E132*Assumptions!$BR$7</f>
        <v>252.35336874999999</v>
      </c>
      <c r="K132" s="536">
        <f>H132*Assumptions!$BR$7</f>
        <v>14.194876992187497</v>
      </c>
      <c r="L132" s="15">
        <f>I132*Assumptions!$BR$7</f>
        <v>1009.4134749999998</v>
      </c>
    </row>
    <row r="133" spans="1:12">
      <c r="A133" s="462"/>
      <c r="B133" s="462">
        <f t="shared" si="30"/>
        <v>7</v>
      </c>
      <c r="C133" s="528">
        <v>42309</v>
      </c>
      <c r="D133" s="531">
        <f t="shared" si="31"/>
        <v>9.3266666666666644</v>
      </c>
      <c r="E133" s="532">
        <f t="shared" si="29"/>
        <v>2.3316666666666666</v>
      </c>
      <c r="F133" s="532"/>
      <c r="G133" s="316">
        <f t="shared" si="26"/>
        <v>1.125E-2</v>
      </c>
      <c r="H133" s="333">
        <f t="shared" si="27"/>
        <v>0.10492499999999998</v>
      </c>
      <c r="I133" s="609">
        <f t="shared" si="28"/>
        <v>6.9949999999999974</v>
      </c>
      <c r="J133" s="536">
        <f>E133*Assumptions!$BS$7</f>
        <v>264.97103718750003</v>
      </c>
      <c r="K133" s="536">
        <f>H133*Assumptions!$BS$7</f>
        <v>11.923696673437499</v>
      </c>
      <c r="L133" s="15">
        <f>I133*Assumptions!$BS$7</f>
        <v>794.91311156249981</v>
      </c>
    </row>
    <row r="134" spans="1:12">
      <c r="A134" s="462"/>
      <c r="B134" s="462">
        <f t="shared" si="30"/>
        <v>8</v>
      </c>
      <c r="C134" s="528">
        <v>42491</v>
      </c>
      <c r="D134" s="531">
        <f t="shared" si="31"/>
        <v>6.9949999999999974</v>
      </c>
      <c r="E134" s="532">
        <f t="shared" si="29"/>
        <v>2.3316666666666666</v>
      </c>
      <c r="F134" s="532"/>
      <c r="G134" s="316">
        <f t="shared" si="26"/>
        <v>1.125E-2</v>
      </c>
      <c r="H134" s="333">
        <f t="shared" si="27"/>
        <v>7.8693749999999965E-2</v>
      </c>
      <c r="I134" s="609">
        <f t="shared" si="28"/>
        <v>4.6633333333333304</v>
      </c>
      <c r="J134" s="536">
        <f>E134*Assumptions!$BS$7</f>
        <v>264.97103718750003</v>
      </c>
      <c r="K134" s="536">
        <f>H134*Assumptions!$BS$7</f>
        <v>8.9427725050781213</v>
      </c>
      <c r="L134" s="15">
        <f>I134*Assumptions!$BS$7</f>
        <v>529.94207437499972</v>
      </c>
    </row>
    <row r="135" spans="1:12">
      <c r="A135" s="462"/>
      <c r="B135" s="462">
        <f t="shared" si="30"/>
        <v>9</v>
      </c>
      <c r="C135" s="528">
        <v>42675</v>
      </c>
      <c r="D135" s="531">
        <f t="shared" si="31"/>
        <v>4.6633333333333304</v>
      </c>
      <c r="E135" s="532">
        <f t="shared" si="29"/>
        <v>2.3316666666666666</v>
      </c>
      <c r="F135" s="532"/>
      <c r="G135" s="316">
        <f t="shared" si="26"/>
        <v>1.125E-2</v>
      </c>
      <c r="H135" s="333">
        <f t="shared" si="27"/>
        <v>5.2462499999999967E-2</v>
      </c>
      <c r="I135" s="609">
        <f t="shared" si="28"/>
        <v>2.3316666666666639</v>
      </c>
      <c r="J135" s="536">
        <f>E135*Assumptions!$BT$7</f>
        <v>278.219589046875</v>
      </c>
      <c r="K135" s="536">
        <f>H135*Assumptions!$BT$7</f>
        <v>6.2599407535546847</v>
      </c>
      <c r="L135" s="15">
        <f>I135*Assumptions!$BT$7</f>
        <v>278.21958904687472</v>
      </c>
    </row>
    <row r="136" spans="1:12">
      <c r="A136" s="462"/>
      <c r="B136" s="462">
        <f t="shared" si="30"/>
        <v>10</v>
      </c>
      <c r="C136" s="528">
        <v>42856</v>
      </c>
      <c r="D136" s="531">
        <f t="shared" si="31"/>
        <v>2.3316666666666639</v>
      </c>
      <c r="E136" s="532">
        <f t="shared" si="29"/>
        <v>2.3316666666666666</v>
      </c>
      <c r="F136" s="532"/>
      <c r="G136" s="316">
        <f t="shared" si="26"/>
        <v>1.125E-2</v>
      </c>
      <c r="H136" s="333">
        <f t="shared" si="27"/>
        <v>2.6231249999999966E-2</v>
      </c>
      <c r="I136" s="609">
        <f t="shared" si="28"/>
        <v>0</v>
      </c>
      <c r="J136" s="536">
        <f>E136*Assumptions!$BT$7</f>
        <v>278.219589046875</v>
      </c>
      <c r="K136" s="536">
        <f>H136*Assumptions!$BT$7</f>
        <v>3.1299703767773401</v>
      </c>
      <c r="L136" s="15">
        <f>I136*Assumptions!$BT$7</f>
        <v>0</v>
      </c>
    </row>
    <row r="137" spans="1:12">
      <c r="A137" s="518"/>
      <c r="B137" s="518"/>
      <c r="C137" s="529"/>
      <c r="D137" s="534"/>
      <c r="E137" s="535"/>
      <c r="F137" s="535"/>
      <c r="G137" s="45"/>
      <c r="H137" s="534"/>
      <c r="I137" s="608"/>
      <c r="J137" s="608"/>
      <c r="K137" s="518"/>
      <c r="L137" s="518"/>
    </row>
    <row r="138" spans="1:12">
      <c r="A138" s="464" t="s">
        <v>686</v>
      </c>
      <c r="B138" s="462"/>
      <c r="C138" s="462"/>
      <c r="D138" s="462"/>
      <c r="E138" s="462"/>
      <c r="F138" s="462"/>
      <c r="G138" s="462"/>
      <c r="H138" s="462"/>
      <c r="I138" s="462"/>
      <c r="J138" s="462"/>
      <c r="K138" s="462"/>
      <c r="L138" s="518"/>
    </row>
    <row r="139" spans="1:12">
      <c r="A139" s="462" t="s">
        <v>544</v>
      </c>
      <c r="B139" s="462">
        <v>701.25</v>
      </c>
      <c r="C139" s="462"/>
      <c r="D139" s="462"/>
      <c r="E139" s="462"/>
      <c r="F139" s="462"/>
      <c r="G139" s="462"/>
      <c r="H139" s="462"/>
      <c r="I139" s="462"/>
      <c r="J139" s="462"/>
      <c r="K139" s="462"/>
      <c r="L139" s="518"/>
    </row>
    <row r="140" spans="1:12">
      <c r="A140" s="462" t="s">
        <v>549</v>
      </c>
      <c r="B140" s="462">
        <v>14</v>
      </c>
      <c r="C140" s="462"/>
      <c r="D140" s="462"/>
      <c r="E140" s="462"/>
      <c r="F140" s="462"/>
      <c r="G140" s="462"/>
      <c r="H140" s="462"/>
      <c r="I140" s="462"/>
      <c r="J140" s="462"/>
      <c r="K140" s="462"/>
      <c r="L140" s="518"/>
    </row>
    <row r="141" spans="1:12">
      <c r="A141" s="462" t="s">
        <v>550</v>
      </c>
      <c r="B141" s="462">
        <v>4</v>
      </c>
      <c r="C141" s="462"/>
      <c r="D141" s="462"/>
      <c r="E141" s="462"/>
      <c r="F141" s="462"/>
      <c r="G141" s="462"/>
      <c r="H141" s="462"/>
      <c r="I141" s="462"/>
      <c r="J141" s="462"/>
      <c r="K141" s="462"/>
      <c r="L141" s="518"/>
    </row>
    <row r="142" spans="1:12">
      <c r="A142" s="462" t="s">
        <v>213</v>
      </c>
      <c r="B142" s="523">
        <f>10%+0.6%</f>
        <v>0.10600000000000001</v>
      </c>
      <c r="C142" s="462"/>
      <c r="D142" s="462"/>
      <c r="E142" s="462"/>
      <c r="F142" s="462"/>
      <c r="G142" s="462"/>
      <c r="H142" s="462"/>
      <c r="I142" s="462"/>
      <c r="J142" s="462"/>
      <c r="K142" s="462"/>
      <c r="L142" s="518"/>
    </row>
    <row r="143" spans="1:12">
      <c r="A143" s="462" t="s">
        <v>547</v>
      </c>
      <c r="B143" s="527">
        <f>B139/B140</f>
        <v>50.089285714285715</v>
      </c>
      <c r="C143" s="462"/>
      <c r="D143" s="462"/>
      <c r="E143" s="462"/>
      <c r="F143" s="462"/>
      <c r="G143" s="462"/>
      <c r="H143" s="462"/>
      <c r="I143" s="462"/>
      <c r="J143" s="462"/>
      <c r="K143" s="462"/>
      <c r="L143" s="518"/>
    </row>
    <row r="144" spans="1:12">
      <c r="A144" s="462"/>
      <c r="B144" s="462"/>
      <c r="C144" s="530" t="s">
        <v>217</v>
      </c>
      <c r="D144" s="530" t="s">
        <v>318</v>
      </c>
      <c r="E144" s="530" t="s">
        <v>547</v>
      </c>
      <c r="F144" s="530" t="s">
        <v>548</v>
      </c>
      <c r="G144" s="530" t="s">
        <v>2</v>
      </c>
      <c r="H144" s="530" t="s">
        <v>216</v>
      </c>
      <c r="I144" s="530" t="s">
        <v>318</v>
      </c>
      <c r="J144" s="530"/>
      <c r="K144" s="462"/>
      <c r="L144" s="518"/>
    </row>
    <row r="145" spans="1:12">
      <c r="A145" s="462"/>
      <c r="B145" s="462">
        <v>1</v>
      </c>
      <c r="C145" s="528">
        <v>41153</v>
      </c>
      <c r="D145" s="462">
        <f>B139</f>
        <v>701.25</v>
      </c>
      <c r="E145" s="532">
        <f>$B$143</f>
        <v>50.089285714285715</v>
      </c>
      <c r="F145" s="532"/>
      <c r="G145" s="20">
        <f>$B$142/$B$141</f>
        <v>2.6500000000000003E-2</v>
      </c>
      <c r="H145" s="531">
        <f>D145*G145</f>
        <v>18.583125000000003</v>
      </c>
      <c r="I145" s="531">
        <f>D145-E145</f>
        <v>651.16071428571433</v>
      </c>
      <c r="J145" s="462"/>
      <c r="K145" s="462"/>
      <c r="L145" s="518"/>
    </row>
    <row r="146" spans="1:12">
      <c r="A146" s="462"/>
      <c r="B146" s="462">
        <f>B145+1</f>
        <v>2</v>
      </c>
      <c r="C146" s="528">
        <v>41244</v>
      </c>
      <c r="D146" s="531">
        <f>I145</f>
        <v>651.16071428571433</v>
      </c>
      <c r="E146" s="532">
        <f t="shared" ref="E146:E148" si="32">$B$143</f>
        <v>50.089285714285715</v>
      </c>
      <c r="F146" s="532"/>
      <c r="G146" s="20">
        <f t="shared" ref="G146:G158" si="33">$B$142/$B$141</f>
        <v>2.6500000000000003E-2</v>
      </c>
      <c r="H146" s="531">
        <f t="shared" ref="H146:H158" si="34">D146*G146</f>
        <v>17.255758928571431</v>
      </c>
      <c r="I146" s="531">
        <f t="shared" ref="I146:I158" si="35">D146-E146</f>
        <v>601.07142857142867</v>
      </c>
      <c r="J146" s="462"/>
      <c r="K146" s="462"/>
      <c r="L146" s="518"/>
    </row>
    <row r="147" spans="1:12">
      <c r="A147" s="462"/>
      <c r="B147" s="462">
        <f t="shared" ref="B147:B158" si="36">B146+1</f>
        <v>3</v>
      </c>
      <c r="C147" s="528">
        <v>41334</v>
      </c>
      <c r="D147" s="531">
        <f t="shared" ref="D147:D158" si="37">I146</f>
        <v>601.07142857142867</v>
      </c>
      <c r="E147" s="532">
        <f t="shared" si="32"/>
        <v>50.089285714285715</v>
      </c>
      <c r="F147" s="532"/>
      <c r="G147" s="20">
        <f t="shared" si="33"/>
        <v>2.6500000000000003E-2</v>
      </c>
      <c r="H147" s="531">
        <f t="shared" si="34"/>
        <v>15.928392857142862</v>
      </c>
      <c r="I147" s="531">
        <f t="shared" si="35"/>
        <v>550.982142857143</v>
      </c>
      <c r="J147" s="533"/>
      <c r="K147" s="462"/>
      <c r="L147" s="518"/>
    </row>
    <row r="148" spans="1:12">
      <c r="A148" s="462"/>
      <c r="B148" s="462">
        <f t="shared" si="36"/>
        <v>4</v>
      </c>
      <c r="C148" s="528">
        <v>41426</v>
      </c>
      <c r="D148" s="531">
        <f t="shared" si="37"/>
        <v>550.982142857143</v>
      </c>
      <c r="E148" s="532">
        <f t="shared" si="32"/>
        <v>50.089285714285715</v>
      </c>
      <c r="F148" s="532"/>
      <c r="G148" s="20">
        <f t="shared" si="33"/>
        <v>2.6500000000000003E-2</v>
      </c>
      <c r="H148" s="531">
        <f t="shared" si="34"/>
        <v>14.601026785714291</v>
      </c>
      <c r="I148" s="531">
        <v>361.25</v>
      </c>
      <c r="J148" s="531"/>
      <c r="K148" s="462"/>
      <c r="L148" s="518"/>
    </row>
    <row r="149" spans="1:12">
      <c r="A149" s="462"/>
      <c r="B149" s="462">
        <f t="shared" si="36"/>
        <v>5</v>
      </c>
      <c r="C149" s="528">
        <v>41518</v>
      </c>
      <c r="D149" s="531">
        <f t="shared" si="37"/>
        <v>361.25</v>
      </c>
      <c r="E149" s="532">
        <f>I148/7</f>
        <v>51.607142857142854</v>
      </c>
      <c r="F149" s="532"/>
      <c r="G149" s="20">
        <f t="shared" si="33"/>
        <v>2.6500000000000003E-2</v>
      </c>
      <c r="H149" s="531">
        <f t="shared" si="34"/>
        <v>9.573125000000001</v>
      </c>
      <c r="I149" s="531">
        <f t="shared" si="35"/>
        <v>309.64285714285717</v>
      </c>
      <c r="J149" s="533"/>
      <c r="K149" s="462"/>
      <c r="L149" s="518"/>
    </row>
    <row r="150" spans="1:12">
      <c r="A150" s="462"/>
      <c r="B150" s="462">
        <f t="shared" si="36"/>
        <v>6</v>
      </c>
      <c r="C150" s="528">
        <v>41609</v>
      </c>
      <c r="D150" s="531">
        <f t="shared" si="37"/>
        <v>309.64285714285717</v>
      </c>
      <c r="E150" s="532">
        <f>E149</f>
        <v>51.607142857142854</v>
      </c>
      <c r="F150" s="532"/>
      <c r="G150" s="20">
        <f t="shared" si="33"/>
        <v>2.6500000000000003E-2</v>
      </c>
      <c r="H150" s="531">
        <f t="shared" si="34"/>
        <v>8.2055357142857162</v>
      </c>
      <c r="I150" s="531">
        <f t="shared" si="35"/>
        <v>258.03571428571433</v>
      </c>
      <c r="J150" s="531"/>
      <c r="K150" s="462"/>
      <c r="L150" s="518"/>
    </row>
    <row r="151" spans="1:12">
      <c r="A151" s="462"/>
      <c r="B151" s="462">
        <f t="shared" si="36"/>
        <v>7</v>
      </c>
      <c r="C151" s="528">
        <v>41699</v>
      </c>
      <c r="D151" s="531">
        <f t="shared" si="37"/>
        <v>258.03571428571433</v>
      </c>
      <c r="E151" s="532">
        <f t="shared" ref="E151:E155" si="38">E150</f>
        <v>51.607142857142854</v>
      </c>
      <c r="F151" s="532"/>
      <c r="G151" s="20">
        <f t="shared" si="33"/>
        <v>2.6500000000000003E-2</v>
      </c>
      <c r="H151" s="531">
        <f t="shared" si="34"/>
        <v>6.8379464285714304</v>
      </c>
      <c r="I151" s="531">
        <f t="shared" si="35"/>
        <v>206.42857142857147</v>
      </c>
      <c r="J151" s="533"/>
      <c r="K151" s="462"/>
      <c r="L151" s="518"/>
    </row>
    <row r="152" spans="1:12">
      <c r="A152" s="462"/>
      <c r="B152" s="462">
        <f t="shared" si="36"/>
        <v>8</v>
      </c>
      <c r="C152" s="528">
        <v>41791</v>
      </c>
      <c r="D152" s="531">
        <f t="shared" si="37"/>
        <v>206.42857142857147</v>
      </c>
      <c r="E152" s="532">
        <f t="shared" si="38"/>
        <v>51.607142857142854</v>
      </c>
      <c r="F152" s="532"/>
      <c r="G152" s="20">
        <f t="shared" si="33"/>
        <v>2.6500000000000003E-2</v>
      </c>
      <c r="H152" s="531">
        <f t="shared" si="34"/>
        <v>5.4703571428571447</v>
      </c>
      <c r="I152" s="531">
        <f t="shared" si="35"/>
        <v>154.82142857142861</v>
      </c>
      <c r="J152" s="531"/>
      <c r="K152" s="462"/>
      <c r="L152" s="518"/>
    </row>
    <row r="153" spans="1:12">
      <c r="A153" s="462"/>
      <c r="B153" s="462">
        <f t="shared" si="36"/>
        <v>9</v>
      </c>
      <c r="C153" s="528">
        <v>41883</v>
      </c>
      <c r="D153" s="531">
        <f t="shared" si="37"/>
        <v>154.82142857142861</v>
      </c>
      <c r="E153" s="532">
        <f t="shared" si="38"/>
        <v>51.607142857142854</v>
      </c>
      <c r="F153" s="532"/>
      <c r="G153" s="20">
        <f t="shared" si="33"/>
        <v>2.6500000000000003E-2</v>
      </c>
      <c r="H153" s="531">
        <f t="shared" si="34"/>
        <v>4.102767857142859</v>
      </c>
      <c r="I153" s="531">
        <f t="shared" si="35"/>
        <v>103.21428571428575</v>
      </c>
      <c r="J153" s="533"/>
      <c r="K153" s="462"/>
      <c r="L153" s="518"/>
    </row>
    <row r="154" spans="1:12">
      <c r="A154" s="462"/>
      <c r="B154" s="462">
        <f t="shared" si="36"/>
        <v>10</v>
      </c>
      <c r="C154" s="528">
        <v>41974</v>
      </c>
      <c r="D154" s="531">
        <f t="shared" si="37"/>
        <v>103.21428571428575</v>
      </c>
      <c r="E154" s="532">
        <f t="shared" si="38"/>
        <v>51.607142857142854</v>
      </c>
      <c r="F154" s="532"/>
      <c r="G154" s="20">
        <f t="shared" si="33"/>
        <v>2.6500000000000003E-2</v>
      </c>
      <c r="H154" s="531">
        <f t="shared" si="34"/>
        <v>2.7351785714285728</v>
      </c>
      <c r="I154" s="531">
        <f t="shared" si="35"/>
        <v>51.607142857142897</v>
      </c>
      <c r="J154" s="531"/>
      <c r="K154" s="462"/>
      <c r="L154" s="518"/>
    </row>
    <row r="155" spans="1:12">
      <c r="A155" s="462"/>
      <c r="B155" s="462">
        <f t="shared" si="36"/>
        <v>11</v>
      </c>
      <c r="C155" s="528">
        <v>42064</v>
      </c>
      <c r="D155" s="531">
        <f t="shared" si="37"/>
        <v>51.607142857142897</v>
      </c>
      <c r="E155" s="532">
        <f t="shared" si="38"/>
        <v>51.607142857142854</v>
      </c>
      <c r="F155" s="532"/>
      <c r="G155" s="20">
        <f t="shared" si="33"/>
        <v>2.6500000000000003E-2</v>
      </c>
      <c r="H155" s="531">
        <f t="shared" si="34"/>
        <v>1.3675892857142868</v>
      </c>
      <c r="I155" s="531">
        <f t="shared" si="35"/>
        <v>0</v>
      </c>
      <c r="J155" s="533"/>
      <c r="K155" s="462"/>
      <c r="L155" s="518"/>
    </row>
    <row r="156" spans="1:12">
      <c r="A156" s="462"/>
      <c r="B156" s="462">
        <f t="shared" si="36"/>
        <v>12</v>
      </c>
      <c r="C156" s="528">
        <v>42156</v>
      </c>
      <c r="D156" s="531">
        <f t="shared" si="37"/>
        <v>0</v>
      </c>
      <c r="E156" s="532">
        <v>0</v>
      </c>
      <c r="F156" s="532"/>
      <c r="G156" s="20">
        <f t="shared" si="33"/>
        <v>2.6500000000000003E-2</v>
      </c>
      <c r="H156" s="531">
        <f t="shared" si="34"/>
        <v>0</v>
      </c>
      <c r="I156" s="531">
        <f t="shared" si="35"/>
        <v>0</v>
      </c>
      <c r="J156" s="531"/>
      <c r="K156" s="462"/>
      <c r="L156" s="518"/>
    </row>
    <row r="157" spans="1:12">
      <c r="A157" s="462"/>
      <c r="B157" s="462">
        <f t="shared" si="36"/>
        <v>13</v>
      </c>
      <c r="C157" s="528">
        <v>42248</v>
      </c>
      <c r="D157" s="531">
        <f t="shared" si="37"/>
        <v>0</v>
      </c>
      <c r="E157" s="532">
        <v>0</v>
      </c>
      <c r="F157" s="532"/>
      <c r="G157" s="20">
        <f t="shared" si="33"/>
        <v>2.6500000000000003E-2</v>
      </c>
      <c r="H157" s="531">
        <f t="shared" si="34"/>
        <v>0</v>
      </c>
      <c r="I157" s="531">
        <f t="shared" si="35"/>
        <v>0</v>
      </c>
      <c r="J157" s="531"/>
      <c r="K157" s="462"/>
      <c r="L157" s="518"/>
    </row>
    <row r="158" spans="1:12">
      <c r="A158" s="462"/>
      <c r="B158" s="462">
        <f t="shared" si="36"/>
        <v>14</v>
      </c>
      <c r="C158" s="528">
        <v>42339</v>
      </c>
      <c r="D158" s="531">
        <f t="shared" si="37"/>
        <v>0</v>
      </c>
      <c r="E158" s="532">
        <v>0</v>
      </c>
      <c r="F158" s="532"/>
      <c r="G158" s="20">
        <f t="shared" si="33"/>
        <v>2.6500000000000003E-2</v>
      </c>
      <c r="H158" s="531">
        <f t="shared" si="34"/>
        <v>0</v>
      </c>
      <c r="I158" s="531">
        <f t="shared" si="35"/>
        <v>0</v>
      </c>
      <c r="J158" s="531"/>
      <c r="K158" s="462"/>
      <c r="L158" s="518"/>
    </row>
    <row r="159" spans="1:12">
      <c r="A159" s="518"/>
      <c r="B159" s="518"/>
      <c r="C159" s="529"/>
      <c r="D159" s="534"/>
      <c r="E159" s="535"/>
      <c r="F159" s="535"/>
      <c r="G159" s="45"/>
      <c r="H159" s="534"/>
      <c r="I159" s="608"/>
      <c r="J159" s="608"/>
      <c r="K159" s="518"/>
      <c r="L159" s="518"/>
    </row>
    <row r="160" spans="1:12" ht="13.5" thickBot="1">
      <c r="A160" s="518"/>
      <c r="B160" s="518"/>
      <c r="C160" s="529"/>
      <c r="D160" s="534"/>
      <c r="E160" s="535"/>
      <c r="F160" s="535"/>
      <c r="G160" s="45"/>
      <c r="H160" s="534"/>
      <c r="I160" s="608"/>
      <c r="J160" s="608"/>
      <c r="K160" s="518"/>
      <c r="L160" s="518"/>
    </row>
    <row r="161" spans="1:12" ht="13.5" thickBot="1">
      <c r="A161" s="544" t="s">
        <v>555</v>
      </c>
      <c r="B161" s="540" t="s">
        <v>157</v>
      </c>
      <c r="C161" s="541" t="s">
        <v>158</v>
      </c>
      <c r="D161" s="541" t="s">
        <v>159</v>
      </c>
      <c r="E161" s="541" t="s">
        <v>538</v>
      </c>
      <c r="F161" s="541" t="s">
        <v>539</v>
      </c>
      <c r="G161" s="541" t="s">
        <v>543</v>
      </c>
      <c r="H161" s="542" t="s">
        <v>560</v>
      </c>
      <c r="I161" s="542" t="s">
        <v>587</v>
      </c>
      <c r="J161" s="542" t="s">
        <v>590</v>
      </c>
      <c r="K161" s="542" t="s">
        <v>619</v>
      </c>
      <c r="L161" s="461"/>
    </row>
    <row r="162" spans="1:12">
      <c r="A162" s="518" t="s">
        <v>556</v>
      </c>
      <c r="B162" s="545">
        <v>1030.5260000000001</v>
      </c>
      <c r="C162" s="546" t="e">
        <f>#REF!+#REF!+H11+H12+H33+H34+#REF!+#REF!+H59+H60+H104+H105+#REF!+#REF!+#REF!+#REF!+#REF!+#REF!+#REF!+#REF!+#REF!+#REF!+#REF!+#REF!+#REF!+#REF!+#REF!+#REF!</f>
        <v>#REF!</v>
      </c>
      <c r="D162" s="546" t="e">
        <f>#REF!+#REF!+H13+H14+H35+H50+#REF!+H106+H107+#REF!+#REF!+#REF!+#REF!+#REF!+#REF!+#REF!+#REF!+#REF!+#REF!+#REF!+#REF!+#REF!+#REF!+#REF!</f>
        <v>#REF!</v>
      </c>
      <c r="E162" s="546">
        <v>778.03499999999997</v>
      </c>
      <c r="F162" s="546">
        <v>657.69200000000001</v>
      </c>
      <c r="G162" s="546" t="e">
        <f>#REF!+#REF!+H11+H12+H13+H14+H33+H34+H35+H36+#REF!+#REF!+#REF!+#REF!+H59+H60+H61+H62+H104+H105+H106+H107+#REF!+#REF!+#REF!+#REF!+K127+K128+H145+H146+H147+H148</f>
        <v>#REF!</v>
      </c>
      <c r="H162" s="26" t="e">
        <f>#REF!+#REF!+H15+H16+H17+H18+H37+H38+H39+H40+H63+H64+H65+H66+H108+H109+H110+H111+#REF!+#REF!+K131+K132+H149+H150+H151+H152</f>
        <v>#REF!</v>
      </c>
      <c r="I162" s="546" t="e">
        <f>H19+H20+H21+H22+H41+H42+H43+H44+H67+H68+H69+H112+H113+H114+H115+#REF!+#REF!+K132+K133+H153+H154+H155+H156</f>
        <v>#REF!</v>
      </c>
      <c r="J162" s="534">
        <f>H23+H24+H45+H46+H47+H48+H116+H117+H118+K133+K134+H157+H158</f>
        <v>25.925560087606534</v>
      </c>
      <c r="K162" s="545">
        <f>K136+K135</f>
        <v>9.389911130332024</v>
      </c>
      <c r="L162" s="461"/>
    </row>
    <row r="163" spans="1:12">
      <c r="A163" s="518" t="s">
        <v>557</v>
      </c>
      <c r="B163" s="545">
        <v>493.40100000000001</v>
      </c>
      <c r="C163" s="546" t="e">
        <f>#REF!</f>
        <v>#REF!</v>
      </c>
      <c r="D163" s="534" t="e">
        <f>#REF!</f>
        <v>#REF!</v>
      </c>
      <c r="E163" s="534">
        <v>1242.2460000000001</v>
      </c>
      <c r="F163" s="534">
        <v>958.97299999999996</v>
      </c>
      <c r="G163" s="534">
        <f>AVERAGE(G173,F173)*G176</f>
        <v>645.34068500000001</v>
      </c>
      <c r="H163" s="534">
        <f>AVERAGE(H173,G173)*H176</f>
        <v>467.5</v>
      </c>
      <c r="I163" s="534">
        <f>AVERAGE(I173,H173)*I176</f>
        <v>357.5</v>
      </c>
      <c r="J163" s="534">
        <f>AVERAGE(J173,I173)*J176</f>
        <v>330</v>
      </c>
      <c r="K163" s="534">
        <f>AVERAGE(K173,J173)*K176</f>
        <v>330</v>
      </c>
      <c r="L163" s="461"/>
    </row>
    <row r="164" spans="1:12">
      <c r="A164" s="518" t="s">
        <v>558</v>
      </c>
      <c r="B164" s="545">
        <v>0.52200000000000002</v>
      </c>
      <c r="C164" s="550"/>
      <c r="D164" s="551"/>
      <c r="E164" s="551">
        <v>1.0900000000000001</v>
      </c>
      <c r="F164" s="92">
        <v>1.1910000000000001</v>
      </c>
      <c r="G164" s="92">
        <f t="shared" ref="G164:K165" si="39">AVERAGE(E164:F164)</f>
        <v>1.1405000000000001</v>
      </c>
      <c r="H164" s="92">
        <f t="shared" si="39"/>
        <v>1.1657500000000001</v>
      </c>
      <c r="I164" s="92">
        <f t="shared" si="39"/>
        <v>1.1531250000000002</v>
      </c>
      <c r="J164" s="92">
        <f t="shared" si="39"/>
        <v>1.1594375000000001</v>
      </c>
      <c r="K164" s="92">
        <f t="shared" si="39"/>
        <v>1.1562812500000001</v>
      </c>
      <c r="L164" s="461"/>
    </row>
    <row r="165" spans="1:12">
      <c r="A165" s="518" t="s">
        <v>559</v>
      </c>
      <c r="B165" s="545">
        <f>4.165+205.308+15.352+0.563</f>
        <v>225.38799999999998</v>
      </c>
      <c r="C165" s="545">
        <f>B165</f>
        <v>225.38799999999998</v>
      </c>
      <c r="D165" s="551"/>
      <c r="E165" s="551">
        <f>21.242+36.533</f>
        <v>57.775000000000006</v>
      </c>
      <c r="F165" s="92">
        <f>15.02+37.908</f>
        <v>52.927999999999997</v>
      </c>
      <c r="G165" s="92">
        <f t="shared" si="39"/>
        <v>55.351500000000001</v>
      </c>
      <c r="H165" s="92">
        <f t="shared" si="39"/>
        <v>54.139749999999999</v>
      </c>
      <c r="I165" s="92">
        <f t="shared" si="39"/>
        <v>54.745625000000004</v>
      </c>
      <c r="J165" s="92">
        <f t="shared" si="39"/>
        <v>54.442687500000005</v>
      </c>
      <c r="K165" s="92">
        <f t="shared" si="39"/>
        <v>54.594156250000005</v>
      </c>
      <c r="L165" s="461"/>
    </row>
    <row r="166" spans="1:12" ht="13.5" thickBot="1">
      <c r="A166" s="518"/>
      <c r="B166" s="518"/>
      <c r="C166" s="550"/>
      <c r="D166" s="551"/>
      <c r="E166" s="551"/>
      <c r="F166" s="551"/>
      <c r="G166" s="552"/>
      <c r="H166" s="551"/>
      <c r="I166" s="534"/>
      <c r="J166" s="534"/>
      <c r="K166" s="518"/>
      <c r="L166" s="461"/>
    </row>
    <row r="167" spans="1:12" ht="13.5" thickBot="1">
      <c r="A167" s="547" t="s">
        <v>555</v>
      </c>
      <c r="B167" s="871">
        <f>SUM(B162:B166)</f>
        <v>1749.837</v>
      </c>
      <c r="C167" s="871" t="e">
        <f t="shared" ref="C167:K167" si="40">SUM(C162:C165)</f>
        <v>#REF!</v>
      </c>
      <c r="D167" s="871" t="e">
        <f t="shared" si="40"/>
        <v>#REF!</v>
      </c>
      <c r="E167" s="871">
        <f t="shared" si="40"/>
        <v>2079.1459999999997</v>
      </c>
      <c r="F167" s="871">
        <f t="shared" si="40"/>
        <v>1670.7840000000001</v>
      </c>
      <c r="G167" s="871" t="e">
        <f t="shared" si="40"/>
        <v>#REF!</v>
      </c>
      <c r="H167" s="871" t="e">
        <f t="shared" si="40"/>
        <v>#REF!</v>
      </c>
      <c r="I167" s="871" t="e">
        <f t="shared" si="40"/>
        <v>#REF!</v>
      </c>
      <c r="J167" s="871">
        <f t="shared" si="40"/>
        <v>411.52768508760653</v>
      </c>
      <c r="K167" s="871">
        <f t="shared" si="40"/>
        <v>395.14034863033208</v>
      </c>
      <c r="L167" s="461"/>
    </row>
    <row r="168" spans="1:12" ht="13.5" thickTop="1">
      <c r="A168" s="518"/>
      <c r="B168" s="518"/>
      <c r="C168" s="529"/>
      <c r="D168" s="534"/>
      <c r="E168" s="535"/>
      <c r="F168" s="535"/>
      <c r="G168" s="45"/>
      <c r="H168" s="534"/>
      <c r="I168" s="534"/>
      <c r="J168" s="534"/>
      <c r="K168" s="518"/>
      <c r="L168" s="461"/>
    </row>
    <row r="169" spans="1:12">
      <c r="A169" s="518" t="s">
        <v>561</v>
      </c>
      <c r="B169" s="518"/>
      <c r="C169" s="546" t="e">
        <f>#REF!+#REF!+#REF!+#REF!+#REF!+#REF!+#REF!+#REF!+I105+I60+I34+I12+#REF!</f>
        <v>#REF!</v>
      </c>
      <c r="D169" s="546" t="e">
        <f>#REF!+#REF!+#REF!+#REF!+#REF!+#REF!+#REF!+#REF!+I107</f>
        <v>#REF!</v>
      </c>
      <c r="E169" s="546">
        <f>4880.579+2001.566</f>
        <v>6882.1449999999995</v>
      </c>
      <c r="F169" s="328" t="e">
        <f>#REF!+D11+D33+#REF!+D59+D104+#REF!+D121+D145+#REF!</f>
        <v>#REF!</v>
      </c>
      <c r="G169" s="328">
        <v>4327.8410000000003</v>
      </c>
      <c r="H169" s="328">
        <f>G171</f>
        <v>2899.1870000000004</v>
      </c>
      <c r="I169" s="328" t="e">
        <f>H171</f>
        <v>#REF!</v>
      </c>
      <c r="J169" s="328" t="e">
        <f>I171</f>
        <v>#REF!</v>
      </c>
      <c r="K169" s="328"/>
      <c r="L169" s="465"/>
    </row>
    <row r="170" spans="1:12">
      <c r="A170" s="518" t="s">
        <v>562</v>
      </c>
      <c r="B170" s="518"/>
      <c r="C170" s="553" t="e">
        <f>#REF!+#REF!+F11+F12+F33+F34+#REF!+#REF!+F59+F60+F104+F105+#REF!+#REF!+#REF!+#REF!+#REF!+#REF!+#REF!+#REF!+#REF!+#REF!+#REF!+#REF!+#REF!+#REF!</f>
        <v>#REF!</v>
      </c>
      <c r="D170" s="553" t="e">
        <f>#REF!+#REF!+F13+F14+F35+F50+#REF!+F106+F107+#REF!+#REF!+#REF!+#REF!+#REF!+#REF!+#REF!+#REF!+#REF!+#REF!+#REF!+#REF!+#REF!+#REF!+#REF!</f>
        <v>#REF!</v>
      </c>
      <c r="E170" s="553">
        <v>2001.566</v>
      </c>
      <c r="F170" s="328" t="e">
        <f>#REF!+#REF!+E11+E12+E13+E14+E33+E34+E35+E36+#REF!+#REF!+#REF!+#REF!+E59+E60+E61+E62+E104+E105+E106+E107+#REF!+E145+E146+E147+E148</f>
        <v>#REF!</v>
      </c>
      <c r="G170" s="328">
        <v>1428.654</v>
      </c>
      <c r="H170" s="328" t="e">
        <f>E19+E20+E21+E22+E41+E42+E43+E44+E67+E68+E69+E115+E112+E113+E114+#REF!+#REF!+J131+J132+E153+E154+E155+E156+E86+E87+E88+E89</f>
        <v>#REF!</v>
      </c>
      <c r="I170" s="328">
        <f>E23+E24+E45+E46+E47+E48+E116+E117+E118+J133+J134+E157+E158+E86+E87+E88+E89</f>
        <v>785.39661982954544</v>
      </c>
      <c r="J170" s="328" t="e">
        <f>J169</f>
        <v>#REF!</v>
      </c>
      <c r="K170" s="328"/>
      <c r="L170" s="465"/>
    </row>
    <row r="171" spans="1:12">
      <c r="A171" s="518" t="s">
        <v>688</v>
      </c>
      <c r="B171" s="518"/>
      <c r="C171" s="26" t="e">
        <f>SUM(C169:C170)</f>
        <v>#REF!</v>
      </c>
      <c r="D171" s="26" t="e">
        <f>SUM(D169:D170)</f>
        <v>#REF!</v>
      </c>
      <c r="E171" s="26">
        <f t="shared" ref="E171:J171" si="41">E169-E170</f>
        <v>4880.5789999999997</v>
      </c>
      <c r="F171" s="328" t="e">
        <f t="shared" si="41"/>
        <v>#REF!</v>
      </c>
      <c r="G171" s="328">
        <f t="shared" si="41"/>
        <v>2899.1870000000004</v>
      </c>
      <c r="H171" s="328" t="e">
        <f t="shared" si="41"/>
        <v>#REF!</v>
      </c>
      <c r="I171" s="328" t="e">
        <f t="shared" si="41"/>
        <v>#REF!</v>
      </c>
      <c r="J171" s="328" t="e">
        <f t="shared" si="41"/>
        <v>#REF!</v>
      </c>
      <c r="K171" s="328"/>
      <c r="L171" s="465"/>
    </row>
    <row r="172" spans="1:12">
      <c r="A172" s="518"/>
      <c r="B172" s="518"/>
      <c r="C172" s="45"/>
      <c r="D172" s="45"/>
      <c r="E172" s="45"/>
      <c r="F172" s="45"/>
      <c r="G172" s="45"/>
      <c r="H172" s="534"/>
      <c r="I172" s="534"/>
      <c r="J172" s="534"/>
      <c r="K172" s="518"/>
      <c r="L172" s="461"/>
    </row>
    <row r="173" spans="1:12">
      <c r="A173" s="518" t="s">
        <v>687</v>
      </c>
      <c r="B173" s="518"/>
      <c r="C173" s="92"/>
      <c r="D173" s="92"/>
      <c r="E173" s="92">
        <v>8691.982</v>
      </c>
      <c r="F173" s="92">
        <v>6733.4669999999996</v>
      </c>
      <c r="G173" s="92">
        <v>5000</v>
      </c>
      <c r="H173" s="92">
        <v>3500</v>
      </c>
      <c r="I173" s="92">
        <v>3000</v>
      </c>
      <c r="J173" s="534">
        <v>3000</v>
      </c>
      <c r="K173" s="518">
        <v>3000</v>
      </c>
      <c r="L173" s="518">
        <v>3000</v>
      </c>
    </row>
    <row r="174" spans="1:12">
      <c r="A174" s="518"/>
      <c r="B174" s="518"/>
      <c r="C174" s="45"/>
      <c r="D174" s="45"/>
      <c r="E174" s="45"/>
      <c r="F174" s="45"/>
      <c r="G174" s="45"/>
      <c r="H174" s="534"/>
      <c r="I174" s="534"/>
      <c r="J174" s="534"/>
      <c r="K174" s="518"/>
      <c r="L174" s="461"/>
    </row>
    <row r="175" spans="1:12">
      <c r="A175" s="518" t="s">
        <v>556</v>
      </c>
      <c r="B175" s="518"/>
      <c r="C175" s="26" t="e">
        <f>C174*(C170+C169)</f>
        <v>#REF!</v>
      </c>
      <c r="D175" s="26" t="e">
        <f>D174*(D170+D169)</f>
        <v>#REF!</v>
      </c>
      <c r="E175" s="314">
        <f>E162/E169</f>
        <v>0.11305123620615375</v>
      </c>
      <c r="F175" s="314" t="e">
        <f>F162/F169</f>
        <v>#REF!</v>
      </c>
      <c r="G175" s="314" t="e">
        <f>G162/G171</f>
        <v>#REF!</v>
      </c>
      <c r="H175" s="314" t="e">
        <f>H162/H171</f>
        <v>#REF!</v>
      </c>
      <c r="I175" s="314" t="e">
        <f>I162/I171</f>
        <v>#REF!</v>
      </c>
      <c r="J175" s="314" t="e">
        <f>J162/J171</f>
        <v>#REF!</v>
      </c>
      <c r="K175" s="314" t="e">
        <f>K162/K171</f>
        <v>#DIV/0!</v>
      </c>
      <c r="L175" s="461"/>
    </row>
    <row r="176" spans="1:12">
      <c r="A176" s="518" t="s">
        <v>557</v>
      </c>
      <c r="B176" s="518"/>
      <c r="C176" s="26" t="e">
        <f>#REF!</f>
        <v>#REF!</v>
      </c>
      <c r="D176" s="26">
        <f>G183*D172</f>
        <v>0</v>
      </c>
      <c r="E176" s="45">
        <f>E163/E173</f>
        <v>0.14291861165842268</v>
      </c>
      <c r="F176" s="45">
        <f>F163/F173</f>
        <v>0.14241890544648098</v>
      </c>
      <c r="G176" s="45">
        <v>0.11</v>
      </c>
      <c r="H176" s="45">
        <f>G176</f>
        <v>0.11</v>
      </c>
      <c r="I176" s="45">
        <f>H176</f>
        <v>0.11</v>
      </c>
      <c r="J176" s="45">
        <f>I176</f>
        <v>0.11</v>
      </c>
      <c r="K176" s="45">
        <f>J176</f>
        <v>0.11</v>
      </c>
      <c r="L176" s="461"/>
    </row>
    <row r="177" spans="1:12">
      <c r="A177" s="547"/>
      <c r="B177" s="547"/>
      <c r="C177" s="25"/>
      <c r="D177" s="25"/>
      <c r="E177" s="25"/>
      <c r="F177" s="25"/>
      <c r="G177" s="25"/>
      <c r="H177" s="534"/>
      <c r="I177" s="534"/>
      <c r="J177" s="534"/>
      <c r="K177" s="518"/>
      <c r="L177" s="461"/>
    </row>
    <row r="178" spans="1:12">
      <c r="A178" s="461" t="s">
        <v>698</v>
      </c>
      <c r="B178" s="461"/>
      <c r="C178" s="461"/>
      <c r="D178" s="461"/>
      <c r="E178" s="11">
        <f>BS!P17</f>
        <v>30217.282999999996</v>
      </c>
      <c r="F178" s="11">
        <f>BS!Q17</f>
        <v>32930.631999999998</v>
      </c>
      <c r="G178" s="11">
        <f>BS!R17</f>
        <v>47956.797999999995</v>
      </c>
      <c r="H178" s="11">
        <f>BS!S17</f>
        <v>61516.534999999996</v>
      </c>
      <c r="I178" s="11">
        <f>BS!T17</f>
        <v>67047.941150690109</v>
      </c>
      <c r="J178" s="11">
        <f>BS!U17</f>
        <v>72837.978536923532</v>
      </c>
      <c r="K178" s="11">
        <f>BS!V17</f>
        <v>78404.313271509716</v>
      </c>
      <c r="L178" s="11">
        <f>BS!W17</f>
        <v>83930.940373783335</v>
      </c>
    </row>
    <row r="179" spans="1:12">
      <c r="A179" s="461" t="s">
        <v>700</v>
      </c>
      <c r="B179" s="461"/>
      <c r="C179" s="461"/>
      <c r="D179" s="461"/>
      <c r="E179" s="11"/>
      <c r="F179" s="11"/>
      <c r="G179" s="11">
        <f>BS!R7/10*52</f>
        <v>22782.193200000002</v>
      </c>
      <c r="H179" s="11">
        <f>G179</f>
        <v>22782.193200000002</v>
      </c>
      <c r="I179" s="11">
        <f>H179</f>
        <v>22782.193200000002</v>
      </c>
      <c r="J179" s="11">
        <f>I179</f>
        <v>22782.193200000002</v>
      </c>
      <c r="K179" s="11">
        <f>J179</f>
        <v>22782.193200000002</v>
      </c>
      <c r="L179" s="461"/>
    </row>
    <row r="180" spans="1:12">
      <c r="A180" s="461" t="s">
        <v>498</v>
      </c>
      <c r="B180" s="461"/>
      <c r="C180" s="461"/>
      <c r="D180" s="461"/>
      <c r="E180" s="11">
        <f>BS!P60</f>
        <v>49703.228999999992</v>
      </c>
      <c r="F180" s="11">
        <f>BS!Q60</f>
        <v>50685.198999999993</v>
      </c>
      <c r="G180" s="11">
        <f>BS!R60</f>
        <v>63526.718999999997</v>
      </c>
      <c r="H180" s="11">
        <f>BS!S60</f>
        <v>73282.068999999989</v>
      </c>
      <c r="I180" s="11">
        <f>BS!T60</f>
        <v>78896.484736302198</v>
      </c>
      <c r="J180" s="11">
        <f>BS!U60</f>
        <v>84103.953761955723</v>
      </c>
      <c r="K180" s="11">
        <f>BS!V60</f>
        <v>89139.909582862849</v>
      </c>
      <c r="L180" s="32">
        <f>L179/53.584</f>
        <v>0</v>
      </c>
    </row>
    <row r="181" spans="1:12">
      <c r="A181" s="461"/>
      <c r="B181" s="461"/>
      <c r="C181" s="461"/>
      <c r="D181" s="461"/>
      <c r="E181" s="465">
        <f>(E169+E173)/E180</f>
        <v>0.313342358501497</v>
      </c>
      <c r="F181" s="465" t="e">
        <f t="shared" ref="F181:K181" si="42">(F169+F173)/F180</f>
        <v>#REF!</v>
      </c>
      <c r="G181" s="465">
        <f t="shared" si="42"/>
        <v>0.14683335054656294</v>
      </c>
      <c r="H181" s="465">
        <f t="shared" si="42"/>
        <v>8.7322684625621053E-2</v>
      </c>
      <c r="I181" s="465" t="e">
        <f t="shared" si="42"/>
        <v>#REF!</v>
      </c>
      <c r="J181" s="465" t="e">
        <f t="shared" si="42"/>
        <v>#REF!</v>
      </c>
      <c r="K181" s="465">
        <f t="shared" si="42"/>
        <v>3.3654958974478816E-2</v>
      </c>
      <c r="L181" s="461"/>
    </row>
    <row r="182" spans="1:12">
      <c r="A182" s="547" t="s">
        <v>695</v>
      </c>
      <c r="B182" s="518"/>
      <c r="C182" s="518"/>
      <c r="D182" s="518"/>
      <c r="E182" s="314">
        <f t="shared" ref="E182:K182" si="43">(E162+E163)/(E173+E169)</f>
        <v>0.12972033681245826</v>
      </c>
      <c r="F182" s="314" t="e">
        <f t="shared" si="43"/>
        <v>#REF!</v>
      </c>
      <c r="G182" s="314" t="e">
        <f t="shared" si="43"/>
        <v>#REF!</v>
      </c>
      <c r="H182" s="314" t="e">
        <f>(H162+H163)/(H173+H169)</f>
        <v>#REF!</v>
      </c>
      <c r="I182" s="314" t="e">
        <f t="shared" si="43"/>
        <v>#REF!</v>
      </c>
      <c r="J182" s="314" t="e">
        <f t="shared" si="43"/>
        <v>#REF!</v>
      </c>
      <c r="K182" s="314">
        <f t="shared" si="43"/>
        <v>0.11312997037677736</v>
      </c>
      <c r="L182" s="1208">
        <f>K182</f>
        <v>0.11312997037677736</v>
      </c>
    </row>
    <row r="183" spans="1:12">
      <c r="A183" s="518" t="s">
        <v>697</v>
      </c>
      <c r="B183" s="518"/>
      <c r="C183" s="554"/>
      <c r="D183" s="518"/>
      <c r="E183" s="314">
        <f t="shared" ref="E183:L183" si="44">(E169+E173)/(E169+E173+E178)</f>
        <v>0.34011023028118159</v>
      </c>
      <c r="F183" s="314" t="e">
        <f t="shared" si="44"/>
        <v>#REF!</v>
      </c>
      <c r="G183" s="314">
        <f t="shared" si="44"/>
        <v>0.16283319861717208</v>
      </c>
      <c r="H183" s="314">
        <f t="shared" si="44"/>
        <v>9.422246884160343E-2</v>
      </c>
      <c r="I183" s="314" t="e">
        <f t="shared" si="44"/>
        <v>#REF!</v>
      </c>
      <c r="J183" s="314" t="e">
        <f t="shared" si="44"/>
        <v>#REF!</v>
      </c>
      <c r="K183" s="314">
        <f t="shared" si="44"/>
        <v>3.685308406194681E-2</v>
      </c>
      <c r="L183" s="314">
        <f t="shared" si="44"/>
        <v>3.4510152393390434E-2</v>
      </c>
    </row>
    <row r="184" spans="1:12">
      <c r="A184" s="518" t="s">
        <v>699</v>
      </c>
      <c r="B184" s="92"/>
      <c r="C184" s="92"/>
      <c r="D184" s="92"/>
      <c r="E184" s="890">
        <f>1-E183</f>
        <v>0.65988976971881841</v>
      </c>
      <c r="F184" s="890" t="e">
        <f t="shared" ref="F184:L184" si="45">1-F183</f>
        <v>#REF!</v>
      </c>
      <c r="G184" s="890">
        <f t="shared" si="45"/>
        <v>0.83716680138282795</v>
      </c>
      <c r="H184" s="890">
        <f t="shared" si="45"/>
        <v>0.90577753115839654</v>
      </c>
      <c r="I184" s="890" t="e">
        <f t="shared" si="45"/>
        <v>#REF!</v>
      </c>
      <c r="J184" s="890" t="e">
        <f t="shared" si="45"/>
        <v>#REF!</v>
      </c>
      <c r="K184" s="890">
        <f t="shared" si="45"/>
        <v>0.96314691593805324</v>
      </c>
      <c r="L184" s="890">
        <f t="shared" si="45"/>
        <v>0.96548984760660961</v>
      </c>
    </row>
    <row r="185" spans="1:12">
      <c r="A185" s="547" t="s">
        <v>701</v>
      </c>
      <c r="B185" s="45"/>
      <c r="C185" s="518"/>
      <c r="D185" s="555"/>
      <c r="E185" s="555"/>
      <c r="F185" s="555"/>
      <c r="G185" s="555"/>
      <c r="H185" s="555"/>
      <c r="I185" s="518"/>
      <c r="J185" s="518"/>
      <c r="K185" s="518"/>
      <c r="L185" s="461"/>
    </row>
    <row r="186" spans="1:12">
      <c r="A186" s="461" t="s">
        <v>229</v>
      </c>
      <c r="B186" s="518"/>
      <c r="C186" s="543"/>
      <c r="D186" s="543"/>
      <c r="E186" s="543"/>
      <c r="F186" s="891" t="e">
        <f t="shared" ref="F186:K186" si="46">(F169+F173)/(F169+F173+F179)</f>
        <v>#REF!</v>
      </c>
      <c r="G186" s="891">
        <f t="shared" si="46"/>
        <v>0.2904961402999689</v>
      </c>
      <c r="H186" s="891">
        <f t="shared" si="46"/>
        <v>0.21929007319537272</v>
      </c>
      <c r="I186" s="891" t="e">
        <f t="shared" si="46"/>
        <v>#REF!</v>
      </c>
      <c r="J186" s="891" t="e">
        <f t="shared" si="46"/>
        <v>#REF!</v>
      </c>
      <c r="K186" s="891">
        <f t="shared" si="46"/>
        <v>0.11635937938747584</v>
      </c>
      <c r="L186" s="461"/>
    </row>
    <row r="187" spans="1:12">
      <c r="A187" s="518" t="s">
        <v>286</v>
      </c>
      <c r="B187" s="518"/>
      <c r="C187" s="92"/>
      <c r="D187" s="518"/>
      <c r="E187" s="535"/>
      <c r="F187" s="892" t="e">
        <f t="shared" ref="F187:K187" si="47">1-F186</f>
        <v>#REF!</v>
      </c>
      <c r="G187" s="892">
        <f t="shared" si="47"/>
        <v>0.70950385970003116</v>
      </c>
      <c r="H187" s="892">
        <f t="shared" si="47"/>
        <v>0.78070992680462725</v>
      </c>
      <c r="I187" s="892" t="e">
        <f t="shared" si="47"/>
        <v>#REF!</v>
      </c>
      <c r="J187" s="892" t="e">
        <f t="shared" si="47"/>
        <v>#REF!</v>
      </c>
      <c r="K187" s="892">
        <f t="shared" si="47"/>
        <v>0.88364062061252413</v>
      </c>
      <c r="L187" s="461"/>
    </row>
    <row r="188" spans="1:12">
      <c r="A188" s="518"/>
      <c r="B188" s="518"/>
      <c r="C188" s="92"/>
      <c r="D188" s="534"/>
      <c r="E188" s="535"/>
      <c r="F188" s="535"/>
      <c r="G188" s="45"/>
      <c r="H188" s="534"/>
      <c r="I188" s="534"/>
      <c r="J188" s="534"/>
      <c r="K188" s="518"/>
      <c r="L188" s="461"/>
    </row>
    <row r="189" spans="1:12">
      <c r="A189" s="461" t="s">
        <v>696</v>
      </c>
      <c r="B189" s="518"/>
      <c r="C189" s="92"/>
      <c r="D189" s="92"/>
      <c r="E189" s="535"/>
      <c r="F189" s="535"/>
      <c r="G189" s="314">
        <f>DCF!C37</f>
        <v>0.22681000000000001</v>
      </c>
      <c r="H189" s="314">
        <f t="shared" ref="H189:K190" si="48">G189</f>
        <v>0.22681000000000001</v>
      </c>
      <c r="I189" s="314">
        <f t="shared" si="48"/>
        <v>0.22681000000000001</v>
      </c>
      <c r="J189" s="314">
        <f t="shared" si="48"/>
        <v>0.22681000000000001</v>
      </c>
      <c r="K189" s="314">
        <f t="shared" si="48"/>
        <v>0.22681000000000001</v>
      </c>
      <c r="L189" s="461"/>
    </row>
    <row r="190" spans="1:12">
      <c r="A190" s="461"/>
      <c r="B190" s="518"/>
      <c r="C190" s="92"/>
      <c r="D190" s="534"/>
      <c r="E190" s="535"/>
      <c r="F190" s="535"/>
      <c r="G190" s="314">
        <f>G176*(1-IS!BJ48)</f>
        <v>8.5294631036866853E-2</v>
      </c>
      <c r="H190" s="314">
        <f t="shared" si="48"/>
        <v>8.5294631036866853E-2</v>
      </c>
      <c r="I190" s="314">
        <f t="shared" si="48"/>
        <v>8.5294631036866853E-2</v>
      </c>
      <c r="J190" s="314">
        <f t="shared" si="48"/>
        <v>8.5294631036866853E-2</v>
      </c>
      <c r="K190" s="314">
        <f t="shared" si="48"/>
        <v>8.5294631036866853E-2</v>
      </c>
      <c r="L190" s="461"/>
    </row>
    <row r="191" spans="1:12">
      <c r="A191" s="461"/>
      <c r="B191" s="518"/>
      <c r="C191" s="529"/>
      <c r="D191" s="534"/>
      <c r="E191" s="535"/>
      <c r="F191" s="535"/>
      <c r="G191" s="45"/>
      <c r="H191" s="534"/>
      <c r="I191" s="534"/>
      <c r="J191" s="534"/>
      <c r="K191" s="518"/>
      <c r="L191" s="461"/>
    </row>
    <row r="192" spans="1:12">
      <c r="A192" s="518" t="s">
        <v>716</v>
      </c>
      <c r="B192" s="518"/>
      <c r="C192" s="529"/>
      <c r="D192" s="534"/>
      <c r="E192" s="535"/>
      <c r="F192" s="535"/>
      <c r="G192" s="314">
        <f>G189*G187+G190*G186</f>
        <v>0.18570033152308385</v>
      </c>
      <c r="H192" s="314">
        <f>H189*H187+H190*H186</f>
        <v>0.19577708438180436</v>
      </c>
      <c r="I192" s="314" t="e">
        <f>I189*I187+I190*I186</f>
        <v>#REF!</v>
      </c>
      <c r="J192" s="314" t="e">
        <f>J189*J187+J190*J186</f>
        <v>#REF!</v>
      </c>
      <c r="K192" s="314">
        <f>K189*K187+K190*K186</f>
        <v>0.21034335949366015</v>
      </c>
      <c r="L192" s="461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76"/>
  <sheetViews>
    <sheetView workbookViewId="0"/>
  </sheetViews>
  <sheetFormatPr defaultRowHeight="12.75"/>
  <cols>
    <col min="1" max="1" width="30" style="461" bestFit="1" customWidth="1"/>
    <col min="2" max="2" width="9.28515625" style="461" bestFit="1" customWidth="1"/>
    <col min="3" max="3" width="9.5703125" style="461" bestFit="1" customWidth="1"/>
    <col min="4" max="4" width="9" style="461" bestFit="1" customWidth="1"/>
    <col min="5" max="5" width="10.140625" style="461" bestFit="1" customWidth="1"/>
    <col min="6" max="7" width="10" style="461" bestFit="1" customWidth="1"/>
    <col min="8" max="8" width="10.140625" style="461" bestFit="1" customWidth="1"/>
    <col min="9" max="9" width="11.140625" style="461" bestFit="1" customWidth="1"/>
    <col min="10" max="10" width="12.140625" style="461" bestFit="1" customWidth="1"/>
    <col min="11" max="12" width="11.42578125" style="461" bestFit="1" customWidth="1"/>
    <col min="13" max="13" width="11.42578125" style="461" customWidth="1"/>
    <col min="14" max="14" width="35.42578125" style="461" bestFit="1" customWidth="1"/>
    <col min="15" max="21" width="9.140625" style="461"/>
    <col min="22" max="22" width="8.140625" style="461" bestFit="1" customWidth="1"/>
    <col min="23" max="23" width="12" style="461" bestFit="1" customWidth="1"/>
    <col min="24" max="24" width="11.28515625" style="461" bestFit="1" customWidth="1"/>
    <col min="25" max="25" width="11.42578125" style="461" bestFit="1" customWidth="1"/>
    <col min="26" max="16384" width="9.140625" style="461"/>
  </cols>
  <sheetData>
    <row r="1" spans="1:24">
      <c r="A1" s="463" t="s">
        <v>212</v>
      </c>
      <c r="N1" s="518"/>
      <c r="O1" s="518"/>
      <c r="P1" s="518"/>
      <c r="Q1" s="518"/>
      <c r="R1" s="518"/>
      <c r="S1" s="518"/>
      <c r="T1" s="518"/>
      <c r="U1" s="518"/>
      <c r="V1" s="518"/>
      <c r="W1" s="518"/>
    </row>
    <row r="2" spans="1:24">
      <c r="N2" s="518"/>
      <c r="O2" s="518"/>
      <c r="P2" s="518"/>
      <c r="Q2" s="518"/>
      <c r="R2" s="518"/>
      <c r="S2" s="518"/>
      <c r="T2" s="518"/>
      <c r="U2" s="518"/>
      <c r="V2" s="518"/>
      <c r="W2" s="518"/>
    </row>
    <row r="3" spans="1:24">
      <c r="A3" s="520" t="s">
        <v>678</v>
      </c>
      <c r="B3" s="521"/>
      <c r="C3" s="521"/>
      <c r="D3" s="521"/>
      <c r="E3" s="521"/>
      <c r="F3" s="521"/>
      <c r="G3" s="521"/>
      <c r="H3" s="521"/>
      <c r="I3" s="521"/>
      <c r="J3" s="521"/>
      <c r="K3" s="521"/>
      <c r="N3" s="872"/>
      <c r="O3" s="873"/>
      <c r="P3" s="873"/>
      <c r="Q3" s="873"/>
      <c r="R3" s="873"/>
      <c r="S3" s="873"/>
      <c r="T3" s="873"/>
      <c r="U3" s="873"/>
      <c r="V3" s="873"/>
      <c r="W3" s="873"/>
      <c r="X3" s="522"/>
    </row>
    <row r="4" spans="1:24">
      <c r="A4" s="521" t="s">
        <v>544</v>
      </c>
      <c r="B4" s="521">
        <v>230.54499999999999</v>
      </c>
      <c r="C4" s="521"/>
      <c r="D4" s="521"/>
      <c r="E4" s="521"/>
      <c r="F4" s="521"/>
      <c r="G4" s="521"/>
      <c r="H4" s="521"/>
      <c r="I4" s="521"/>
      <c r="J4" s="521"/>
      <c r="K4" s="521"/>
      <c r="N4" s="873"/>
      <c r="O4" s="874"/>
      <c r="P4" s="873"/>
      <c r="Q4" s="873"/>
      <c r="R4" s="873"/>
      <c r="S4" s="873"/>
      <c r="T4" s="873"/>
      <c r="U4" s="873"/>
      <c r="V4" s="873"/>
      <c r="W4" s="873"/>
      <c r="X4" s="522"/>
    </row>
    <row r="5" spans="1:24">
      <c r="A5" s="521" t="s">
        <v>545</v>
      </c>
      <c r="B5" s="521">
        <v>4</v>
      </c>
      <c r="C5" s="521"/>
      <c r="D5" s="521"/>
      <c r="E5" s="521"/>
      <c r="F5" s="521"/>
      <c r="G5" s="521"/>
      <c r="H5" s="521"/>
      <c r="I5" s="521"/>
      <c r="J5" s="521"/>
      <c r="K5" s="521"/>
      <c r="N5" s="873"/>
      <c r="O5" s="873"/>
      <c r="P5" s="873"/>
      <c r="Q5" s="873"/>
      <c r="R5" s="873"/>
      <c r="S5" s="873"/>
      <c r="T5" s="873"/>
      <c r="U5" s="873"/>
      <c r="V5" s="873"/>
      <c r="W5" s="873"/>
      <c r="X5" s="522"/>
    </row>
    <row r="6" spans="1:24">
      <c r="A6" s="521" t="s">
        <v>546</v>
      </c>
      <c r="B6" s="521">
        <v>2</v>
      </c>
      <c r="C6" s="521"/>
      <c r="D6" s="521"/>
      <c r="E6" s="521"/>
      <c r="F6" s="521"/>
      <c r="G6" s="521"/>
      <c r="H6" s="521"/>
      <c r="I6" s="521"/>
      <c r="J6" s="521"/>
      <c r="K6" s="521"/>
      <c r="N6" s="873"/>
      <c r="O6" s="873"/>
      <c r="P6" s="873"/>
      <c r="Q6" s="873"/>
      <c r="R6" s="873"/>
      <c r="S6" s="873"/>
      <c r="T6" s="873"/>
      <c r="U6" s="873"/>
      <c r="V6" s="873"/>
      <c r="W6" s="873"/>
      <c r="X6" s="522"/>
    </row>
    <row r="7" spans="1:24">
      <c r="A7" s="521" t="s">
        <v>213</v>
      </c>
      <c r="B7" s="523">
        <f>10%+1%</f>
        <v>0.11</v>
      </c>
      <c r="C7" s="521"/>
      <c r="D7" s="521"/>
      <c r="E7" s="521"/>
      <c r="F7" s="521"/>
      <c r="G7" s="521"/>
      <c r="H7" s="521"/>
      <c r="I7" s="521"/>
      <c r="J7" s="521"/>
      <c r="K7" s="521"/>
      <c r="N7" s="873"/>
      <c r="O7" s="538"/>
      <c r="P7" s="873"/>
      <c r="Q7" s="873"/>
      <c r="R7" s="873"/>
      <c r="S7" s="873"/>
      <c r="T7" s="873"/>
      <c r="U7" s="873"/>
      <c r="V7" s="873"/>
      <c r="W7" s="873"/>
      <c r="X7" s="522"/>
    </row>
    <row r="8" spans="1:24">
      <c r="A8" s="521" t="s">
        <v>547</v>
      </c>
      <c r="B8" s="524">
        <f>B4/B5</f>
        <v>57.636249999999997</v>
      </c>
      <c r="C8" s="521"/>
      <c r="D8" s="521"/>
      <c r="E8" s="521"/>
      <c r="F8" s="521"/>
      <c r="G8" s="521"/>
      <c r="H8" s="521"/>
      <c r="I8" s="521"/>
      <c r="J8" s="521"/>
      <c r="K8" s="521"/>
      <c r="N8" s="873"/>
      <c r="O8" s="539"/>
      <c r="P8" s="873"/>
      <c r="Q8" s="873"/>
      <c r="R8" s="873"/>
      <c r="S8" s="873"/>
      <c r="T8" s="873"/>
      <c r="U8" s="873"/>
      <c r="V8" s="873"/>
      <c r="W8" s="873"/>
      <c r="X8" s="522"/>
    </row>
    <row r="9" spans="1:24">
      <c r="A9" s="521"/>
      <c r="B9" s="521"/>
      <c r="C9" s="525" t="s">
        <v>217</v>
      </c>
      <c r="D9" s="525" t="s">
        <v>318</v>
      </c>
      <c r="E9" s="525" t="s">
        <v>547</v>
      </c>
      <c r="F9" s="525"/>
      <c r="G9" s="525" t="s">
        <v>2</v>
      </c>
      <c r="H9" s="525" t="s">
        <v>216</v>
      </c>
      <c r="I9" s="525" t="s">
        <v>318</v>
      </c>
      <c r="J9" s="525"/>
      <c r="K9" s="521"/>
      <c r="N9" s="873"/>
      <c r="O9" s="873"/>
      <c r="P9" s="875"/>
      <c r="Q9" s="875"/>
      <c r="R9" s="875"/>
      <c r="S9" s="875"/>
      <c r="T9" s="875"/>
      <c r="U9" s="875"/>
      <c r="V9" s="875"/>
      <c r="W9" s="875"/>
      <c r="X9" s="522"/>
    </row>
    <row r="10" spans="1:24">
      <c r="A10" s="521"/>
      <c r="B10" s="521"/>
      <c r="C10" s="526">
        <v>41153</v>
      </c>
      <c r="D10" s="556">
        <f>B4</f>
        <v>230.54499999999999</v>
      </c>
      <c r="E10" s="556">
        <f>$B$8</f>
        <v>57.636249999999997</v>
      </c>
      <c r="F10" s="556"/>
      <c r="G10" s="557">
        <f>$B$7/$B$6</f>
        <v>5.5E-2</v>
      </c>
      <c r="H10" s="558">
        <f>D10*G10</f>
        <v>12.679974999999999</v>
      </c>
      <c r="I10" s="559">
        <f>D10-E10</f>
        <v>172.90875</v>
      </c>
      <c r="J10" s="560"/>
      <c r="K10" s="521"/>
      <c r="N10" s="873"/>
      <c r="O10" s="873"/>
      <c r="P10" s="876"/>
      <c r="Q10" s="877"/>
      <c r="R10" s="878"/>
      <c r="S10" s="879"/>
      <c r="T10" s="879"/>
      <c r="U10" s="880"/>
      <c r="V10" s="881"/>
      <c r="W10" s="881"/>
      <c r="X10" s="522"/>
    </row>
    <row r="11" spans="1:24">
      <c r="A11" s="521"/>
      <c r="B11" s="521"/>
      <c r="C11" s="526">
        <v>41334</v>
      </c>
      <c r="D11" s="556">
        <f>I10</f>
        <v>172.90875</v>
      </c>
      <c r="E11" s="556">
        <f>I10</f>
        <v>172.90875</v>
      </c>
      <c r="F11" s="556"/>
      <c r="G11" s="557">
        <f>$B$7/$B$6</f>
        <v>5.5E-2</v>
      </c>
      <c r="H11" s="558">
        <f>D11*G11</f>
        <v>9.5099812499999992</v>
      </c>
      <c r="I11" s="561">
        <f>D11-E11</f>
        <v>0</v>
      </c>
      <c r="J11" s="562"/>
      <c r="K11" s="521"/>
      <c r="N11" s="873"/>
      <c r="O11" s="873"/>
      <c r="P11" s="876"/>
      <c r="Q11" s="878"/>
      <c r="R11" s="878"/>
      <c r="S11" s="879"/>
      <c r="T11" s="879"/>
      <c r="U11" s="880"/>
      <c r="V11" s="881"/>
      <c r="W11" s="882"/>
      <c r="X11" s="522"/>
    </row>
    <row r="12" spans="1:24">
      <c r="A12" s="462"/>
      <c r="B12" s="462"/>
      <c r="C12" s="526">
        <v>41518</v>
      </c>
      <c r="D12" s="556">
        <f>I11</f>
        <v>0</v>
      </c>
      <c r="E12" s="556"/>
      <c r="F12" s="556"/>
      <c r="G12" s="557">
        <f>$B$7/$B$6</f>
        <v>5.5E-2</v>
      </c>
      <c r="H12" s="558">
        <f>D12*G12</f>
        <v>0</v>
      </c>
      <c r="I12" s="559">
        <f>D12-E12</f>
        <v>0</v>
      </c>
      <c r="J12" s="560"/>
      <c r="K12" s="462"/>
      <c r="N12" s="518"/>
      <c r="O12" s="518"/>
      <c r="P12" s="876"/>
      <c r="Q12" s="878"/>
      <c r="R12" s="878"/>
      <c r="S12" s="879"/>
      <c r="T12" s="879"/>
      <c r="U12" s="880"/>
      <c r="V12" s="881"/>
      <c r="W12" s="881"/>
      <c r="X12" s="471"/>
    </row>
    <row r="13" spans="1:24">
      <c r="A13" s="462"/>
      <c r="B13" s="462"/>
      <c r="C13" s="526">
        <v>41699</v>
      </c>
      <c r="D13" s="556">
        <f>I12</f>
        <v>0</v>
      </c>
      <c r="E13" s="556"/>
      <c r="F13" s="556"/>
      <c r="G13" s="557">
        <f>$B$7/$B$6</f>
        <v>5.5E-2</v>
      </c>
      <c r="H13" s="558">
        <f>D13*G13</f>
        <v>0</v>
      </c>
      <c r="I13" s="561">
        <f>D13-E13</f>
        <v>0</v>
      </c>
      <c r="J13" s="562"/>
      <c r="K13" s="462"/>
      <c r="N13" s="518"/>
      <c r="O13" s="518"/>
      <c r="P13" s="876"/>
      <c r="Q13" s="878"/>
      <c r="R13" s="878"/>
      <c r="S13" s="879"/>
      <c r="T13" s="879"/>
      <c r="U13" s="880"/>
      <c r="V13" s="881"/>
      <c r="W13" s="882"/>
      <c r="X13" s="471"/>
    </row>
    <row r="14" spans="1:24">
      <c r="N14" s="518"/>
      <c r="O14" s="518"/>
      <c r="P14" s="518"/>
      <c r="Q14" s="518"/>
      <c r="R14" s="518"/>
      <c r="S14" s="518"/>
      <c r="T14" s="518"/>
      <c r="U14" s="518"/>
      <c r="V14" s="518"/>
      <c r="W14" s="518"/>
    </row>
    <row r="15" spans="1:24">
      <c r="A15" s="520" t="s">
        <v>679</v>
      </c>
      <c r="B15" s="521"/>
      <c r="C15" s="521"/>
      <c r="D15" s="521"/>
      <c r="E15" s="521"/>
      <c r="F15" s="521"/>
      <c r="G15" s="521"/>
      <c r="H15" s="521"/>
      <c r="I15" s="521"/>
      <c r="J15" s="521"/>
      <c r="K15" s="521"/>
      <c r="N15" s="872"/>
      <c r="O15" s="873"/>
      <c r="P15" s="873"/>
      <c r="Q15" s="873"/>
      <c r="R15" s="873"/>
      <c r="S15" s="873"/>
      <c r="T15" s="873"/>
      <c r="U15" s="873"/>
      <c r="V15" s="873"/>
      <c r="W15" s="518"/>
    </row>
    <row r="16" spans="1:24">
      <c r="A16" s="521" t="s">
        <v>544</v>
      </c>
      <c r="B16" s="521">
        <v>825</v>
      </c>
      <c r="C16" s="521">
        <v>825</v>
      </c>
      <c r="D16" s="521"/>
      <c r="E16" s="521"/>
      <c r="F16" s="521"/>
      <c r="G16" s="521"/>
      <c r="H16" s="521"/>
      <c r="I16" s="521"/>
      <c r="J16" s="521"/>
      <c r="K16" s="521"/>
      <c r="N16" s="873"/>
      <c r="O16" s="874"/>
      <c r="P16" s="873"/>
      <c r="Q16" s="873"/>
      <c r="R16" s="873"/>
      <c r="S16" s="873"/>
      <c r="T16" s="873"/>
      <c r="U16" s="873"/>
      <c r="V16" s="873"/>
      <c r="W16" s="518"/>
    </row>
    <row r="17" spans="1:23">
      <c r="A17" s="521" t="s">
        <v>545</v>
      </c>
      <c r="B17" s="521">
        <v>14</v>
      </c>
      <c r="C17" s="521"/>
      <c r="D17" s="521"/>
      <c r="E17" s="521"/>
      <c r="F17" s="521"/>
      <c r="G17" s="521"/>
      <c r="H17" s="521"/>
      <c r="I17" s="521"/>
      <c r="J17" s="521"/>
      <c r="K17" s="521"/>
      <c r="N17" s="873"/>
      <c r="O17" s="873"/>
      <c r="P17" s="873"/>
      <c r="Q17" s="873"/>
      <c r="R17" s="873"/>
      <c r="S17" s="873"/>
      <c r="T17" s="873"/>
      <c r="U17" s="873"/>
      <c r="V17" s="873"/>
      <c r="W17" s="518"/>
    </row>
    <row r="18" spans="1:23">
      <c r="A18" s="521" t="s">
        <v>546</v>
      </c>
      <c r="B18" s="521">
        <v>4</v>
      </c>
      <c r="C18" s="521"/>
      <c r="D18" s="521"/>
      <c r="E18" s="521"/>
      <c r="F18" s="521"/>
      <c r="G18" s="521"/>
      <c r="H18" s="521"/>
      <c r="I18" s="521"/>
      <c r="J18" s="521"/>
      <c r="K18" s="521"/>
      <c r="N18" s="873"/>
      <c r="O18" s="873"/>
      <c r="P18" s="873"/>
      <c r="Q18" s="873"/>
      <c r="R18" s="873"/>
      <c r="S18" s="873"/>
      <c r="T18" s="873"/>
      <c r="U18" s="873"/>
      <c r="V18" s="873"/>
      <c r="W18" s="518"/>
    </row>
    <row r="19" spans="1:23">
      <c r="A19" s="521" t="s">
        <v>213</v>
      </c>
      <c r="B19" s="523">
        <f>10.2%+0.6%</f>
        <v>0.108</v>
      </c>
      <c r="C19" s="521"/>
      <c r="D19" s="521"/>
      <c r="E19" s="521"/>
      <c r="F19" s="521"/>
      <c r="G19" s="521"/>
      <c r="H19" s="521"/>
      <c r="I19" s="521"/>
      <c r="J19" s="521"/>
      <c r="K19" s="521"/>
      <c r="N19" s="873"/>
      <c r="O19" s="538"/>
      <c r="P19" s="873"/>
      <c r="Q19" s="873"/>
      <c r="R19" s="873"/>
      <c r="S19" s="873"/>
      <c r="T19" s="873"/>
      <c r="U19" s="873"/>
      <c r="V19" s="873"/>
      <c r="W19" s="518"/>
    </row>
    <row r="20" spans="1:23">
      <c r="A20" s="521" t="s">
        <v>547</v>
      </c>
      <c r="B20" s="527">
        <f>B16/B17</f>
        <v>58.928571428571431</v>
      </c>
      <c r="C20" s="521"/>
      <c r="D20" s="521"/>
      <c r="E20" s="521"/>
      <c r="F20" s="521"/>
      <c r="G20" s="521"/>
      <c r="H20" s="521"/>
      <c r="I20" s="521"/>
      <c r="J20" s="521"/>
      <c r="K20" s="521"/>
      <c r="N20" s="873"/>
      <c r="O20" s="539"/>
      <c r="P20" s="873"/>
      <c r="Q20" s="873"/>
      <c r="R20" s="873"/>
      <c r="S20" s="873"/>
      <c r="T20" s="873"/>
      <c r="U20" s="873"/>
      <c r="V20" s="873"/>
      <c r="W20" s="518"/>
    </row>
    <row r="21" spans="1:23">
      <c r="A21" s="521"/>
      <c r="B21" s="521"/>
      <c r="C21" s="520" t="s">
        <v>217</v>
      </c>
      <c r="D21" s="525" t="s">
        <v>318</v>
      </c>
      <c r="E21" s="525" t="s">
        <v>547</v>
      </c>
      <c r="F21" s="525"/>
      <c r="G21" s="525" t="s">
        <v>2</v>
      </c>
      <c r="H21" s="525" t="s">
        <v>216</v>
      </c>
      <c r="I21" s="525" t="s">
        <v>318</v>
      </c>
      <c r="J21" s="520"/>
      <c r="K21" s="521"/>
      <c r="N21" s="873"/>
      <c r="O21" s="873"/>
      <c r="P21" s="872"/>
      <c r="Q21" s="872"/>
      <c r="R21" s="872"/>
      <c r="S21" s="875"/>
      <c r="T21" s="875"/>
      <c r="U21" s="872"/>
      <c r="V21" s="872"/>
      <c r="W21" s="518"/>
    </row>
    <row r="22" spans="1:23">
      <c r="A22" s="521"/>
      <c r="B22" s="521"/>
      <c r="C22" s="1229">
        <v>41122</v>
      </c>
      <c r="D22" s="1230">
        <f>B16</f>
        <v>825</v>
      </c>
      <c r="E22" s="1231">
        <f>$B$20</f>
        <v>58.928571428571431</v>
      </c>
      <c r="F22" s="1232"/>
      <c r="G22" s="1233">
        <f>$B$19/$B$18</f>
        <v>2.7E-2</v>
      </c>
      <c r="H22" s="1234">
        <f>D22*G22</f>
        <v>22.274999999999999</v>
      </c>
      <c r="I22" s="1232">
        <f>D22-E22</f>
        <v>766.07142857142856</v>
      </c>
      <c r="J22" s="527"/>
      <c r="K22" s="521"/>
      <c r="N22" s="873"/>
      <c r="O22" s="873"/>
      <c r="P22" s="529"/>
      <c r="Q22" s="874"/>
      <c r="R22" s="566"/>
      <c r="S22" s="879"/>
      <c r="T22" s="879"/>
      <c r="U22" s="546"/>
      <c r="V22" s="539"/>
      <c r="W22" s="518"/>
    </row>
    <row r="23" spans="1:23">
      <c r="A23" s="521"/>
      <c r="B23" s="521"/>
      <c r="C23" s="1229">
        <v>41214</v>
      </c>
      <c r="D23" s="1231">
        <f>I22</f>
        <v>766.07142857142856</v>
      </c>
      <c r="E23" s="1231">
        <f>$B$20</f>
        <v>58.928571428571431</v>
      </c>
      <c r="F23" s="1232"/>
      <c r="G23" s="1233">
        <f>$B$19/$B$18</f>
        <v>2.7E-2</v>
      </c>
      <c r="H23" s="1234">
        <f>D23*G23</f>
        <v>20.68392857142857</v>
      </c>
      <c r="I23" s="1232">
        <f t="shared" ref="I23:I35" si="0">D23-E23</f>
        <v>707.14285714285711</v>
      </c>
      <c r="J23" s="565"/>
      <c r="K23" s="521"/>
      <c r="N23" s="873"/>
      <c r="O23" s="873"/>
      <c r="P23" s="529"/>
      <c r="Q23" s="566"/>
      <c r="R23" s="566"/>
      <c r="S23" s="879"/>
      <c r="T23" s="879"/>
      <c r="U23" s="546"/>
      <c r="V23" s="539"/>
      <c r="W23" s="518"/>
    </row>
    <row r="24" spans="1:23">
      <c r="A24" s="462"/>
      <c r="B24" s="462"/>
      <c r="C24" s="528">
        <v>41306</v>
      </c>
      <c r="D24" s="563">
        <f>I23</f>
        <v>707.14285714285711</v>
      </c>
      <c r="E24" s="563">
        <f>$B$20</f>
        <v>58.928571428571431</v>
      </c>
      <c r="F24" s="527"/>
      <c r="G24" s="20">
        <f>$B$19/$B$18</f>
        <v>2.7E-2</v>
      </c>
      <c r="H24" s="564">
        <f>D24*G24</f>
        <v>19.092857142857142</v>
      </c>
      <c r="I24" s="527">
        <f t="shared" si="0"/>
        <v>648.21428571428567</v>
      </c>
      <c r="J24" s="527"/>
      <c r="K24" s="462"/>
      <c r="N24" s="518"/>
      <c r="O24" s="518"/>
      <c r="P24" s="529"/>
      <c r="Q24" s="566"/>
      <c r="R24" s="566"/>
      <c r="S24" s="879"/>
      <c r="T24" s="879"/>
      <c r="U24" s="546"/>
      <c r="V24" s="539"/>
      <c r="W24" s="518"/>
    </row>
    <row r="25" spans="1:23">
      <c r="A25" s="462"/>
      <c r="B25" s="462"/>
      <c r="C25" s="528">
        <v>41395</v>
      </c>
      <c r="D25" s="563">
        <f t="shared" ref="D25:D35" si="1">I24</f>
        <v>648.21428571428567</v>
      </c>
      <c r="E25" s="563">
        <f t="shared" ref="E25" si="2">$B$20</f>
        <v>58.928571428571431</v>
      </c>
      <c r="F25" s="527"/>
      <c r="G25" s="20">
        <f>$B$19/$B$18</f>
        <v>2.7E-2</v>
      </c>
      <c r="H25" s="564">
        <f>D25*G25</f>
        <v>17.501785714285713</v>
      </c>
      <c r="I25" s="527">
        <v>512.5</v>
      </c>
      <c r="J25" s="565"/>
      <c r="K25" s="462"/>
      <c r="N25" s="518"/>
      <c r="O25" s="518"/>
      <c r="P25" s="529"/>
      <c r="Q25" s="566"/>
      <c r="R25" s="566"/>
      <c r="S25" s="879"/>
      <c r="T25" s="879"/>
      <c r="U25" s="546"/>
      <c r="V25" s="539"/>
      <c r="W25" s="518"/>
    </row>
    <row r="26" spans="1:23">
      <c r="A26" s="462"/>
      <c r="B26" s="462"/>
      <c r="C26" s="528">
        <v>41487</v>
      </c>
      <c r="D26" s="563">
        <f t="shared" si="1"/>
        <v>512.5</v>
      </c>
      <c r="E26" s="563">
        <f>512.5/7</f>
        <v>73.214285714285708</v>
      </c>
      <c r="F26" s="527"/>
      <c r="G26" s="20">
        <f t="shared" ref="G26:G35" si="3">$B$19/$B$18</f>
        <v>2.7E-2</v>
      </c>
      <c r="H26" s="564">
        <f t="shared" ref="H26:H35" si="4">D26*G26</f>
        <v>13.8375</v>
      </c>
      <c r="I26" s="527">
        <f t="shared" si="0"/>
        <v>439.28571428571428</v>
      </c>
      <c r="J26" s="565"/>
      <c r="K26" s="462"/>
      <c r="N26" s="518"/>
      <c r="O26" s="518"/>
      <c r="P26" s="529"/>
      <c r="Q26" s="566"/>
      <c r="R26" s="566"/>
      <c r="S26" s="879"/>
      <c r="T26" s="879"/>
      <c r="U26" s="546"/>
      <c r="V26" s="539"/>
      <c r="W26" s="518"/>
    </row>
    <row r="27" spans="1:23">
      <c r="A27" s="462"/>
      <c r="B27" s="462"/>
      <c r="C27" s="528">
        <v>41579</v>
      </c>
      <c r="D27" s="563">
        <f t="shared" si="1"/>
        <v>439.28571428571428</v>
      </c>
      <c r="E27" s="563">
        <f>E26</f>
        <v>73.214285714285708</v>
      </c>
      <c r="F27" s="527"/>
      <c r="G27" s="20">
        <f t="shared" si="3"/>
        <v>2.7E-2</v>
      </c>
      <c r="H27" s="564">
        <f t="shared" si="4"/>
        <v>11.860714285714286</v>
      </c>
      <c r="I27" s="527">
        <f t="shared" si="0"/>
        <v>366.07142857142856</v>
      </c>
      <c r="J27" s="565"/>
      <c r="K27" s="462"/>
      <c r="N27" s="518"/>
      <c r="O27" s="518"/>
      <c r="P27" s="529"/>
      <c r="Q27" s="566"/>
      <c r="R27" s="566"/>
      <c r="S27" s="879"/>
      <c r="T27" s="879"/>
      <c r="U27" s="546"/>
      <c r="V27" s="539"/>
      <c r="W27" s="518"/>
    </row>
    <row r="28" spans="1:23">
      <c r="A28" s="462"/>
      <c r="B28" s="462"/>
      <c r="C28" s="528">
        <v>41671</v>
      </c>
      <c r="D28" s="563">
        <f t="shared" si="1"/>
        <v>366.07142857142856</v>
      </c>
      <c r="E28" s="563">
        <f>E27</f>
        <v>73.214285714285708</v>
      </c>
      <c r="F28" s="527"/>
      <c r="G28" s="20">
        <f t="shared" si="3"/>
        <v>2.7E-2</v>
      </c>
      <c r="H28" s="564">
        <f t="shared" si="4"/>
        <v>9.8839285714285712</v>
      </c>
      <c r="I28" s="527">
        <f t="shared" si="0"/>
        <v>292.85714285714283</v>
      </c>
      <c r="J28" s="565"/>
      <c r="K28" s="462"/>
      <c r="N28" s="518"/>
      <c r="O28" s="518"/>
      <c r="P28" s="529"/>
      <c r="Q28" s="566"/>
      <c r="R28" s="566"/>
      <c r="S28" s="879"/>
      <c r="T28" s="879"/>
      <c r="U28" s="546"/>
      <c r="V28" s="539"/>
      <c r="W28" s="518"/>
    </row>
    <row r="29" spans="1:23">
      <c r="A29" s="462"/>
      <c r="B29" s="462"/>
      <c r="C29" s="528">
        <v>41760</v>
      </c>
      <c r="D29" s="563">
        <f t="shared" si="1"/>
        <v>292.85714285714283</v>
      </c>
      <c r="E29" s="563">
        <f t="shared" ref="E29:E32" si="5">E28</f>
        <v>73.214285714285708</v>
      </c>
      <c r="F29" s="527"/>
      <c r="G29" s="20">
        <f t="shared" si="3"/>
        <v>2.7E-2</v>
      </c>
      <c r="H29" s="564">
        <f t="shared" si="4"/>
        <v>7.9071428571428566</v>
      </c>
      <c r="I29" s="527">
        <f t="shared" si="0"/>
        <v>219.64285714285711</v>
      </c>
      <c r="J29" s="565"/>
      <c r="K29" s="462"/>
      <c r="N29" s="518"/>
      <c r="O29" s="518"/>
      <c r="P29" s="529"/>
      <c r="Q29" s="566"/>
      <c r="R29" s="566"/>
      <c r="S29" s="879"/>
      <c r="T29" s="879"/>
      <c r="U29" s="546"/>
      <c r="V29" s="539"/>
      <c r="W29" s="518"/>
    </row>
    <row r="30" spans="1:23">
      <c r="A30" s="462"/>
      <c r="B30" s="462"/>
      <c r="C30" s="528">
        <v>41852</v>
      </c>
      <c r="D30" s="563">
        <f t="shared" si="1"/>
        <v>219.64285714285711</v>
      </c>
      <c r="E30" s="563">
        <f t="shared" si="5"/>
        <v>73.214285714285708</v>
      </c>
      <c r="F30" s="527"/>
      <c r="G30" s="20">
        <f t="shared" si="3"/>
        <v>2.7E-2</v>
      </c>
      <c r="H30" s="564">
        <f t="shared" si="4"/>
        <v>5.930357142857142</v>
      </c>
      <c r="I30" s="527">
        <f t="shared" si="0"/>
        <v>146.42857142857139</v>
      </c>
      <c r="J30" s="565"/>
      <c r="K30" s="462"/>
      <c r="N30" s="518"/>
      <c r="O30" s="518"/>
      <c r="P30" s="529"/>
      <c r="Q30" s="566"/>
      <c r="R30" s="566"/>
      <c r="S30" s="879"/>
      <c r="T30" s="879"/>
      <c r="U30" s="546"/>
      <c r="V30" s="539"/>
      <c r="W30" s="518"/>
    </row>
    <row r="31" spans="1:23">
      <c r="A31" s="462"/>
      <c r="B31" s="462"/>
      <c r="C31" s="528">
        <v>41944</v>
      </c>
      <c r="D31" s="563">
        <f t="shared" si="1"/>
        <v>146.42857142857139</v>
      </c>
      <c r="E31" s="563">
        <f t="shared" si="5"/>
        <v>73.214285714285708</v>
      </c>
      <c r="F31" s="527"/>
      <c r="G31" s="20">
        <f t="shared" si="3"/>
        <v>2.7E-2</v>
      </c>
      <c r="H31" s="564">
        <f t="shared" si="4"/>
        <v>3.9535714285714274</v>
      </c>
      <c r="I31" s="527">
        <f t="shared" si="0"/>
        <v>73.21428571428568</v>
      </c>
      <c r="J31" s="565"/>
      <c r="K31" s="462"/>
      <c r="N31" s="518"/>
      <c r="O31" s="518"/>
      <c r="P31" s="529"/>
      <c r="Q31" s="566"/>
      <c r="R31" s="566"/>
      <c r="S31" s="879"/>
      <c r="T31" s="879"/>
      <c r="U31" s="546"/>
      <c r="V31" s="539"/>
      <c r="W31" s="518"/>
    </row>
    <row r="32" spans="1:23">
      <c r="A32" s="462"/>
      <c r="B32" s="462"/>
      <c r="C32" s="528">
        <v>42036</v>
      </c>
      <c r="D32" s="563">
        <f t="shared" si="1"/>
        <v>73.21428571428568</v>
      </c>
      <c r="E32" s="563">
        <f t="shared" si="5"/>
        <v>73.214285714285708</v>
      </c>
      <c r="F32" s="527"/>
      <c r="G32" s="20">
        <f t="shared" si="3"/>
        <v>2.7E-2</v>
      </c>
      <c r="H32" s="564">
        <f t="shared" si="4"/>
        <v>1.9767857142857133</v>
      </c>
      <c r="I32" s="527">
        <f t="shared" si="0"/>
        <v>0</v>
      </c>
      <c r="J32" s="565"/>
      <c r="K32" s="462"/>
      <c r="N32" s="518"/>
      <c r="O32" s="518"/>
      <c r="P32" s="529"/>
      <c r="Q32" s="566"/>
      <c r="R32" s="566"/>
      <c r="S32" s="879"/>
      <c r="T32" s="879"/>
      <c r="U32" s="546"/>
      <c r="V32" s="539"/>
      <c r="W32" s="518"/>
    </row>
    <row r="33" spans="1:23" ht="15">
      <c r="A33" s="462"/>
      <c r="B33" s="462"/>
      <c r="C33" s="528">
        <v>42125</v>
      </c>
      <c r="D33" s="870">
        <f t="shared" si="1"/>
        <v>0</v>
      </c>
      <c r="E33" s="563"/>
      <c r="F33" s="527"/>
      <c r="G33" s="20">
        <f t="shared" si="3"/>
        <v>2.7E-2</v>
      </c>
      <c r="H33" s="564">
        <f t="shared" si="4"/>
        <v>0</v>
      </c>
      <c r="I33" s="527">
        <f t="shared" si="0"/>
        <v>0</v>
      </c>
      <c r="J33" s="565"/>
      <c r="K33" s="462"/>
      <c r="N33" s="518"/>
      <c r="O33" s="518"/>
      <c r="P33" s="529"/>
      <c r="Q33" s="566"/>
      <c r="R33" s="566"/>
      <c r="S33" s="879"/>
      <c r="T33" s="879"/>
      <c r="U33" s="546"/>
      <c r="V33" s="539"/>
      <c r="W33" s="518"/>
    </row>
    <row r="34" spans="1:23">
      <c r="A34" s="462"/>
      <c r="B34" s="462"/>
      <c r="C34" s="528">
        <v>42217</v>
      </c>
      <c r="D34" s="563">
        <f t="shared" si="1"/>
        <v>0</v>
      </c>
      <c r="E34" s="563"/>
      <c r="F34" s="527"/>
      <c r="G34" s="20">
        <f t="shared" si="3"/>
        <v>2.7E-2</v>
      </c>
      <c r="H34" s="564">
        <f t="shared" si="4"/>
        <v>0</v>
      </c>
      <c r="I34" s="527">
        <f t="shared" si="0"/>
        <v>0</v>
      </c>
      <c r="J34" s="565"/>
      <c r="K34" s="462"/>
      <c r="N34" s="518"/>
      <c r="O34" s="518"/>
      <c r="P34" s="529"/>
      <c r="Q34" s="566"/>
      <c r="R34" s="566"/>
      <c r="S34" s="879"/>
      <c r="T34" s="879"/>
      <c r="U34" s="546"/>
      <c r="V34" s="539"/>
      <c r="W34" s="518"/>
    </row>
    <row r="35" spans="1:23">
      <c r="A35" s="462"/>
      <c r="B35" s="462"/>
      <c r="C35" s="528">
        <v>42309</v>
      </c>
      <c r="D35" s="563">
        <f t="shared" si="1"/>
        <v>0</v>
      </c>
      <c r="E35" s="563"/>
      <c r="F35" s="527"/>
      <c r="G35" s="20">
        <f t="shared" si="3"/>
        <v>2.7E-2</v>
      </c>
      <c r="H35" s="564">
        <f t="shared" si="4"/>
        <v>0</v>
      </c>
      <c r="I35" s="527">
        <f t="shared" si="0"/>
        <v>0</v>
      </c>
      <c r="J35" s="565"/>
      <c r="K35" s="462"/>
      <c r="N35" s="518"/>
      <c r="O35" s="518"/>
      <c r="P35" s="529"/>
      <c r="Q35" s="566"/>
      <c r="R35" s="566"/>
      <c r="S35" s="879"/>
      <c r="T35" s="879"/>
      <c r="U35" s="546"/>
      <c r="V35" s="539"/>
      <c r="W35" s="518"/>
    </row>
    <row r="36" spans="1:23">
      <c r="N36" s="518"/>
      <c r="O36" s="518"/>
      <c r="P36" s="518"/>
      <c r="Q36" s="518"/>
      <c r="R36" s="518"/>
      <c r="S36" s="518"/>
      <c r="T36" s="518"/>
      <c r="U36" s="518"/>
      <c r="V36" s="518"/>
      <c r="W36" s="518"/>
    </row>
    <row r="37" spans="1:23">
      <c r="A37" s="520" t="s">
        <v>680</v>
      </c>
      <c r="B37" s="521"/>
      <c r="C37" s="521"/>
      <c r="D37" s="521"/>
      <c r="E37" s="521"/>
      <c r="F37" s="521"/>
      <c r="G37" s="521"/>
      <c r="H37" s="521"/>
      <c r="I37" s="521"/>
      <c r="J37" s="521"/>
      <c r="K37" s="521"/>
      <c r="N37" s="872"/>
      <c r="O37" s="873"/>
      <c r="P37" s="873"/>
      <c r="Q37" s="873"/>
      <c r="R37" s="873"/>
      <c r="S37" s="873"/>
      <c r="T37" s="873"/>
      <c r="U37" s="873"/>
      <c r="V37" s="873"/>
      <c r="W37" s="518"/>
    </row>
    <row r="38" spans="1:23">
      <c r="A38" s="521" t="s">
        <v>544</v>
      </c>
      <c r="B38" s="521">
        <v>425</v>
      </c>
      <c r="C38" s="521"/>
      <c r="D38" s="521"/>
      <c r="E38" s="521"/>
      <c r="F38" s="521"/>
      <c r="G38" s="521"/>
      <c r="H38" s="521"/>
      <c r="I38" s="521"/>
      <c r="J38" s="521"/>
      <c r="K38" s="521"/>
      <c r="N38" s="873"/>
      <c r="O38" s="873"/>
      <c r="P38" s="873"/>
      <c r="Q38" s="873"/>
      <c r="R38" s="873"/>
      <c r="S38" s="873"/>
      <c r="T38" s="873"/>
      <c r="U38" s="873"/>
      <c r="V38" s="873"/>
      <c r="W38" s="518"/>
    </row>
    <row r="39" spans="1:23">
      <c r="A39" s="521" t="s">
        <v>545</v>
      </c>
      <c r="B39" s="521">
        <v>8</v>
      </c>
      <c r="C39" s="521"/>
      <c r="D39" s="521"/>
      <c r="E39" s="521"/>
      <c r="F39" s="521"/>
      <c r="G39" s="521"/>
      <c r="H39" s="521"/>
      <c r="I39" s="521"/>
      <c r="J39" s="521"/>
      <c r="K39" s="521"/>
      <c r="N39" s="873"/>
      <c r="O39" s="873"/>
      <c r="P39" s="873"/>
      <c r="Q39" s="873"/>
      <c r="R39" s="873"/>
      <c r="S39" s="873"/>
      <c r="T39" s="873"/>
      <c r="U39" s="873"/>
      <c r="V39" s="873"/>
      <c r="W39" s="518"/>
    </row>
    <row r="40" spans="1:23">
      <c r="A40" s="521" t="s">
        <v>546</v>
      </c>
      <c r="B40" s="521">
        <v>4</v>
      </c>
      <c r="C40" s="521"/>
      <c r="D40" s="521"/>
      <c r="E40" s="521"/>
      <c r="F40" s="521"/>
      <c r="G40" s="521"/>
      <c r="H40" s="521"/>
      <c r="I40" s="521"/>
      <c r="J40" s="521"/>
      <c r="K40" s="521"/>
      <c r="N40" s="873"/>
      <c r="O40" s="873"/>
      <c r="P40" s="873"/>
      <c r="Q40" s="873"/>
      <c r="R40" s="873"/>
      <c r="S40" s="873"/>
      <c r="T40" s="873"/>
      <c r="U40" s="873"/>
      <c r="V40" s="873"/>
      <c r="W40" s="518"/>
    </row>
    <row r="41" spans="1:23">
      <c r="A41" s="521" t="s">
        <v>213</v>
      </c>
      <c r="B41" s="523">
        <f>10.2%+0.6%</f>
        <v>0.108</v>
      </c>
      <c r="C41" s="521"/>
      <c r="D41" s="521"/>
      <c r="E41" s="521"/>
      <c r="F41" s="521"/>
      <c r="G41" s="521"/>
      <c r="H41" s="521"/>
      <c r="I41" s="521"/>
      <c r="J41" s="521"/>
      <c r="K41" s="521"/>
      <c r="N41" s="873"/>
      <c r="O41" s="538"/>
      <c r="P41" s="873"/>
      <c r="Q41" s="873"/>
      <c r="R41" s="873"/>
      <c r="S41" s="873"/>
      <c r="T41" s="873"/>
      <c r="U41" s="873"/>
      <c r="V41" s="873"/>
      <c r="W41" s="518"/>
    </row>
    <row r="42" spans="1:23">
      <c r="A42" s="521" t="s">
        <v>547</v>
      </c>
      <c r="B42" s="527">
        <f>B38/B39</f>
        <v>53.125</v>
      </c>
      <c r="C42" s="521"/>
      <c r="D42" s="521"/>
      <c r="E42" s="521"/>
      <c r="F42" s="521"/>
      <c r="G42" s="521"/>
      <c r="H42" s="521"/>
      <c r="I42" s="521"/>
      <c r="J42" s="521"/>
      <c r="K42" s="521"/>
      <c r="N42" s="873"/>
      <c r="O42" s="539"/>
      <c r="P42" s="873"/>
      <c r="Q42" s="873"/>
      <c r="R42" s="873"/>
      <c r="S42" s="873"/>
      <c r="T42" s="873"/>
      <c r="U42" s="873"/>
      <c r="V42" s="873"/>
      <c r="W42" s="518"/>
    </row>
    <row r="43" spans="1:23">
      <c r="A43" s="521"/>
      <c r="B43" s="521"/>
      <c r="C43" s="520" t="s">
        <v>217</v>
      </c>
      <c r="D43" s="525" t="s">
        <v>318</v>
      </c>
      <c r="E43" s="525" t="s">
        <v>547</v>
      </c>
      <c r="F43" s="525" t="s">
        <v>548</v>
      </c>
      <c r="G43" s="525" t="s">
        <v>2</v>
      </c>
      <c r="H43" s="525" t="s">
        <v>216</v>
      </c>
      <c r="I43" s="525" t="s">
        <v>318</v>
      </c>
      <c r="J43" s="520"/>
      <c r="K43" s="521"/>
      <c r="N43" s="873"/>
      <c r="O43" s="873"/>
      <c r="P43" s="872"/>
      <c r="Q43" s="872"/>
      <c r="R43" s="872"/>
      <c r="S43" s="875"/>
      <c r="T43" s="875"/>
      <c r="U43" s="872"/>
      <c r="V43" s="872"/>
      <c r="W43" s="518"/>
    </row>
    <row r="44" spans="1:23">
      <c r="A44" s="521"/>
      <c r="B44" s="521"/>
      <c r="C44" s="528">
        <v>41182</v>
      </c>
      <c r="D44" s="524">
        <f>B38</f>
        <v>425</v>
      </c>
      <c r="E44" s="563">
        <f>$B$42</f>
        <v>53.125</v>
      </c>
      <c r="F44" s="527"/>
      <c r="G44" s="20">
        <f>$B$41/$B$40</f>
        <v>2.7E-2</v>
      </c>
      <c r="H44" s="564">
        <f>D44*G44</f>
        <v>11.475</v>
      </c>
      <c r="I44" s="527">
        <f>D44-E44</f>
        <v>371.875</v>
      </c>
      <c r="J44" s="527"/>
      <c r="K44" s="521"/>
      <c r="N44" s="873"/>
      <c r="O44" s="873"/>
      <c r="P44" s="529"/>
      <c r="Q44" s="874"/>
      <c r="R44" s="566"/>
      <c r="S44" s="879"/>
      <c r="T44" s="879"/>
      <c r="U44" s="546"/>
      <c r="V44" s="539"/>
      <c r="W44" s="518"/>
    </row>
    <row r="45" spans="1:23">
      <c r="A45" s="521"/>
      <c r="B45" s="521"/>
      <c r="C45" s="528">
        <v>41274</v>
      </c>
      <c r="D45" s="563">
        <f>I44</f>
        <v>371.875</v>
      </c>
      <c r="E45" s="563">
        <f>$B$42</f>
        <v>53.125</v>
      </c>
      <c r="F45" s="527"/>
      <c r="G45" s="20">
        <f>$B$41/$B$40</f>
        <v>2.7E-2</v>
      </c>
      <c r="H45" s="564">
        <f>D45*G45</f>
        <v>10.040625</v>
      </c>
      <c r="I45" s="527">
        <f t="shared" ref="I45:I59" si="6">D45-E45</f>
        <v>318.75</v>
      </c>
      <c r="J45" s="565"/>
      <c r="K45" s="521"/>
      <c r="N45" s="873"/>
      <c r="O45" s="873"/>
      <c r="P45" s="529"/>
      <c r="Q45" s="566"/>
      <c r="R45" s="566"/>
      <c r="S45" s="879"/>
      <c r="T45" s="879"/>
      <c r="U45" s="546"/>
      <c r="V45" s="539"/>
      <c r="W45" s="518"/>
    </row>
    <row r="46" spans="1:23">
      <c r="A46" s="462"/>
      <c r="B46" s="462"/>
      <c r="C46" s="528">
        <v>41364</v>
      </c>
      <c r="D46" s="563">
        <f t="shared" ref="D46:D59" si="7">I45</f>
        <v>318.75</v>
      </c>
      <c r="E46" s="563">
        <f>$B$42</f>
        <v>53.125</v>
      </c>
      <c r="F46" s="527"/>
      <c r="G46" s="20">
        <f>$B$41/$B$40</f>
        <v>2.7E-2</v>
      </c>
      <c r="H46" s="564">
        <f>D46*G46</f>
        <v>8.6062499999999993</v>
      </c>
      <c r="I46" s="527">
        <f t="shared" si="6"/>
        <v>265.625</v>
      </c>
      <c r="J46" s="527"/>
      <c r="K46" s="462"/>
      <c r="N46" s="518"/>
      <c r="O46" s="518"/>
      <c r="P46" s="529"/>
      <c r="Q46" s="566"/>
      <c r="R46" s="566"/>
      <c r="S46" s="879"/>
      <c r="T46" s="879"/>
      <c r="U46" s="546"/>
      <c r="V46" s="539"/>
      <c r="W46" s="518"/>
    </row>
    <row r="47" spans="1:23">
      <c r="A47" s="462"/>
      <c r="B47" s="462"/>
      <c r="C47" s="528">
        <v>41455</v>
      </c>
      <c r="D47" s="563">
        <f t="shared" si="7"/>
        <v>265.625</v>
      </c>
      <c r="E47" s="563">
        <f>$B$42</f>
        <v>53.125</v>
      </c>
      <c r="F47" s="527"/>
      <c r="G47" s="20">
        <f>$B$41/$B$40</f>
        <v>2.7E-2</v>
      </c>
      <c r="H47" s="564">
        <f>D47*G47</f>
        <v>7.171875</v>
      </c>
      <c r="I47" s="527">
        <v>425</v>
      </c>
      <c r="J47" s="527"/>
      <c r="K47" s="462"/>
      <c r="N47" s="518"/>
      <c r="O47" s="518"/>
      <c r="P47" s="529"/>
      <c r="Q47" s="566"/>
      <c r="R47" s="566"/>
      <c r="S47" s="879"/>
      <c r="T47" s="879"/>
      <c r="U47" s="546"/>
      <c r="V47" s="539"/>
      <c r="W47" s="518"/>
    </row>
    <row r="48" spans="1:23">
      <c r="A48" s="462"/>
      <c r="B48" s="462"/>
      <c r="C48" s="528">
        <v>41547</v>
      </c>
      <c r="D48" s="563">
        <f t="shared" si="7"/>
        <v>425</v>
      </c>
      <c r="E48" s="563">
        <f t="shared" ref="E48:E55" si="8">$B$42</f>
        <v>53.125</v>
      </c>
      <c r="F48" s="527"/>
      <c r="G48" s="20">
        <f t="shared" ref="G48:G59" si="9">$B$41/$B$40</f>
        <v>2.7E-2</v>
      </c>
      <c r="H48" s="564">
        <f t="shared" ref="H48:H59" si="10">D48*G48</f>
        <v>11.475</v>
      </c>
      <c r="I48" s="527">
        <f t="shared" si="6"/>
        <v>371.875</v>
      </c>
      <c r="J48" s="527"/>
      <c r="K48" s="462"/>
      <c r="N48" s="518"/>
      <c r="O48" s="518"/>
      <c r="P48" s="529"/>
      <c r="Q48" s="566"/>
      <c r="R48" s="566"/>
      <c r="S48" s="879"/>
      <c r="T48" s="879"/>
      <c r="U48" s="546"/>
      <c r="V48" s="539"/>
      <c r="W48" s="518"/>
    </row>
    <row r="49" spans="1:23">
      <c r="A49" s="462"/>
      <c r="B49" s="462"/>
      <c r="C49" s="528">
        <v>41639</v>
      </c>
      <c r="D49" s="563">
        <f t="shared" si="7"/>
        <v>371.875</v>
      </c>
      <c r="E49" s="563">
        <f t="shared" si="8"/>
        <v>53.125</v>
      </c>
      <c r="F49" s="527"/>
      <c r="G49" s="20">
        <f t="shared" si="9"/>
        <v>2.7E-2</v>
      </c>
      <c r="H49" s="564">
        <f t="shared" si="10"/>
        <v>10.040625</v>
      </c>
      <c r="I49" s="527">
        <f t="shared" si="6"/>
        <v>318.75</v>
      </c>
      <c r="J49" s="527"/>
      <c r="K49" s="462"/>
      <c r="N49" s="518"/>
      <c r="O49" s="518"/>
      <c r="P49" s="529"/>
      <c r="Q49" s="566"/>
      <c r="R49" s="566"/>
      <c r="S49" s="879"/>
      <c r="T49" s="879"/>
      <c r="U49" s="546"/>
      <c r="V49" s="539"/>
      <c r="W49" s="518"/>
    </row>
    <row r="50" spans="1:23">
      <c r="A50" s="462"/>
      <c r="B50" s="462"/>
      <c r="C50" s="528">
        <v>41729</v>
      </c>
      <c r="D50" s="563">
        <f t="shared" si="7"/>
        <v>318.75</v>
      </c>
      <c r="E50" s="563">
        <f t="shared" si="8"/>
        <v>53.125</v>
      </c>
      <c r="F50" s="527"/>
      <c r="G50" s="20">
        <f t="shared" si="9"/>
        <v>2.7E-2</v>
      </c>
      <c r="H50" s="564">
        <f t="shared" si="10"/>
        <v>8.6062499999999993</v>
      </c>
      <c r="I50" s="527">
        <f t="shared" si="6"/>
        <v>265.625</v>
      </c>
      <c r="J50" s="527"/>
      <c r="K50" s="462"/>
      <c r="N50" s="518"/>
      <c r="O50" s="518"/>
      <c r="P50" s="529"/>
      <c r="Q50" s="566"/>
      <c r="R50" s="566"/>
      <c r="S50" s="879"/>
      <c r="T50" s="879"/>
      <c r="U50" s="546"/>
      <c r="V50" s="539"/>
      <c r="W50" s="518"/>
    </row>
    <row r="51" spans="1:23">
      <c r="A51" s="462"/>
      <c r="B51" s="462"/>
      <c r="C51" s="528">
        <v>41820</v>
      </c>
      <c r="D51" s="563">
        <f t="shared" si="7"/>
        <v>265.625</v>
      </c>
      <c r="E51" s="563">
        <f t="shared" si="8"/>
        <v>53.125</v>
      </c>
      <c r="F51" s="527"/>
      <c r="G51" s="20">
        <f t="shared" si="9"/>
        <v>2.7E-2</v>
      </c>
      <c r="H51" s="564">
        <f t="shared" si="10"/>
        <v>7.171875</v>
      </c>
      <c r="I51" s="527">
        <f t="shared" si="6"/>
        <v>212.5</v>
      </c>
      <c r="J51" s="527"/>
      <c r="K51" s="462"/>
      <c r="N51" s="518"/>
      <c r="O51" s="518"/>
      <c r="P51" s="529"/>
      <c r="Q51" s="566"/>
      <c r="R51" s="566"/>
      <c r="S51" s="879"/>
      <c r="T51" s="879"/>
      <c r="U51" s="546"/>
      <c r="V51" s="539"/>
      <c r="W51" s="518"/>
    </row>
    <row r="52" spans="1:23">
      <c r="A52" s="462"/>
      <c r="B52" s="462"/>
      <c r="C52" s="528">
        <v>41912</v>
      </c>
      <c r="D52" s="563">
        <f t="shared" si="7"/>
        <v>212.5</v>
      </c>
      <c r="E52" s="563">
        <f t="shared" si="8"/>
        <v>53.125</v>
      </c>
      <c r="F52" s="527"/>
      <c r="G52" s="20">
        <f t="shared" si="9"/>
        <v>2.7E-2</v>
      </c>
      <c r="H52" s="564">
        <f t="shared" si="10"/>
        <v>5.7374999999999998</v>
      </c>
      <c r="I52" s="527">
        <f t="shared" si="6"/>
        <v>159.375</v>
      </c>
      <c r="J52" s="527"/>
      <c r="K52" s="462"/>
      <c r="N52" s="518"/>
      <c r="O52" s="518"/>
      <c r="P52" s="529"/>
      <c r="Q52" s="566"/>
      <c r="R52" s="566"/>
      <c r="S52" s="879"/>
      <c r="T52" s="879"/>
      <c r="U52" s="546"/>
      <c r="V52" s="539"/>
      <c r="W52" s="518"/>
    </row>
    <row r="53" spans="1:23">
      <c r="A53" s="462"/>
      <c r="B53" s="462"/>
      <c r="C53" s="528">
        <v>42004</v>
      </c>
      <c r="D53" s="563">
        <f t="shared" si="7"/>
        <v>159.375</v>
      </c>
      <c r="E53" s="563">
        <f t="shared" si="8"/>
        <v>53.125</v>
      </c>
      <c r="F53" s="527"/>
      <c r="G53" s="20">
        <f t="shared" si="9"/>
        <v>2.7E-2</v>
      </c>
      <c r="H53" s="564">
        <f t="shared" si="10"/>
        <v>4.3031249999999996</v>
      </c>
      <c r="I53" s="527">
        <f t="shared" si="6"/>
        <v>106.25</v>
      </c>
      <c r="J53" s="527"/>
      <c r="K53" s="462"/>
      <c r="N53" s="518"/>
      <c r="O53" s="518"/>
      <c r="P53" s="529"/>
      <c r="Q53" s="566"/>
      <c r="R53" s="566"/>
      <c r="S53" s="879"/>
      <c r="T53" s="879"/>
      <c r="U53" s="546"/>
      <c r="V53" s="539"/>
      <c r="W53" s="518"/>
    </row>
    <row r="54" spans="1:23">
      <c r="A54" s="462"/>
      <c r="B54" s="462"/>
      <c r="C54" s="528">
        <v>42094</v>
      </c>
      <c r="D54" s="563">
        <f t="shared" si="7"/>
        <v>106.25</v>
      </c>
      <c r="E54" s="563">
        <f t="shared" si="8"/>
        <v>53.125</v>
      </c>
      <c r="F54" s="527"/>
      <c r="G54" s="20">
        <f t="shared" si="9"/>
        <v>2.7E-2</v>
      </c>
      <c r="H54" s="564">
        <f t="shared" si="10"/>
        <v>2.8687499999999999</v>
      </c>
      <c r="I54" s="527">
        <f t="shared" si="6"/>
        <v>53.125</v>
      </c>
      <c r="J54" s="527"/>
      <c r="K54" s="462"/>
      <c r="N54" s="518"/>
      <c r="O54" s="518"/>
      <c r="P54" s="529"/>
      <c r="Q54" s="566"/>
      <c r="R54" s="566"/>
      <c r="S54" s="879"/>
      <c r="T54" s="879"/>
      <c r="U54" s="546"/>
      <c r="V54" s="539"/>
      <c r="W54" s="518"/>
    </row>
    <row r="55" spans="1:23">
      <c r="A55" s="462"/>
      <c r="B55" s="462"/>
      <c r="C55" s="528">
        <v>42185</v>
      </c>
      <c r="D55" s="563">
        <f t="shared" si="7"/>
        <v>53.125</v>
      </c>
      <c r="E55" s="563">
        <f t="shared" si="8"/>
        <v>53.125</v>
      </c>
      <c r="F55" s="527"/>
      <c r="G55" s="20">
        <f t="shared" si="9"/>
        <v>2.7E-2</v>
      </c>
      <c r="H55" s="564">
        <f t="shared" si="10"/>
        <v>1.434375</v>
      </c>
      <c r="I55" s="527">
        <f t="shared" si="6"/>
        <v>0</v>
      </c>
      <c r="J55" s="527"/>
      <c r="K55" s="462"/>
      <c r="N55" s="518"/>
      <c r="O55" s="518"/>
      <c r="P55" s="529"/>
      <c r="Q55" s="566"/>
      <c r="R55" s="566"/>
      <c r="S55" s="879"/>
      <c r="T55" s="879"/>
      <c r="U55" s="546"/>
      <c r="V55" s="539"/>
      <c r="W55" s="518"/>
    </row>
    <row r="56" spans="1:23">
      <c r="A56" s="462"/>
      <c r="B56" s="462"/>
      <c r="C56" s="528">
        <v>42277</v>
      </c>
      <c r="D56" s="563">
        <f t="shared" si="7"/>
        <v>0</v>
      </c>
      <c r="E56" s="563">
        <v>0</v>
      </c>
      <c r="F56" s="527"/>
      <c r="G56" s="20">
        <f t="shared" si="9"/>
        <v>2.7E-2</v>
      </c>
      <c r="H56" s="564">
        <f t="shared" si="10"/>
        <v>0</v>
      </c>
      <c r="I56" s="527">
        <f t="shared" si="6"/>
        <v>0</v>
      </c>
      <c r="J56" s="527"/>
      <c r="K56" s="462"/>
      <c r="N56" s="518"/>
      <c r="O56" s="518"/>
      <c r="P56" s="529"/>
      <c r="Q56" s="566"/>
      <c r="R56" s="566"/>
      <c r="S56" s="879"/>
      <c r="T56" s="879"/>
      <c r="U56" s="546"/>
      <c r="V56" s="539"/>
      <c r="W56" s="518"/>
    </row>
    <row r="57" spans="1:23">
      <c r="A57" s="462"/>
      <c r="B57" s="462"/>
      <c r="C57" s="528">
        <v>42369</v>
      </c>
      <c r="D57" s="563">
        <f t="shared" si="7"/>
        <v>0</v>
      </c>
      <c r="E57" s="563">
        <v>0</v>
      </c>
      <c r="F57" s="527"/>
      <c r="G57" s="20">
        <f t="shared" si="9"/>
        <v>2.7E-2</v>
      </c>
      <c r="H57" s="564">
        <f t="shared" si="10"/>
        <v>0</v>
      </c>
      <c r="I57" s="527">
        <f t="shared" si="6"/>
        <v>0</v>
      </c>
      <c r="J57" s="527"/>
      <c r="K57" s="462"/>
      <c r="N57" s="518"/>
      <c r="O57" s="518"/>
      <c r="P57" s="529"/>
      <c r="Q57" s="566"/>
      <c r="R57" s="566"/>
      <c r="S57" s="879"/>
      <c r="T57" s="879"/>
      <c r="U57" s="546"/>
      <c r="V57" s="539"/>
      <c r="W57" s="518"/>
    </row>
    <row r="58" spans="1:23">
      <c r="A58" s="462"/>
      <c r="B58" s="462"/>
      <c r="C58" s="528">
        <v>42460</v>
      </c>
      <c r="D58" s="563">
        <f t="shared" si="7"/>
        <v>0</v>
      </c>
      <c r="E58" s="563">
        <v>0</v>
      </c>
      <c r="F58" s="527"/>
      <c r="G58" s="20">
        <f t="shared" si="9"/>
        <v>2.7E-2</v>
      </c>
      <c r="H58" s="564">
        <f t="shared" si="10"/>
        <v>0</v>
      </c>
      <c r="I58" s="527">
        <f t="shared" si="6"/>
        <v>0</v>
      </c>
      <c r="J58" s="527"/>
      <c r="K58" s="462"/>
      <c r="N58" s="518"/>
      <c r="O58" s="518"/>
      <c r="P58" s="529"/>
      <c r="Q58" s="566"/>
      <c r="R58" s="566"/>
      <c r="S58" s="879"/>
      <c r="T58" s="879"/>
      <c r="U58" s="546"/>
      <c r="V58" s="539"/>
      <c r="W58" s="518"/>
    </row>
    <row r="59" spans="1:23">
      <c r="A59" s="462"/>
      <c r="B59" s="462"/>
      <c r="C59" s="528">
        <v>42551</v>
      </c>
      <c r="D59" s="563">
        <f t="shared" si="7"/>
        <v>0</v>
      </c>
      <c r="E59" s="563">
        <v>0</v>
      </c>
      <c r="F59" s="527"/>
      <c r="G59" s="20">
        <f t="shared" si="9"/>
        <v>2.7E-2</v>
      </c>
      <c r="H59" s="564">
        <f t="shared" si="10"/>
        <v>0</v>
      </c>
      <c r="I59" s="527">
        <f t="shared" si="6"/>
        <v>0</v>
      </c>
      <c r="J59" s="527"/>
      <c r="K59" s="462"/>
      <c r="N59" s="518"/>
      <c r="O59" s="518"/>
      <c r="P59" s="529"/>
      <c r="Q59" s="566"/>
      <c r="R59" s="566"/>
      <c r="S59" s="879"/>
      <c r="T59" s="879"/>
      <c r="U59" s="546"/>
      <c r="V59" s="539"/>
      <c r="W59" s="518"/>
    </row>
    <row r="60" spans="1:23">
      <c r="A60" s="462"/>
      <c r="B60" s="462"/>
      <c r="C60" s="528"/>
      <c r="D60" s="563"/>
      <c r="E60" s="563"/>
      <c r="F60" s="527"/>
      <c r="G60" s="20"/>
      <c r="H60" s="564"/>
      <c r="I60" s="527"/>
      <c r="J60" s="527"/>
      <c r="K60" s="462"/>
      <c r="N60" s="518"/>
      <c r="O60" s="518"/>
      <c r="P60" s="529"/>
      <c r="Q60" s="566"/>
      <c r="R60" s="566"/>
      <c r="S60" s="879"/>
      <c r="T60" s="879"/>
      <c r="U60" s="546"/>
      <c r="V60" s="539"/>
      <c r="W60" s="518"/>
    </row>
    <row r="61" spans="1:23">
      <c r="A61" s="462"/>
      <c r="B61" s="462"/>
      <c r="C61" s="528"/>
      <c r="D61" s="563"/>
      <c r="E61" s="563"/>
      <c r="F61" s="527"/>
      <c r="G61" s="20"/>
      <c r="H61" s="564"/>
      <c r="I61" s="565"/>
      <c r="J61" s="565"/>
      <c r="K61" s="462"/>
      <c r="N61" s="518"/>
      <c r="O61" s="518"/>
      <c r="P61" s="529"/>
      <c r="Q61" s="566"/>
      <c r="R61" s="566"/>
      <c r="S61" s="879"/>
      <c r="T61" s="879"/>
      <c r="U61" s="546"/>
      <c r="V61" s="539"/>
      <c r="W61" s="518"/>
    </row>
    <row r="62" spans="1:23">
      <c r="N62" s="518"/>
      <c r="O62" s="518"/>
      <c r="P62" s="518"/>
      <c r="Q62" s="518"/>
      <c r="R62" s="518"/>
      <c r="S62" s="518"/>
      <c r="T62" s="518"/>
      <c r="U62" s="518"/>
      <c r="V62" s="518"/>
      <c r="W62" s="518"/>
    </row>
    <row r="63" spans="1:23">
      <c r="A63" s="520" t="s">
        <v>681</v>
      </c>
      <c r="B63" s="521"/>
      <c r="C63" s="521"/>
      <c r="D63" s="521"/>
      <c r="E63" s="521"/>
      <c r="F63" s="521"/>
      <c r="G63" s="521"/>
      <c r="H63" s="521"/>
      <c r="I63" s="521"/>
      <c r="J63" s="521"/>
      <c r="K63" s="521"/>
      <c r="N63" s="872"/>
      <c r="O63" s="873"/>
      <c r="P63" s="873"/>
      <c r="Q63" s="873"/>
      <c r="R63" s="873"/>
      <c r="S63" s="873"/>
      <c r="T63" s="873"/>
      <c r="U63" s="873"/>
      <c r="V63" s="873"/>
      <c r="W63" s="518"/>
    </row>
    <row r="64" spans="1:23">
      <c r="A64" s="521" t="s">
        <v>544</v>
      </c>
      <c r="B64" s="521">
        <v>500</v>
      </c>
      <c r="C64" s="521"/>
      <c r="D64" s="521"/>
      <c r="E64" s="521"/>
      <c r="F64" s="521"/>
      <c r="G64" s="521"/>
      <c r="H64" s="521"/>
      <c r="I64" s="521"/>
      <c r="J64" s="521"/>
      <c r="K64" s="521"/>
      <c r="N64" s="873"/>
      <c r="O64" s="873"/>
      <c r="P64" s="873"/>
      <c r="Q64" s="873"/>
      <c r="R64" s="873"/>
      <c r="S64" s="873"/>
      <c r="T64" s="873"/>
      <c r="U64" s="873"/>
      <c r="V64" s="873"/>
      <c r="W64" s="518"/>
    </row>
    <row r="65" spans="1:23">
      <c r="A65" s="521" t="s">
        <v>545</v>
      </c>
      <c r="B65" s="521">
        <v>4</v>
      </c>
      <c r="C65" s="521"/>
      <c r="D65" s="521"/>
      <c r="E65" s="521"/>
      <c r="F65" s="521"/>
      <c r="G65" s="521"/>
      <c r="H65" s="521"/>
      <c r="I65" s="521"/>
      <c r="J65" s="521"/>
      <c r="K65" s="521"/>
      <c r="N65" s="873"/>
      <c r="O65" s="873"/>
      <c r="P65" s="873"/>
      <c r="Q65" s="873"/>
      <c r="R65" s="873"/>
      <c r="S65" s="873"/>
      <c r="T65" s="873"/>
      <c r="U65" s="873"/>
      <c r="V65" s="873"/>
      <c r="W65" s="518"/>
    </row>
    <row r="66" spans="1:23">
      <c r="A66" s="521" t="s">
        <v>546</v>
      </c>
      <c r="B66" s="521">
        <v>4</v>
      </c>
      <c r="C66" s="521"/>
      <c r="D66" s="521"/>
      <c r="E66" s="521"/>
      <c r="F66" s="521"/>
      <c r="G66" s="521"/>
      <c r="H66" s="521"/>
      <c r="I66" s="521"/>
      <c r="J66" s="521"/>
      <c r="K66" s="521"/>
      <c r="N66" s="873"/>
      <c r="O66" s="873"/>
      <c r="P66" s="873"/>
      <c r="Q66" s="873"/>
      <c r="R66" s="873"/>
      <c r="S66" s="873"/>
      <c r="T66" s="873"/>
      <c r="U66" s="873"/>
      <c r="V66" s="873"/>
      <c r="W66" s="518"/>
    </row>
    <row r="67" spans="1:23">
      <c r="A67" s="521" t="s">
        <v>213</v>
      </c>
      <c r="B67" s="523">
        <f>10%+0.85%</f>
        <v>0.10850000000000001</v>
      </c>
      <c r="C67" s="521"/>
      <c r="D67" s="521"/>
      <c r="E67" s="521"/>
      <c r="F67" s="521"/>
      <c r="G67" s="521"/>
      <c r="H67" s="521"/>
      <c r="I67" s="521"/>
      <c r="J67" s="521"/>
      <c r="K67" s="521"/>
      <c r="N67" s="873"/>
      <c r="O67" s="538"/>
      <c r="P67" s="873"/>
      <c r="Q67" s="873"/>
      <c r="R67" s="873"/>
      <c r="S67" s="873"/>
      <c r="T67" s="873"/>
      <c r="U67" s="873"/>
      <c r="V67" s="873"/>
      <c r="W67" s="518"/>
    </row>
    <row r="68" spans="1:23">
      <c r="A68" s="521" t="s">
        <v>547</v>
      </c>
      <c r="B68" s="527">
        <f>B64/B65</f>
        <v>125</v>
      </c>
      <c r="C68" s="521"/>
      <c r="D68" s="521"/>
      <c r="E68" s="521"/>
      <c r="F68" s="521"/>
      <c r="G68" s="521"/>
      <c r="H68" s="521"/>
      <c r="I68" s="521"/>
      <c r="J68" s="521"/>
      <c r="K68" s="521"/>
      <c r="N68" s="873"/>
      <c r="O68" s="539"/>
      <c r="P68" s="873"/>
      <c r="Q68" s="873"/>
      <c r="R68" s="873"/>
      <c r="S68" s="873"/>
      <c r="T68" s="873"/>
      <c r="U68" s="873"/>
      <c r="V68" s="873"/>
      <c r="W68" s="518"/>
    </row>
    <row r="69" spans="1:23">
      <c r="A69" s="521"/>
      <c r="B69" s="521"/>
      <c r="C69" s="520" t="s">
        <v>217</v>
      </c>
      <c r="D69" s="525" t="s">
        <v>318</v>
      </c>
      <c r="E69" s="525" t="s">
        <v>547</v>
      </c>
      <c r="F69" s="525" t="s">
        <v>548</v>
      </c>
      <c r="G69" s="525" t="s">
        <v>2</v>
      </c>
      <c r="H69" s="525" t="s">
        <v>216</v>
      </c>
      <c r="I69" s="525" t="s">
        <v>318</v>
      </c>
      <c r="J69" s="520"/>
      <c r="K69" s="521"/>
      <c r="N69" s="873"/>
      <c r="O69" s="873"/>
      <c r="P69" s="872"/>
      <c r="Q69" s="872"/>
      <c r="R69" s="872"/>
      <c r="S69" s="875"/>
      <c r="T69" s="875"/>
      <c r="U69" s="872"/>
      <c r="V69" s="872"/>
      <c r="W69" s="518"/>
    </row>
    <row r="70" spans="1:23">
      <c r="A70" s="521"/>
      <c r="B70" s="521"/>
      <c r="C70" s="528">
        <v>41122</v>
      </c>
      <c r="D70" s="524">
        <f>B64</f>
        <v>500</v>
      </c>
      <c r="E70" s="563">
        <f>$B$68</f>
        <v>125</v>
      </c>
      <c r="F70" s="527">
        <f>E70-H70</f>
        <v>111.4375</v>
      </c>
      <c r="G70" s="20">
        <f>$B$67/$B$66</f>
        <v>2.7125000000000003E-2</v>
      </c>
      <c r="H70" s="564">
        <f>D70*G70</f>
        <v>13.562500000000002</v>
      </c>
      <c r="I70" s="527">
        <f>D70-E70</f>
        <v>375</v>
      </c>
      <c r="J70" s="527"/>
      <c r="K70" s="521"/>
      <c r="N70" s="873"/>
      <c r="O70" s="873"/>
      <c r="P70" s="529"/>
      <c r="Q70" s="874"/>
      <c r="R70" s="566"/>
      <c r="S70" s="879"/>
      <c r="T70" s="879"/>
      <c r="U70" s="546"/>
      <c r="V70" s="539"/>
      <c r="W70" s="518"/>
    </row>
    <row r="71" spans="1:23">
      <c r="A71" s="521"/>
      <c r="B71" s="521"/>
      <c r="C71" s="528">
        <v>41214</v>
      </c>
      <c r="D71" s="524">
        <f>I70</f>
        <v>375</v>
      </c>
      <c r="E71" s="563">
        <f>$B$68</f>
        <v>125</v>
      </c>
      <c r="F71" s="527"/>
      <c r="G71" s="20">
        <f>$B$67/$B$66</f>
        <v>2.7125000000000003E-2</v>
      </c>
      <c r="H71" s="564">
        <f>D71*G71</f>
        <v>10.171875000000002</v>
      </c>
      <c r="I71" s="527">
        <f>D71-E71</f>
        <v>250</v>
      </c>
      <c r="J71" s="527"/>
      <c r="K71" s="521"/>
      <c r="N71" s="873"/>
      <c r="O71" s="873"/>
      <c r="P71" s="529"/>
      <c r="Q71" s="874"/>
      <c r="R71" s="566"/>
      <c r="S71" s="879"/>
      <c r="T71" s="879"/>
      <c r="U71" s="546"/>
      <c r="V71" s="539"/>
      <c r="W71" s="518"/>
    </row>
    <row r="72" spans="1:23">
      <c r="A72" s="521"/>
      <c r="B72" s="521"/>
      <c r="C72" s="528">
        <v>41306</v>
      </c>
      <c r="D72" s="524">
        <f>I71</f>
        <v>250</v>
      </c>
      <c r="E72" s="563">
        <f>$B$68</f>
        <v>125</v>
      </c>
      <c r="F72" s="527"/>
      <c r="G72" s="20">
        <f>$B$67/$B$66</f>
        <v>2.7125000000000003E-2</v>
      </c>
      <c r="H72" s="564">
        <f>D72*G72</f>
        <v>6.7812500000000009</v>
      </c>
      <c r="I72" s="527">
        <f>D72-E72</f>
        <v>125</v>
      </c>
      <c r="J72" s="527"/>
      <c r="K72" s="521"/>
      <c r="N72" s="873"/>
      <c r="O72" s="873"/>
      <c r="P72" s="529"/>
      <c r="Q72" s="874"/>
      <c r="R72" s="566"/>
      <c r="S72" s="879"/>
      <c r="T72" s="879"/>
      <c r="U72" s="546"/>
      <c r="V72" s="539"/>
      <c r="W72" s="518"/>
    </row>
    <row r="73" spans="1:23">
      <c r="A73" s="521"/>
      <c r="B73" s="521"/>
      <c r="C73" s="528">
        <v>41395</v>
      </c>
      <c r="D73" s="524">
        <f>I72</f>
        <v>125</v>
      </c>
      <c r="E73" s="563">
        <f>$B$68</f>
        <v>125</v>
      </c>
      <c r="F73" s="527"/>
      <c r="G73" s="20">
        <f>$B$67/$B$66</f>
        <v>2.7125000000000003E-2</v>
      </c>
      <c r="H73" s="564">
        <f>D73*G73</f>
        <v>3.3906250000000004</v>
      </c>
      <c r="I73" s="527">
        <f>D73-E73</f>
        <v>0</v>
      </c>
      <c r="J73" s="527"/>
      <c r="K73" s="521"/>
      <c r="N73" s="873"/>
      <c r="O73" s="873"/>
      <c r="P73" s="529"/>
      <c r="Q73" s="874"/>
      <c r="R73" s="566"/>
      <c r="S73" s="879"/>
      <c r="T73" s="879"/>
      <c r="U73" s="546"/>
      <c r="V73" s="539"/>
      <c r="W73" s="518"/>
    </row>
    <row r="74" spans="1:23">
      <c r="A74" s="521"/>
      <c r="B74" s="521"/>
      <c r="C74" s="528"/>
      <c r="D74" s="563"/>
      <c r="E74" s="563"/>
      <c r="F74" s="527"/>
      <c r="G74" s="20"/>
      <c r="H74" s="564"/>
      <c r="I74" s="565"/>
      <c r="J74" s="565"/>
      <c r="K74" s="521"/>
      <c r="N74" s="873"/>
      <c r="O74" s="873"/>
      <c r="P74" s="529"/>
      <c r="Q74" s="566"/>
      <c r="R74" s="566"/>
      <c r="S74" s="879"/>
      <c r="T74" s="879"/>
      <c r="U74" s="546"/>
      <c r="V74" s="539"/>
      <c r="W74" s="518"/>
    </row>
    <row r="75" spans="1:23">
      <c r="A75" s="518"/>
      <c r="B75" s="518"/>
      <c r="C75" s="529"/>
      <c r="D75" s="566"/>
      <c r="E75" s="566"/>
      <c r="F75" s="539"/>
      <c r="G75" s="45"/>
      <c r="H75" s="546"/>
      <c r="I75" s="539"/>
      <c r="J75" s="539"/>
      <c r="K75" s="518"/>
      <c r="N75" s="518"/>
      <c r="O75" s="518"/>
      <c r="P75" s="518"/>
      <c r="Q75" s="518"/>
      <c r="R75" s="518"/>
      <c r="S75" s="518"/>
      <c r="T75" s="518"/>
      <c r="U75" s="518"/>
      <c r="V75" s="518"/>
      <c r="W75" s="518"/>
    </row>
    <row r="76" spans="1:23">
      <c r="A76" s="520" t="s">
        <v>682</v>
      </c>
      <c r="B76" s="521"/>
      <c r="C76" s="521"/>
      <c r="D76" s="521"/>
      <c r="E76" s="521"/>
      <c r="F76" s="521"/>
      <c r="G76" s="521"/>
      <c r="H76" s="521"/>
      <c r="I76" s="521"/>
      <c r="J76" s="521"/>
      <c r="K76" s="521"/>
      <c r="N76" s="872"/>
      <c r="O76" s="873"/>
      <c r="P76" s="873"/>
      <c r="Q76" s="873"/>
      <c r="R76" s="873"/>
      <c r="S76" s="873"/>
      <c r="T76" s="873"/>
      <c r="U76" s="873"/>
      <c r="V76" s="873"/>
      <c r="W76" s="518"/>
    </row>
    <row r="77" spans="1:23">
      <c r="A77" s="521" t="s">
        <v>544</v>
      </c>
      <c r="B77" s="521">
        <v>183.333</v>
      </c>
      <c r="C77" s="521"/>
      <c r="D77" s="521"/>
      <c r="E77" s="521"/>
      <c r="F77" s="521"/>
      <c r="G77" s="521"/>
      <c r="H77" s="521"/>
      <c r="I77" s="521"/>
      <c r="J77" s="521"/>
      <c r="K77" s="521"/>
      <c r="N77" s="873"/>
      <c r="O77" s="873"/>
      <c r="P77" s="873"/>
      <c r="Q77" s="873"/>
      <c r="R77" s="873"/>
      <c r="S77" s="873"/>
      <c r="T77" s="873"/>
      <c r="U77" s="873"/>
      <c r="V77" s="873"/>
      <c r="W77" s="518"/>
    </row>
    <row r="78" spans="1:23">
      <c r="A78" s="521" t="s">
        <v>545</v>
      </c>
      <c r="B78" s="521">
        <v>11</v>
      </c>
      <c r="C78" s="521"/>
      <c r="D78" s="521"/>
      <c r="E78" s="521"/>
      <c r="F78" s="521"/>
      <c r="G78" s="521"/>
      <c r="H78" s="521"/>
      <c r="I78" s="521"/>
      <c r="J78" s="521"/>
      <c r="K78" s="521"/>
      <c r="N78" s="873"/>
      <c r="O78" s="873"/>
      <c r="P78" s="873"/>
      <c r="Q78" s="873"/>
      <c r="R78" s="873"/>
      <c r="S78" s="873"/>
      <c r="T78" s="873"/>
      <c r="U78" s="873"/>
      <c r="V78" s="873"/>
      <c r="W78" s="518"/>
    </row>
    <row r="79" spans="1:23">
      <c r="A79" s="521" t="s">
        <v>546</v>
      </c>
      <c r="B79" s="521">
        <v>4</v>
      </c>
      <c r="C79" s="521"/>
      <c r="D79" s="521"/>
      <c r="E79" s="521"/>
      <c r="F79" s="521"/>
      <c r="G79" s="521"/>
      <c r="H79" s="521"/>
      <c r="I79" s="521"/>
      <c r="J79" s="521"/>
      <c r="K79" s="521"/>
      <c r="N79" s="873"/>
      <c r="O79" s="873"/>
      <c r="P79" s="873"/>
      <c r="Q79" s="873"/>
      <c r="R79" s="873"/>
      <c r="S79" s="873"/>
      <c r="T79" s="873"/>
      <c r="U79" s="873"/>
      <c r="V79" s="873"/>
      <c r="W79" s="518"/>
    </row>
    <row r="80" spans="1:23">
      <c r="A80" s="521" t="s">
        <v>213</v>
      </c>
      <c r="B80" s="523">
        <f>10%+1.1%</f>
        <v>0.111</v>
      </c>
      <c r="C80" s="521"/>
      <c r="D80" s="521"/>
      <c r="E80" s="521"/>
      <c r="F80" s="521"/>
      <c r="G80" s="521"/>
      <c r="H80" s="521"/>
      <c r="I80" s="521"/>
      <c r="J80" s="521"/>
      <c r="K80" s="521"/>
      <c r="N80" s="873"/>
      <c r="O80" s="538"/>
      <c r="P80" s="873"/>
      <c r="Q80" s="873"/>
      <c r="R80" s="873"/>
      <c r="S80" s="873"/>
      <c r="T80" s="873"/>
      <c r="U80" s="873"/>
      <c r="V80" s="873"/>
      <c r="W80" s="518"/>
    </row>
    <row r="81" spans="1:23">
      <c r="A81" s="521" t="s">
        <v>547</v>
      </c>
      <c r="B81" s="527">
        <f>B77/B78</f>
        <v>16.666636363636364</v>
      </c>
      <c r="C81" s="521"/>
      <c r="D81" s="521"/>
      <c r="E81" s="521"/>
      <c r="F81" s="521"/>
      <c r="G81" s="521"/>
      <c r="H81" s="521"/>
      <c r="I81" s="521"/>
      <c r="J81" s="521"/>
      <c r="K81" s="521"/>
      <c r="N81" s="873"/>
      <c r="O81" s="539"/>
      <c r="P81" s="873"/>
      <c r="Q81" s="873"/>
      <c r="R81" s="873"/>
      <c r="S81" s="873"/>
      <c r="T81" s="873"/>
      <c r="U81" s="873"/>
      <c r="V81" s="873"/>
      <c r="W81" s="518"/>
    </row>
    <row r="82" spans="1:23">
      <c r="A82" s="521"/>
      <c r="B82" s="521"/>
      <c r="C82" s="520" t="s">
        <v>217</v>
      </c>
      <c r="D82" s="525" t="s">
        <v>318</v>
      </c>
      <c r="E82" s="525" t="s">
        <v>547</v>
      </c>
      <c r="F82" s="525" t="s">
        <v>548</v>
      </c>
      <c r="G82" s="525" t="s">
        <v>2</v>
      </c>
      <c r="H82" s="525" t="s">
        <v>216</v>
      </c>
      <c r="I82" s="525" t="s">
        <v>318</v>
      </c>
      <c r="J82" s="520"/>
      <c r="K82" s="521"/>
      <c r="N82" s="873"/>
      <c r="O82" s="873"/>
      <c r="P82" s="872"/>
      <c r="Q82" s="872"/>
      <c r="R82" s="872"/>
      <c r="S82" s="875"/>
      <c r="T82" s="875"/>
      <c r="U82" s="872"/>
      <c r="V82" s="872"/>
      <c r="W82" s="518"/>
    </row>
    <row r="83" spans="1:23">
      <c r="A83" s="521"/>
      <c r="B83" s="521"/>
      <c r="C83" s="528">
        <v>41122</v>
      </c>
      <c r="D83" s="524">
        <f>B77</f>
        <v>183.333</v>
      </c>
      <c r="E83" s="563">
        <f>$B$81</f>
        <v>16.666636363636364</v>
      </c>
      <c r="F83" s="527"/>
      <c r="G83" s="20">
        <f>$B$80/$B$79</f>
        <v>2.775E-2</v>
      </c>
      <c r="H83" s="564">
        <f>D83*G83</f>
        <v>5.0874907499999997</v>
      </c>
      <c r="I83" s="527">
        <f>D83-E83</f>
        <v>166.66636363636363</v>
      </c>
      <c r="J83" s="527"/>
      <c r="K83" s="521"/>
      <c r="N83" s="873"/>
      <c r="O83" s="873"/>
      <c r="P83" s="529"/>
      <c r="Q83" s="874"/>
      <c r="R83" s="566"/>
      <c r="S83" s="879"/>
      <c r="T83" s="879"/>
      <c r="U83" s="546"/>
      <c r="V83" s="539"/>
      <c r="W83" s="518"/>
    </row>
    <row r="84" spans="1:23">
      <c r="A84" s="521"/>
      <c r="B84" s="521"/>
      <c r="C84" s="528">
        <v>41214</v>
      </c>
      <c r="D84" s="563">
        <f>I83</f>
        <v>166.66636363636363</v>
      </c>
      <c r="E84" s="563">
        <f>$B$81</f>
        <v>16.666636363636364</v>
      </c>
      <c r="F84" s="527"/>
      <c r="G84" s="20">
        <f>$B$80/$B$79</f>
        <v>2.775E-2</v>
      </c>
      <c r="H84" s="564">
        <f>D84*G84</f>
        <v>4.6249915909090911</v>
      </c>
      <c r="I84" s="527">
        <f t="shared" ref="I84:I93" si="11">D84-E84</f>
        <v>149.99972727272726</v>
      </c>
      <c r="J84" s="565"/>
      <c r="K84" s="521"/>
      <c r="N84" s="873"/>
      <c r="O84" s="873"/>
      <c r="P84" s="529"/>
      <c r="Q84" s="566"/>
      <c r="R84" s="566"/>
      <c r="S84" s="879"/>
      <c r="T84" s="879"/>
      <c r="U84" s="546"/>
      <c r="V84" s="539"/>
      <c r="W84" s="518"/>
    </row>
    <row r="85" spans="1:23">
      <c r="A85" s="521"/>
      <c r="B85" s="521"/>
      <c r="C85" s="528">
        <v>41306</v>
      </c>
      <c r="D85" s="563">
        <f t="shared" ref="D85:D93" si="12">I84</f>
        <v>149.99972727272726</v>
      </c>
      <c r="E85" s="563">
        <f t="shared" ref="E85:E93" si="13">$B$81</f>
        <v>16.666636363636364</v>
      </c>
      <c r="F85" s="527"/>
      <c r="G85" s="20">
        <f t="shared" ref="G85:G93" si="14">$B$80/$B$79</f>
        <v>2.775E-2</v>
      </c>
      <c r="H85" s="564">
        <f t="shared" ref="H85:H93" si="15">D85*G85</f>
        <v>4.1624924318181815</v>
      </c>
      <c r="I85" s="527">
        <f t="shared" si="11"/>
        <v>133.33309090909088</v>
      </c>
      <c r="J85" s="565"/>
      <c r="K85" s="521"/>
      <c r="N85" s="873"/>
      <c r="O85" s="873"/>
      <c r="P85" s="529"/>
      <c r="Q85" s="566"/>
      <c r="R85" s="566"/>
      <c r="S85" s="879"/>
      <c r="T85" s="879"/>
      <c r="U85" s="546"/>
      <c r="V85" s="539"/>
      <c r="W85" s="518"/>
    </row>
    <row r="86" spans="1:23">
      <c r="A86" s="521"/>
      <c r="B86" s="521"/>
      <c r="C86" s="528">
        <v>41395</v>
      </c>
      <c r="D86" s="563">
        <f t="shared" si="12"/>
        <v>133.33309090909088</v>
      </c>
      <c r="E86" s="563">
        <f t="shared" si="13"/>
        <v>16.666636363636364</v>
      </c>
      <c r="F86" s="527"/>
      <c r="G86" s="20">
        <f t="shared" si="14"/>
        <v>2.775E-2</v>
      </c>
      <c r="H86" s="564">
        <f t="shared" si="15"/>
        <v>3.699993272727272</v>
      </c>
      <c r="I86" s="527">
        <f t="shared" si="11"/>
        <v>116.66645454545451</v>
      </c>
      <c r="J86" s="565"/>
      <c r="K86" s="521"/>
      <c r="N86" s="873"/>
      <c r="O86" s="873"/>
      <c r="P86" s="529"/>
      <c r="Q86" s="566"/>
      <c r="R86" s="566"/>
      <c r="S86" s="879"/>
      <c r="T86" s="879"/>
      <c r="U86" s="546"/>
      <c r="V86" s="539"/>
      <c r="W86" s="518"/>
    </row>
    <row r="87" spans="1:23">
      <c r="A87" s="521"/>
      <c r="B87" s="521"/>
      <c r="C87" s="528">
        <v>41487</v>
      </c>
      <c r="D87" s="563">
        <f t="shared" si="12"/>
        <v>116.66645454545451</v>
      </c>
      <c r="E87" s="563">
        <f t="shared" si="13"/>
        <v>16.666636363636364</v>
      </c>
      <c r="F87" s="527"/>
      <c r="G87" s="20">
        <f t="shared" si="14"/>
        <v>2.775E-2</v>
      </c>
      <c r="H87" s="564">
        <f t="shared" si="15"/>
        <v>3.2374941136363629</v>
      </c>
      <c r="I87" s="527">
        <f t="shared" si="11"/>
        <v>99.999818181818142</v>
      </c>
      <c r="J87" s="565"/>
      <c r="K87" s="521"/>
      <c r="N87" s="873"/>
      <c r="O87" s="873"/>
      <c r="P87" s="529"/>
      <c r="Q87" s="566"/>
      <c r="R87" s="566"/>
      <c r="S87" s="879"/>
      <c r="T87" s="879"/>
      <c r="U87" s="546"/>
      <c r="V87" s="539"/>
      <c r="W87" s="518"/>
    </row>
    <row r="88" spans="1:23">
      <c r="A88" s="521"/>
      <c r="B88" s="521"/>
      <c r="C88" s="528">
        <v>41579</v>
      </c>
      <c r="D88" s="563">
        <f t="shared" si="12"/>
        <v>99.999818181818142</v>
      </c>
      <c r="E88" s="563">
        <f t="shared" si="13"/>
        <v>16.666636363636364</v>
      </c>
      <c r="F88" s="527"/>
      <c r="G88" s="20">
        <f t="shared" si="14"/>
        <v>2.775E-2</v>
      </c>
      <c r="H88" s="564">
        <f t="shared" si="15"/>
        <v>2.7749949545454533</v>
      </c>
      <c r="I88" s="527">
        <f t="shared" si="11"/>
        <v>83.333181818181771</v>
      </c>
      <c r="J88" s="565"/>
      <c r="K88" s="521"/>
      <c r="N88" s="873"/>
      <c r="O88" s="873"/>
      <c r="P88" s="529"/>
      <c r="Q88" s="566"/>
      <c r="R88" s="566"/>
      <c r="S88" s="879"/>
      <c r="T88" s="879"/>
      <c r="U88" s="546"/>
      <c r="V88" s="539"/>
      <c r="W88" s="518"/>
    </row>
    <row r="89" spans="1:23">
      <c r="A89" s="521"/>
      <c r="B89" s="521"/>
      <c r="C89" s="528">
        <v>41671</v>
      </c>
      <c r="D89" s="563">
        <f t="shared" si="12"/>
        <v>83.333181818181771</v>
      </c>
      <c r="E89" s="563">
        <f t="shared" si="13"/>
        <v>16.666636363636364</v>
      </c>
      <c r="F89" s="527"/>
      <c r="G89" s="20">
        <f t="shared" si="14"/>
        <v>2.775E-2</v>
      </c>
      <c r="H89" s="564">
        <f t="shared" si="15"/>
        <v>2.3124957954545442</v>
      </c>
      <c r="I89" s="527">
        <f t="shared" si="11"/>
        <v>66.6665454545454</v>
      </c>
      <c r="J89" s="565"/>
      <c r="K89" s="521"/>
      <c r="N89" s="873"/>
      <c r="O89" s="873"/>
      <c r="P89" s="529"/>
      <c r="Q89" s="566"/>
      <c r="R89" s="566"/>
      <c r="S89" s="879"/>
      <c r="T89" s="879"/>
      <c r="U89" s="546"/>
      <c r="V89" s="539"/>
      <c r="W89" s="518"/>
    </row>
    <row r="90" spans="1:23">
      <c r="A90" s="521"/>
      <c r="B90" s="521"/>
      <c r="C90" s="528">
        <v>41760</v>
      </c>
      <c r="D90" s="563">
        <f t="shared" si="12"/>
        <v>66.6665454545454</v>
      </c>
      <c r="E90" s="563">
        <f t="shared" si="13"/>
        <v>16.666636363636364</v>
      </c>
      <c r="F90" s="527"/>
      <c r="G90" s="20">
        <f t="shared" si="14"/>
        <v>2.775E-2</v>
      </c>
      <c r="H90" s="564">
        <f t="shared" si="15"/>
        <v>1.8499966363636349</v>
      </c>
      <c r="I90" s="527">
        <f t="shared" si="11"/>
        <v>49.999909090909036</v>
      </c>
      <c r="J90" s="565"/>
      <c r="K90" s="521"/>
      <c r="N90" s="873"/>
      <c r="O90" s="873"/>
      <c r="P90" s="529"/>
      <c r="Q90" s="566"/>
      <c r="R90" s="566"/>
      <c r="S90" s="879"/>
      <c r="T90" s="879"/>
      <c r="U90" s="546"/>
      <c r="V90" s="539"/>
      <c r="W90" s="518"/>
    </row>
    <row r="91" spans="1:23">
      <c r="A91" s="521"/>
      <c r="B91" s="521"/>
      <c r="C91" s="528">
        <v>41852</v>
      </c>
      <c r="D91" s="563">
        <f t="shared" si="12"/>
        <v>49.999909090909036</v>
      </c>
      <c r="E91" s="563">
        <f t="shared" si="13"/>
        <v>16.666636363636364</v>
      </c>
      <c r="F91" s="527"/>
      <c r="G91" s="20">
        <f t="shared" si="14"/>
        <v>2.775E-2</v>
      </c>
      <c r="H91" s="564">
        <f t="shared" si="15"/>
        <v>1.3874974772727258</v>
      </c>
      <c r="I91" s="527">
        <f t="shared" si="11"/>
        <v>33.333272727272671</v>
      </c>
      <c r="J91" s="565"/>
      <c r="K91" s="521"/>
      <c r="N91" s="873"/>
      <c r="O91" s="873"/>
      <c r="P91" s="529"/>
      <c r="Q91" s="566"/>
      <c r="R91" s="566"/>
      <c r="S91" s="879"/>
      <c r="T91" s="879"/>
      <c r="U91" s="546"/>
      <c r="V91" s="539"/>
      <c r="W91" s="518"/>
    </row>
    <row r="92" spans="1:23">
      <c r="A92" s="521"/>
      <c r="B92" s="521"/>
      <c r="C92" s="528">
        <v>41944</v>
      </c>
      <c r="D92" s="563">
        <f t="shared" si="12"/>
        <v>33.333272727272671</v>
      </c>
      <c r="E92" s="563">
        <f t="shared" si="13"/>
        <v>16.666636363636364</v>
      </c>
      <c r="F92" s="527"/>
      <c r="G92" s="20">
        <f t="shared" si="14"/>
        <v>2.775E-2</v>
      </c>
      <c r="H92" s="564">
        <f t="shared" si="15"/>
        <v>0.92499831818181666</v>
      </c>
      <c r="I92" s="527">
        <f t="shared" si="11"/>
        <v>16.666636363636307</v>
      </c>
      <c r="J92" s="565"/>
      <c r="K92" s="521"/>
      <c r="N92" s="873"/>
      <c r="O92" s="873"/>
      <c r="P92" s="529"/>
      <c r="Q92" s="566"/>
      <c r="R92" s="566"/>
      <c r="S92" s="879"/>
      <c r="T92" s="879"/>
      <c r="U92" s="546"/>
      <c r="V92" s="539"/>
      <c r="W92" s="518"/>
    </row>
    <row r="93" spans="1:23">
      <c r="A93" s="521"/>
      <c r="B93" s="521"/>
      <c r="C93" s="528">
        <v>42036</v>
      </c>
      <c r="D93" s="563">
        <f t="shared" si="12"/>
        <v>16.666636363636307</v>
      </c>
      <c r="E93" s="563">
        <f t="shared" si="13"/>
        <v>16.666636363636364</v>
      </c>
      <c r="F93" s="527"/>
      <c r="G93" s="20">
        <f t="shared" si="14"/>
        <v>2.775E-2</v>
      </c>
      <c r="H93" s="564">
        <f t="shared" si="15"/>
        <v>0.46249915909090755</v>
      </c>
      <c r="I93" s="527">
        <f t="shared" si="11"/>
        <v>-5.6843418860808015E-14</v>
      </c>
      <c r="J93" s="565"/>
      <c r="K93" s="521"/>
      <c r="N93" s="873"/>
      <c r="O93" s="873"/>
      <c r="P93" s="529"/>
      <c r="Q93" s="566"/>
      <c r="R93" s="566"/>
      <c r="S93" s="879"/>
      <c r="T93" s="879"/>
      <c r="U93" s="546"/>
      <c r="V93" s="539"/>
      <c r="W93" s="518"/>
    </row>
    <row r="94" spans="1:23">
      <c r="N94" s="518"/>
      <c r="O94" s="518"/>
      <c r="P94" s="518"/>
      <c r="Q94" s="518"/>
      <c r="R94" s="518"/>
      <c r="S94" s="518"/>
      <c r="T94" s="518"/>
      <c r="U94" s="518"/>
      <c r="V94" s="518"/>
      <c r="W94" s="518"/>
    </row>
    <row r="95" spans="1:23">
      <c r="A95" s="520" t="s">
        <v>682</v>
      </c>
      <c r="B95" s="521"/>
      <c r="C95" s="521"/>
      <c r="D95" s="521"/>
      <c r="E95" s="521"/>
      <c r="F95" s="521"/>
      <c r="G95" s="521"/>
      <c r="H95" s="521"/>
      <c r="I95" s="521"/>
      <c r="J95" s="521"/>
      <c r="K95" s="521"/>
      <c r="N95" s="518"/>
      <c r="O95" s="518"/>
      <c r="P95" s="518"/>
      <c r="Q95" s="518"/>
      <c r="R95" s="518"/>
      <c r="S95" s="518"/>
      <c r="T95" s="518"/>
      <c r="U95" s="518"/>
      <c r="V95" s="518"/>
      <c r="W95" s="518"/>
    </row>
    <row r="96" spans="1:23">
      <c r="A96" s="521" t="s">
        <v>544</v>
      </c>
      <c r="B96" s="521">
        <v>720</v>
      </c>
      <c r="C96" s="521"/>
      <c r="D96" s="521"/>
      <c r="E96" s="521"/>
      <c r="F96" s="521"/>
      <c r="G96" s="521"/>
      <c r="H96" s="521"/>
      <c r="I96" s="521"/>
      <c r="J96" s="521"/>
      <c r="K96" s="521"/>
      <c r="N96" s="518"/>
      <c r="O96" s="518"/>
      <c r="P96" s="518"/>
      <c r="Q96" s="518"/>
      <c r="R96" s="518"/>
      <c r="S96" s="518"/>
      <c r="T96" s="518"/>
      <c r="U96" s="518"/>
      <c r="V96" s="518"/>
      <c r="W96" s="518"/>
    </row>
    <row r="97" spans="1:23">
      <c r="A97" s="521" t="s">
        <v>545</v>
      </c>
      <c r="B97" s="521">
        <v>18</v>
      </c>
      <c r="C97" s="521"/>
      <c r="D97" s="521"/>
      <c r="E97" s="521"/>
      <c r="F97" s="521"/>
      <c r="G97" s="521"/>
      <c r="H97" s="521"/>
      <c r="I97" s="521"/>
      <c r="J97" s="521"/>
      <c r="K97" s="521"/>
      <c r="N97" s="518"/>
      <c r="O97" s="518"/>
      <c r="P97" s="518"/>
      <c r="Q97" s="518"/>
      <c r="R97" s="518"/>
      <c r="S97" s="518"/>
      <c r="T97" s="518"/>
      <c r="U97" s="518"/>
      <c r="V97" s="518"/>
      <c r="W97" s="518"/>
    </row>
    <row r="98" spans="1:23">
      <c r="A98" s="521" t="s">
        <v>546</v>
      </c>
      <c r="B98" s="521">
        <v>4</v>
      </c>
      <c r="C98" s="521"/>
      <c r="D98" s="521"/>
      <c r="E98" s="521"/>
      <c r="F98" s="521"/>
      <c r="G98" s="521"/>
      <c r="H98" s="521"/>
      <c r="I98" s="521"/>
      <c r="J98" s="521"/>
      <c r="K98" s="521"/>
      <c r="N98" s="518"/>
      <c r="O98" s="518"/>
      <c r="P98" s="518"/>
      <c r="Q98" s="518"/>
      <c r="R98" s="518"/>
      <c r="S98" s="518"/>
      <c r="T98" s="518"/>
      <c r="U98" s="518"/>
      <c r="V98" s="518"/>
      <c r="W98" s="518"/>
    </row>
    <row r="99" spans="1:23">
      <c r="A99" s="521" t="s">
        <v>213</v>
      </c>
      <c r="B99" s="523">
        <f>10.1%+0.5%</f>
        <v>0.106</v>
      </c>
      <c r="C99" s="521"/>
      <c r="D99" s="521"/>
      <c r="E99" s="521"/>
      <c r="F99" s="521"/>
      <c r="G99" s="521"/>
      <c r="H99" s="521"/>
      <c r="I99" s="521"/>
      <c r="J99" s="521"/>
      <c r="K99" s="521"/>
      <c r="N99" s="518"/>
      <c r="O99" s="518"/>
      <c r="P99" s="518"/>
      <c r="Q99" s="518"/>
      <c r="R99" s="518"/>
      <c r="S99" s="518"/>
      <c r="T99" s="518"/>
      <c r="U99" s="518"/>
      <c r="V99" s="518"/>
      <c r="W99" s="518"/>
    </row>
    <row r="100" spans="1:23">
      <c r="A100" s="521" t="s">
        <v>547</v>
      </c>
      <c r="B100" s="527">
        <f>B96/B97</f>
        <v>40</v>
      </c>
      <c r="C100" s="521"/>
      <c r="D100" s="521"/>
      <c r="E100" s="521"/>
      <c r="F100" s="521"/>
      <c r="G100" s="521"/>
      <c r="H100" s="521"/>
      <c r="I100" s="521"/>
      <c r="J100" s="521"/>
      <c r="K100" s="521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</row>
    <row r="101" spans="1:23">
      <c r="A101" s="521"/>
      <c r="B101" s="521"/>
      <c r="C101" s="520" t="s">
        <v>217</v>
      </c>
      <c r="D101" s="525" t="s">
        <v>318</v>
      </c>
      <c r="E101" s="525" t="s">
        <v>547</v>
      </c>
      <c r="F101" s="525" t="s">
        <v>548</v>
      </c>
      <c r="G101" s="525" t="s">
        <v>2</v>
      </c>
      <c r="H101" s="525" t="s">
        <v>216</v>
      </c>
      <c r="I101" s="525" t="s">
        <v>318</v>
      </c>
      <c r="J101" s="520"/>
      <c r="K101" s="521"/>
      <c r="N101" s="518"/>
      <c r="O101" s="518"/>
      <c r="P101" s="518"/>
      <c r="Q101" s="518"/>
      <c r="R101" s="518"/>
      <c r="S101" s="518"/>
      <c r="T101" s="518"/>
      <c r="U101" s="518"/>
      <c r="V101" s="518"/>
      <c r="W101" s="518"/>
    </row>
    <row r="102" spans="1:23">
      <c r="A102" s="521"/>
      <c r="B102" s="521"/>
      <c r="C102" s="528">
        <v>41547</v>
      </c>
      <c r="D102" s="524">
        <f>B96</f>
        <v>720</v>
      </c>
      <c r="E102" s="563">
        <f>B100</f>
        <v>40</v>
      </c>
      <c r="F102" s="527"/>
      <c r="G102" s="20">
        <f>$B$80/$B$79</f>
        <v>2.775E-2</v>
      </c>
      <c r="H102" s="564">
        <f>D102*G102</f>
        <v>19.98</v>
      </c>
      <c r="I102" s="527">
        <f>D102-E102</f>
        <v>680</v>
      </c>
      <c r="J102" s="527"/>
      <c r="K102" s="521"/>
      <c r="N102" s="518"/>
      <c r="O102" s="518"/>
      <c r="P102" s="518"/>
      <c r="Q102" s="518"/>
      <c r="R102" s="518"/>
      <c r="S102" s="518"/>
      <c r="T102" s="518"/>
      <c r="U102" s="518"/>
      <c r="V102" s="518"/>
      <c r="W102" s="518"/>
    </row>
    <row r="103" spans="1:23">
      <c r="A103" s="521"/>
      <c r="B103" s="521"/>
      <c r="C103" s="528">
        <v>41639</v>
      </c>
      <c r="D103" s="563">
        <f>I102</f>
        <v>680</v>
      </c>
      <c r="E103" s="563">
        <f>E102</f>
        <v>40</v>
      </c>
      <c r="F103" s="527"/>
      <c r="G103" s="20">
        <f>$B$80/$B$79</f>
        <v>2.775E-2</v>
      </c>
      <c r="H103" s="564">
        <f>D103*G103</f>
        <v>18.87</v>
      </c>
      <c r="I103" s="527">
        <f t="shared" ref="I103:I112" si="16">D103-E103</f>
        <v>640</v>
      </c>
      <c r="J103" s="565"/>
      <c r="K103" s="521"/>
      <c r="N103" s="518"/>
      <c r="O103" s="518"/>
      <c r="P103" s="518"/>
      <c r="Q103" s="518"/>
      <c r="R103" s="518"/>
      <c r="S103" s="518"/>
      <c r="T103" s="518"/>
      <c r="U103" s="518"/>
      <c r="V103" s="518"/>
      <c r="W103" s="518"/>
    </row>
    <row r="104" spans="1:23">
      <c r="A104" s="521"/>
      <c r="B104" s="521"/>
      <c r="C104" s="528">
        <v>41729</v>
      </c>
      <c r="D104" s="563">
        <f t="shared" ref="D104:D112" si="17">I103</f>
        <v>640</v>
      </c>
      <c r="E104" s="563">
        <f t="shared" ref="E104:E119" si="18">E103</f>
        <v>40</v>
      </c>
      <c r="F104" s="527"/>
      <c r="G104" s="20">
        <f t="shared" ref="G104:G119" si="19">$B$80/$B$79</f>
        <v>2.775E-2</v>
      </c>
      <c r="H104" s="564">
        <f t="shared" ref="H104:H112" si="20">D104*G104</f>
        <v>17.760000000000002</v>
      </c>
      <c r="I104" s="527">
        <f t="shared" si="16"/>
        <v>600</v>
      </c>
      <c r="J104" s="565"/>
      <c r="K104" s="521"/>
      <c r="N104" s="518"/>
      <c r="O104" s="518"/>
      <c r="P104" s="518"/>
      <c r="Q104" s="518"/>
      <c r="R104" s="518"/>
      <c r="S104" s="518"/>
      <c r="T104" s="518"/>
      <c r="U104" s="518"/>
      <c r="V104" s="518"/>
      <c r="W104" s="518"/>
    </row>
    <row r="105" spans="1:23">
      <c r="A105" s="521"/>
      <c r="B105" s="521"/>
      <c r="C105" s="528">
        <v>41820</v>
      </c>
      <c r="D105" s="563">
        <f t="shared" si="17"/>
        <v>600</v>
      </c>
      <c r="E105" s="563">
        <f t="shared" si="18"/>
        <v>40</v>
      </c>
      <c r="F105" s="527"/>
      <c r="G105" s="20">
        <f t="shared" si="19"/>
        <v>2.775E-2</v>
      </c>
      <c r="H105" s="564">
        <f t="shared" si="20"/>
        <v>16.649999999999999</v>
      </c>
      <c r="I105" s="527">
        <f t="shared" si="16"/>
        <v>560</v>
      </c>
      <c r="J105" s="565"/>
      <c r="K105" s="521"/>
      <c r="N105" s="518"/>
      <c r="O105" s="518"/>
      <c r="P105" s="518"/>
      <c r="Q105" s="518"/>
      <c r="R105" s="518"/>
      <c r="S105" s="518"/>
      <c r="T105" s="518"/>
      <c r="U105" s="518"/>
      <c r="V105" s="518"/>
      <c r="W105" s="518"/>
    </row>
    <row r="106" spans="1:23">
      <c r="A106" s="521"/>
      <c r="B106" s="521"/>
      <c r="C106" s="528">
        <v>41912</v>
      </c>
      <c r="D106" s="563">
        <f t="shared" si="17"/>
        <v>560</v>
      </c>
      <c r="E106" s="563">
        <f t="shared" si="18"/>
        <v>40</v>
      </c>
      <c r="F106" s="527"/>
      <c r="G106" s="20">
        <f t="shared" si="19"/>
        <v>2.775E-2</v>
      </c>
      <c r="H106" s="564">
        <f t="shared" si="20"/>
        <v>15.540000000000001</v>
      </c>
      <c r="I106" s="527">
        <f t="shared" si="16"/>
        <v>520</v>
      </c>
      <c r="J106" s="565"/>
      <c r="K106" s="521"/>
      <c r="N106" s="518"/>
      <c r="O106" s="518"/>
      <c r="P106" s="518"/>
      <c r="Q106" s="518"/>
      <c r="R106" s="518"/>
      <c r="S106" s="518"/>
      <c r="T106" s="518"/>
      <c r="U106" s="518"/>
      <c r="V106" s="518"/>
      <c r="W106" s="518"/>
    </row>
    <row r="107" spans="1:23">
      <c r="A107" s="521"/>
      <c r="B107" s="521"/>
      <c r="C107" s="528">
        <v>42004</v>
      </c>
      <c r="D107" s="563">
        <f t="shared" si="17"/>
        <v>520</v>
      </c>
      <c r="E107" s="563">
        <f t="shared" si="18"/>
        <v>40</v>
      </c>
      <c r="F107" s="527"/>
      <c r="G107" s="20">
        <f t="shared" si="19"/>
        <v>2.775E-2</v>
      </c>
      <c r="H107" s="564">
        <f t="shared" si="20"/>
        <v>14.43</v>
      </c>
      <c r="I107" s="527">
        <f t="shared" si="16"/>
        <v>480</v>
      </c>
      <c r="J107" s="565"/>
      <c r="K107" s="521"/>
      <c r="N107" s="518"/>
      <c r="O107" s="518"/>
      <c r="P107" s="518"/>
      <c r="Q107" s="518"/>
      <c r="R107" s="518"/>
      <c r="S107" s="518"/>
      <c r="T107" s="518"/>
      <c r="U107" s="518"/>
      <c r="V107" s="518"/>
      <c r="W107" s="518"/>
    </row>
    <row r="108" spans="1:23">
      <c r="A108" s="521"/>
      <c r="B108" s="521"/>
      <c r="C108" s="528">
        <v>42094</v>
      </c>
      <c r="D108" s="563">
        <f t="shared" si="17"/>
        <v>480</v>
      </c>
      <c r="E108" s="563">
        <f t="shared" si="18"/>
        <v>40</v>
      </c>
      <c r="F108" s="527"/>
      <c r="G108" s="20">
        <f t="shared" si="19"/>
        <v>2.775E-2</v>
      </c>
      <c r="H108" s="564">
        <f t="shared" si="20"/>
        <v>13.32</v>
      </c>
      <c r="I108" s="527">
        <f t="shared" si="16"/>
        <v>440</v>
      </c>
      <c r="J108" s="565"/>
      <c r="K108" s="521"/>
      <c r="N108" s="518"/>
      <c r="O108" s="518"/>
      <c r="P108" s="518"/>
      <c r="Q108" s="518"/>
      <c r="R108" s="518"/>
      <c r="S108" s="518"/>
      <c r="T108" s="518"/>
      <c r="U108" s="518"/>
      <c r="V108" s="518"/>
      <c r="W108" s="518"/>
    </row>
    <row r="109" spans="1:23">
      <c r="A109" s="521"/>
      <c r="B109" s="521"/>
      <c r="C109" s="528">
        <v>42185</v>
      </c>
      <c r="D109" s="563">
        <f t="shared" si="17"/>
        <v>440</v>
      </c>
      <c r="E109" s="563">
        <f t="shared" si="18"/>
        <v>40</v>
      </c>
      <c r="F109" s="527"/>
      <c r="G109" s="20">
        <f t="shared" si="19"/>
        <v>2.775E-2</v>
      </c>
      <c r="H109" s="564">
        <f t="shared" si="20"/>
        <v>12.21</v>
      </c>
      <c r="I109" s="527">
        <f t="shared" si="16"/>
        <v>400</v>
      </c>
      <c r="J109" s="565"/>
      <c r="K109" s="521"/>
      <c r="N109" s="518"/>
      <c r="O109" s="518"/>
      <c r="P109" s="518"/>
      <c r="Q109" s="518"/>
      <c r="R109" s="518"/>
      <c r="S109" s="518"/>
      <c r="T109" s="518"/>
      <c r="U109" s="518"/>
      <c r="V109" s="518"/>
      <c r="W109" s="518"/>
    </row>
    <row r="110" spans="1:23">
      <c r="A110" s="521"/>
      <c r="B110" s="521"/>
      <c r="C110" s="528">
        <v>42277</v>
      </c>
      <c r="D110" s="563">
        <f t="shared" si="17"/>
        <v>400</v>
      </c>
      <c r="E110" s="563">
        <f t="shared" si="18"/>
        <v>40</v>
      </c>
      <c r="F110" s="527"/>
      <c r="G110" s="20">
        <f t="shared" si="19"/>
        <v>2.775E-2</v>
      </c>
      <c r="H110" s="564">
        <f t="shared" si="20"/>
        <v>11.1</v>
      </c>
      <c r="I110" s="527">
        <f t="shared" si="16"/>
        <v>360</v>
      </c>
      <c r="J110" s="565"/>
      <c r="K110" s="521"/>
      <c r="N110" s="518"/>
      <c r="O110" s="518"/>
      <c r="P110" s="518"/>
      <c r="Q110" s="518"/>
      <c r="R110" s="518"/>
      <c r="S110" s="518"/>
      <c r="T110" s="518"/>
      <c r="U110" s="518"/>
      <c r="V110" s="518"/>
      <c r="W110" s="518"/>
    </row>
    <row r="111" spans="1:23">
      <c r="A111" s="521"/>
      <c r="B111" s="521"/>
      <c r="C111" s="528">
        <v>42369</v>
      </c>
      <c r="D111" s="563">
        <f t="shared" si="17"/>
        <v>360</v>
      </c>
      <c r="E111" s="563">
        <f t="shared" si="18"/>
        <v>40</v>
      </c>
      <c r="F111" s="527"/>
      <c r="G111" s="20">
        <f t="shared" si="19"/>
        <v>2.775E-2</v>
      </c>
      <c r="H111" s="564">
        <f t="shared" si="20"/>
        <v>9.99</v>
      </c>
      <c r="I111" s="527">
        <f t="shared" si="16"/>
        <v>320</v>
      </c>
      <c r="J111" s="565"/>
      <c r="K111" s="521"/>
      <c r="N111" s="518"/>
      <c r="O111" s="518"/>
      <c r="P111" s="518"/>
      <c r="Q111" s="518"/>
      <c r="R111" s="518"/>
      <c r="S111" s="518"/>
      <c r="T111" s="518"/>
      <c r="U111" s="518"/>
      <c r="V111" s="518"/>
      <c r="W111" s="518"/>
    </row>
    <row r="112" spans="1:23">
      <c r="A112" s="521"/>
      <c r="B112" s="521"/>
      <c r="C112" s="528">
        <v>42460</v>
      </c>
      <c r="D112" s="563">
        <f t="shared" si="17"/>
        <v>320</v>
      </c>
      <c r="E112" s="563">
        <f t="shared" si="18"/>
        <v>40</v>
      </c>
      <c r="F112" s="527"/>
      <c r="G112" s="20">
        <f t="shared" si="19"/>
        <v>2.775E-2</v>
      </c>
      <c r="H112" s="564">
        <f t="shared" si="20"/>
        <v>8.8800000000000008</v>
      </c>
      <c r="I112" s="527">
        <f t="shared" si="16"/>
        <v>280</v>
      </c>
      <c r="J112" s="565"/>
      <c r="K112" s="521"/>
      <c r="N112" s="518"/>
      <c r="O112" s="518"/>
      <c r="P112" s="518"/>
      <c r="Q112" s="518"/>
      <c r="R112" s="518"/>
      <c r="S112" s="518"/>
      <c r="T112" s="518"/>
      <c r="U112" s="518"/>
      <c r="V112" s="518"/>
      <c r="W112" s="518"/>
    </row>
    <row r="113" spans="1:23">
      <c r="A113" s="521"/>
      <c r="B113" s="521"/>
      <c r="C113" s="528">
        <v>42551</v>
      </c>
      <c r="D113" s="563">
        <f t="shared" ref="D113:D118" si="21">I112</f>
        <v>280</v>
      </c>
      <c r="E113" s="563">
        <f t="shared" si="18"/>
        <v>40</v>
      </c>
      <c r="F113" s="527"/>
      <c r="G113" s="20">
        <f t="shared" si="19"/>
        <v>2.775E-2</v>
      </c>
      <c r="H113" s="564">
        <f t="shared" ref="H113:H118" si="22">D113*G113</f>
        <v>7.7700000000000005</v>
      </c>
      <c r="I113" s="527">
        <f t="shared" ref="I113:I118" si="23">D113-E113</f>
        <v>240</v>
      </c>
      <c r="J113" s="565"/>
      <c r="K113" s="521"/>
      <c r="N113" s="518"/>
      <c r="O113" s="518"/>
      <c r="P113" s="518"/>
      <c r="Q113" s="518"/>
      <c r="R113" s="518"/>
      <c r="S113" s="518"/>
      <c r="T113" s="518"/>
      <c r="U113" s="518"/>
      <c r="V113" s="518"/>
      <c r="W113" s="518"/>
    </row>
    <row r="114" spans="1:23">
      <c r="A114" s="521"/>
      <c r="B114" s="521"/>
      <c r="C114" s="528">
        <v>42643</v>
      </c>
      <c r="D114" s="563">
        <f t="shared" si="21"/>
        <v>240</v>
      </c>
      <c r="E114" s="563">
        <f t="shared" si="18"/>
        <v>40</v>
      </c>
      <c r="F114" s="527"/>
      <c r="G114" s="20">
        <f t="shared" si="19"/>
        <v>2.775E-2</v>
      </c>
      <c r="H114" s="564">
        <f t="shared" si="22"/>
        <v>6.66</v>
      </c>
      <c r="I114" s="527">
        <f t="shared" si="23"/>
        <v>200</v>
      </c>
      <c r="J114" s="565"/>
      <c r="K114" s="521"/>
      <c r="N114" s="518"/>
      <c r="O114" s="518"/>
      <c r="P114" s="518"/>
      <c r="Q114" s="518"/>
      <c r="R114" s="518"/>
      <c r="S114" s="518"/>
      <c r="T114" s="518"/>
      <c r="U114" s="518"/>
      <c r="V114" s="518"/>
      <c r="W114" s="518"/>
    </row>
    <row r="115" spans="1:23">
      <c r="A115" s="521"/>
      <c r="B115" s="521"/>
      <c r="C115" s="528">
        <v>42735</v>
      </c>
      <c r="D115" s="563">
        <f t="shared" si="21"/>
        <v>200</v>
      </c>
      <c r="E115" s="563">
        <f t="shared" si="18"/>
        <v>40</v>
      </c>
      <c r="F115" s="527"/>
      <c r="G115" s="20">
        <f t="shared" si="19"/>
        <v>2.775E-2</v>
      </c>
      <c r="H115" s="564">
        <f t="shared" si="22"/>
        <v>5.55</v>
      </c>
      <c r="I115" s="527">
        <f t="shared" si="23"/>
        <v>160</v>
      </c>
      <c r="J115" s="565"/>
      <c r="K115" s="521"/>
      <c r="N115" s="518"/>
      <c r="O115" s="518"/>
      <c r="P115" s="518"/>
      <c r="Q115" s="518"/>
      <c r="R115" s="518"/>
      <c r="S115" s="518"/>
      <c r="T115" s="518"/>
      <c r="U115" s="518"/>
      <c r="V115" s="518"/>
      <c r="W115" s="518"/>
    </row>
    <row r="116" spans="1:23">
      <c r="A116" s="521"/>
      <c r="B116" s="521"/>
      <c r="C116" s="528">
        <v>42825</v>
      </c>
      <c r="D116" s="563">
        <f t="shared" si="21"/>
        <v>160</v>
      </c>
      <c r="E116" s="563">
        <f t="shared" si="18"/>
        <v>40</v>
      </c>
      <c r="F116" s="527"/>
      <c r="G116" s="20">
        <f t="shared" si="19"/>
        <v>2.775E-2</v>
      </c>
      <c r="H116" s="564">
        <f t="shared" si="22"/>
        <v>4.4400000000000004</v>
      </c>
      <c r="I116" s="527">
        <f t="shared" si="23"/>
        <v>120</v>
      </c>
      <c r="J116" s="565"/>
      <c r="K116" s="521"/>
      <c r="N116" s="518"/>
      <c r="O116" s="518"/>
      <c r="P116" s="518"/>
      <c r="Q116" s="518"/>
      <c r="R116" s="518"/>
      <c r="S116" s="518"/>
      <c r="T116" s="518"/>
      <c r="U116" s="518"/>
      <c r="V116" s="518"/>
      <c r="W116" s="518"/>
    </row>
    <row r="117" spans="1:23">
      <c r="A117" s="521"/>
      <c r="B117" s="521"/>
      <c r="C117" s="528">
        <v>42916</v>
      </c>
      <c r="D117" s="563">
        <f t="shared" si="21"/>
        <v>120</v>
      </c>
      <c r="E117" s="563">
        <f t="shared" si="18"/>
        <v>40</v>
      </c>
      <c r="F117" s="527"/>
      <c r="G117" s="20">
        <f t="shared" si="19"/>
        <v>2.775E-2</v>
      </c>
      <c r="H117" s="564">
        <f t="shared" si="22"/>
        <v>3.33</v>
      </c>
      <c r="I117" s="527">
        <f t="shared" si="23"/>
        <v>80</v>
      </c>
      <c r="J117" s="565"/>
      <c r="K117" s="521"/>
      <c r="N117" s="518"/>
      <c r="O117" s="518"/>
      <c r="P117" s="518"/>
      <c r="Q117" s="518"/>
      <c r="R117" s="518"/>
      <c r="S117" s="518"/>
      <c r="T117" s="518"/>
      <c r="U117" s="518"/>
      <c r="V117" s="518"/>
      <c r="W117" s="518"/>
    </row>
    <row r="118" spans="1:23">
      <c r="A118" s="521"/>
      <c r="B118" s="521"/>
      <c r="C118" s="528">
        <v>43008</v>
      </c>
      <c r="D118" s="563">
        <f t="shared" si="21"/>
        <v>80</v>
      </c>
      <c r="E118" s="563">
        <f t="shared" si="18"/>
        <v>40</v>
      </c>
      <c r="F118" s="527"/>
      <c r="G118" s="20">
        <f t="shared" si="19"/>
        <v>2.775E-2</v>
      </c>
      <c r="H118" s="564">
        <f t="shared" si="22"/>
        <v>2.2200000000000002</v>
      </c>
      <c r="I118" s="527">
        <f t="shared" si="23"/>
        <v>40</v>
      </c>
      <c r="J118" s="565"/>
      <c r="K118" s="521"/>
      <c r="N118" s="518"/>
      <c r="O118" s="518"/>
      <c r="P118" s="518"/>
      <c r="Q118" s="518"/>
      <c r="R118" s="518"/>
      <c r="S118" s="518"/>
      <c r="T118" s="518"/>
      <c r="U118" s="518"/>
      <c r="V118" s="518"/>
      <c r="W118" s="518"/>
    </row>
    <row r="119" spans="1:23">
      <c r="A119" s="521"/>
      <c r="B119" s="521"/>
      <c r="C119" s="528">
        <v>43100</v>
      </c>
      <c r="D119" s="563">
        <f t="shared" ref="D119" si="24">I118</f>
        <v>40</v>
      </c>
      <c r="E119" s="563">
        <f t="shared" si="18"/>
        <v>40</v>
      </c>
      <c r="F119" s="527"/>
      <c r="G119" s="20">
        <f t="shared" si="19"/>
        <v>2.775E-2</v>
      </c>
      <c r="H119" s="564">
        <f t="shared" ref="H119" si="25">D119*G119</f>
        <v>1.1100000000000001</v>
      </c>
      <c r="I119" s="527">
        <f t="shared" ref="I119" si="26">D119-E119</f>
        <v>0</v>
      </c>
      <c r="J119" s="565"/>
      <c r="K119" s="521"/>
      <c r="N119" s="518"/>
      <c r="O119" s="518"/>
      <c r="P119" s="518"/>
      <c r="Q119" s="518"/>
      <c r="R119" s="518"/>
      <c r="S119" s="518"/>
      <c r="T119" s="518"/>
      <c r="U119" s="518"/>
      <c r="V119" s="518"/>
      <c r="W119" s="518"/>
    </row>
    <row r="120" spans="1:23">
      <c r="N120" s="518"/>
      <c r="O120" s="518"/>
      <c r="P120" s="518"/>
      <c r="Q120" s="518"/>
      <c r="R120" s="518"/>
      <c r="S120" s="518"/>
      <c r="T120" s="518"/>
      <c r="U120" s="518"/>
      <c r="V120" s="518"/>
      <c r="W120" s="518"/>
    </row>
    <row r="121" spans="1:23">
      <c r="A121" s="520" t="s">
        <v>683</v>
      </c>
      <c r="B121" s="521"/>
      <c r="C121" s="521"/>
      <c r="D121" s="521"/>
      <c r="E121" s="521"/>
      <c r="F121" s="521"/>
      <c r="G121" s="521"/>
      <c r="H121" s="521"/>
      <c r="I121" s="521"/>
      <c r="J121" s="521"/>
      <c r="K121" s="521"/>
      <c r="N121" s="872"/>
      <c r="O121" s="873"/>
      <c r="P121" s="873"/>
      <c r="Q121" s="873"/>
      <c r="R121" s="873"/>
      <c r="S121" s="873"/>
      <c r="T121" s="873"/>
      <c r="U121" s="873"/>
      <c r="V121" s="873"/>
      <c r="W121" s="518"/>
    </row>
    <row r="122" spans="1:23">
      <c r="A122" s="521" t="s">
        <v>544</v>
      </c>
      <c r="B122" s="521">
        <v>431.25</v>
      </c>
      <c r="C122" s="521"/>
      <c r="D122" s="521"/>
      <c r="E122" s="521"/>
      <c r="F122" s="521"/>
      <c r="G122" s="521"/>
      <c r="H122" s="521"/>
      <c r="I122" s="521"/>
      <c r="J122" s="521"/>
      <c r="K122" s="521"/>
      <c r="N122" s="873"/>
      <c r="O122" s="873"/>
      <c r="P122" s="873"/>
      <c r="Q122" s="873"/>
      <c r="R122" s="873"/>
      <c r="S122" s="873"/>
      <c r="T122" s="873"/>
      <c r="U122" s="873"/>
      <c r="V122" s="873"/>
      <c r="W122" s="518"/>
    </row>
    <row r="123" spans="1:23">
      <c r="A123" s="521" t="s">
        <v>545</v>
      </c>
      <c r="B123" s="521">
        <v>15</v>
      </c>
      <c r="C123" s="521"/>
      <c r="D123" s="521"/>
      <c r="E123" s="521"/>
      <c r="F123" s="521"/>
      <c r="G123" s="521"/>
      <c r="H123" s="521"/>
      <c r="I123" s="521"/>
      <c r="J123" s="521"/>
      <c r="K123" s="521"/>
      <c r="N123" s="873"/>
      <c r="O123" s="873"/>
      <c r="P123" s="873"/>
      <c r="Q123" s="873"/>
      <c r="R123" s="873"/>
      <c r="S123" s="873"/>
      <c r="T123" s="873"/>
      <c r="U123" s="873"/>
      <c r="V123" s="873"/>
      <c r="W123" s="518"/>
    </row>
    <row r="124" spans="1:23">
      <c r="A124" s="521" t="s">
        <v>546</v>
      </c>
      <c r="B124" s="521">
        <v>4</v>
      </c>
      <c r="C124" s="521"/>
      <c r="D124" s="521"/>
      <c r="E124" s="521"/>
      <c r="F124" s="521"/>
      <c r="G124" s="521"/>
      <c r="H124" s="521"/>
      <c r="I124" s="521"/>
      <c r="J124" s="521"/>
      <c r="K124" s="521"/>
      <c r="N124" s="873"/>
      <c r="O124" s="873"/>
      <c r="P124" s="873"/>
      <c r="Q124" s="873"/>
      <c r="R124" s="873"/>
      <c r="S124" s="873"/>
      <c r="T124" s="873"/>
      <c r="U124" s="873"/>
      <c r="V124" s="873"/>
      <c r="W124" s="518"/>
    </row>
    <row r="125" spans="1:23">
      <c r="A125" s="521" t="s">
        <v>213</v>
      </c>
      <c r="B125" s="523">
        <f>10%+0.6%</f>
        <v>0.10600000000000001</v>
      </c>
      <c r="C125" s="521"/>
      <c r="D125" s="521"/>
      <c r="E125" s="521"/>
      <c r="F125" s="521"/>
      <c r="G125" s="521"/>
      <c r="H125" s="521"/>
      <c r="I125" s="521"/>
      <c r="J125" s="521"/>
      <c r="K125" s="521"/>
      <c r="N125" s="873"/>
      <c r="O125" s="538"/>
      <c r="P125" s="873"/>
      <c r="Q125" s="873"/>
      <c r="R125" s="873"/>
      <c r="S125" s="873"/>
      <c r="T125" s="873"/>
      <c r="U125" s="873"/>
      <c r="V125" s="873"/>
      <c r="W125" s="518"/>
    </row>
    <row r="126" spans="1:23">
      <c r="A126" s="521" t="s">
        <v>547</v>
      </c>
      <c r="B126" s="527">
        <f>B122/B123</f>
        <v>28.75</v>
      </c>
      <c r="C126" s="521"/>
      <c r="D126" s="521"/>
      <c r="E126" s="521"/>
      <c r="F126" s="521"/>
      <c r="G126" s="521"/>
      <c r="H126" s="521"/>
      <c r="I126" s="521"/>
      <c r="J126" s="521"/>
      <c r="K126" s="521"/>
      <c r="N126" s="873"/>
      <c r="O126" s="539"/>
      <c r="P126" s="873"/>
      <c r="Q126" s="873"/>
      <c r="R126" s="873"/>
      <c r="S126" s="873"/>
      <c r="T126" s="873"/>
      <c r="U126" s="873"/>
      <c r="V126" s="873"/>
      <c r="W126" s="518"/>
    </row>
    <row r="127" spans="1:23">
      <c r="A127" s="521"/>
      <c r="B127" s="521"/>
      <c r="C127" s="520" t="s">
        <v>217</v>
      </c>
      <c r="D127" s="520" t="s">
        <v>318</v>
      </c>
      <c r="E127" s="520" t="s">
        <v>547</v>
      </c>
      <c r="F127" s="520" t="s">
        <v>548</v>
      </c>
      <c r="G127" s="520" t="s">
        <v>2</v>
      </c>
      <c r="H127" s="520" t="s">
        <v>216</v>
      </c>
      <c r="I127" s="520" t="s">
        <v>318</v>
      </c>
      <c r="J127" s="520"/>
      <c r="K127" s="521"/>
      <c r="N127" s="873"/>
      <c r="O127" s="873"/>
      <c r="P127" s="872"/>
      <c r="Q127" s="872"/>
      <c r="R127" s="872"/>
      <c r="S127" s="875"/>
      <c r="T127" s="875"/>
      <c r="U127" s="872"/>
      <c r="V127" s="872"/>
      <c r="W127" s="518"/>
    </row>
    <row r="128" spans="1:23">
      <c r="A128" s="521"/>
      <c r="B128" s="521"/>
      <c r="C128" s="528">
        <v>41091</v>
      </c>
      <c r="D128" s="524">
        <f>B122</f>
        <v>431.25</v>
      </c>
      <c r="E128" s="563">
        <f>$B$126</f>
        <v>28.75</v>
      </c>
      <c r="F128" s="527"/>
      <c r="G128" s="20">
        <f>$B$125/$B$124</f>
        <v>2.6500000000000003E-2</v>
      </c>
      <c r="H128" s="564">
        <f>D128*G128</f>
        <v>11.428125000000001</v>
      </c>
      <c r="I128" s="527">
        <f>D128-E128</f>
        <v>402.5</v>
      </c>
      <c r="J128" s="527"/>
      <c r="K128" s="521"/>
      <c r="N128" s="873"/>
      <c r="O128" s="873"/>
      <c r="P128" s="529"/>
      <c r="Q128" s="874"/>
      <c r="R128" s="566"/>
      <c r="S128" s="879"/>
      <c r="T128" s="879"/>
      <c r="U128" s="546"/>
      <c r="V128" s="539"/>
      <c r="W128" s="518"/>
    </row>
    <row r="129" spans="1:23">
      <c r="A129" s="521"/>
      <c r="B129" s="521"/>
      <c r="C129" s="528">
        <v>41183</v>
      </c>
      <c r="D129" s="563">
        <f>I128</f>
        <v>402.5</v>
      </c>
      <c r="E129" s="563">
        <f>$B$126</f>
        <v>28.75</v>
      </c>
      <c r="F129" s="527"/>
      <c r="G129" s="20">
        <f>$B$125/$B$124</f>
        <v>2.6500000000000003E-2</v>
      </c>
      <c r="H129" s="564">
        <f>D129*G129</f>
        <v>10.666250000000002</v>
      </c>
      <c r="I129" s="527">
        <f t="shared" ref="I129:I142" si="27">D129-E129</f>
        <v>373.75</v>
      </c>
      <c r="J129" s="565"/>
      <c r="K129" s="521"/>
      <c r="N129" s="873"/>
      <c r="O129" s="873"/>
      <c r="P129" s="529"/>
      <c r="Q129" s="566"/>
      <c r="R129" s="566"/>
      <c r="S129" s="879"/>
      <c r="T129" s="879"/>
      <c r="U129" s="546"/>
      <c r="V129" s="539"/>
      <c r="W129" s="518"/>
    </row>
    <row r="130" spans="1:23">
      <c r="A130" s="462"/>
      <c r="B130" s="462"/>
      <c r="C130" s="528">
        <v>41275</v>
      </c>
      <c r="D130" s="563">
        <f>I129</f>
        <v>373.75</v>
      </c>
      <c r="E130" s="563">
        <f>$B$126</f>
        <v>28.75</v>
      </c>
      <c r="F130" s="527"/>
      <c r="G130" s="20">
        <f>$B$125/$B$124</f>
        <v>2.6500000000000003E-2</v>
      </c>
      <c r="H130" s="564">
        <f>D130*G130</f>
        <v>9.9043750000000017</v>
      </c>
      <c r="I130" s="527">
        <f t="shared" si="27"/>
        <v>345</v>
      </c>
      <c r="J130" s="527"/>
      <c r="K130" s="462"/>
      <c r="N130" s="518"/>
      <c r="O130" s="518"/>
      <c r="P130" s="529"/>
      <c r="Q130" s="566"/>
      <c r="R130" s="566"/>
      <c r="S130" s="879"/>
      <c r="T130" s="879"/>
      <c r="U130" s="546"/>
      <c r="V130" s="539"/>
      <c r="W130" s="518"/>
    </row>
    <row r="131" spans="1:23">
      <c r="A131" s="462"/>
      <c r="B131" s="462"/>
      <c r="C131" s="528">
        <v>41365</v>
      </c>
      <c r="D131" s="563">
        <f>I130</f>
        <v>345</v>
      </c>
      <c r="E131" s="563">
        <f>$B$126</f>
        <v>28.75</v>
      </c>
      <c r="F131" s="527"/>
      <c r="G131" s="20">
        <f>$B$125/$B$124</f>
        <v>2.6500000000000003E-2</v>
      </c>
      <c r="H131" s="564">
        <f>D131*G131</f>
        <v>9.1425000000000001</v>
      </c>
      <c r="I131" s="527">
        <v>350</v>
      </c>
      <c r="J131" s="565"/>
      <c r="K131" s="462"/>
      <c r="N131" s="518"/>
      <c r="O131" s="518"/>
      <c r="P131" s="529"/>
      <c r="Q131" s="566"/>
      <c r="R131" s="566"/>
      <c r="S131" s="879"/>
      <c r="T131" s="879"/>
      <c r="U131" s="546"/>
      <c r="V131" s="539"/>
      <c r="W131" s="518"/>
    </row>
    <row r="132" spans="1:23">
      <c r="A132" s="462"/>
      <c r="B132" s="462"/>
      <c r="C132" s="528">
        <v>41456</v>
      </c>
      <c r="D132" s="563">
        <f t="shared" ref="D132:D142" si="28">I131</f>
        <v>350</v>
      </c>
      <c r="E132" s="563">
        <f>I131/11</f>
        <v>31.818181818181817</v>
      </c>
      <c r="F132" s="527"/>
      <c r="G132" s="20">
        <f t="shared" ref="G132:G142" si="29">$B$125/$B$124</f>
        <v>2.6500000000000003E-2</v>
      </c>
      <c r="H132" s="564">
        <f t="shared" ref="H132:H142" si="30">D132*G132</f>
        <v>9.2750000000000004</v>
      </c>
      <c r="I132" s="527">
        <f t="shared" si="27"/>
        <v>318.18181818181819</v>
      </c>
      <c r="J132" s="565"/>
      <c r="K132" s="462"/>
      <c r="N132" s="518"/>
      <c r="O132" s="518"/>
      <c r="P132" s="529"/>
      <c r="Q132" s="566"/>
      <c r="R132" s="566"/>
      <c r="S132" s="879"/>
      <c r="T132" s="879"/>
      <c r="U132" s="546"/>
      <c r="V132" s="539"/>
      <c r="W132" s="518"/>
    </row>
    <row r="133" spans="1:23">
      <c r="A133" s="462"/>
      <c r="B133" s="462"/>
      <c r="C133" s="528">
        <v>41548</v>
      </c>
      <c r="D133" s="563">
        <f t="shared" si="28"/>
        <v>318.18181818181819</v>
      </c>
      <c r="E133" s="563">
        <f>E132</f>
        <v>31.818181818181817</v>
      </c>
      <c r="F133" s="527"/>
      <c r="G133" s="20">
        <f t="shared" si="29"/>
        <v>2.6500000000000003E-2</v>
      </c>
      <c r="H133" s="564">
        <f t="shared" si="30"/>
        <v>8.4318181818181834</v>
      </c>
      <c r="I133" s="527">
        <f t="shared" si="27"/>
        <v>286.36363636363637</v>
      </c>
      <c r="J133" s="565"/>
      <c r="K133" s="462"/>
      <c r="N133" s="518"/>
      <c r="O133" s="518"/>
      <c r="P133" s="529"/>
      <c r="Q133" s="566"/>
      <c r="R133" s="566"/>
      <c r="S133" s="879"/>
      <c r="T133" s="879"/>
      <c r="U133" s="546"/>
      <c r="V133" s="539"/>
      <c r="W133" s="518"/>
    </row>
    <row r="134" spans="1:23">
      <c r="A134" s="462"/>
      <c r="B134" s="462"/>
      <c r="C134" s="528">
        <v>41640</v>
      </c>
      <c r="D134" s="563">
        <f t="shared" si="28"/>
        <v>286.36363636363637</v>
      </c>
      <c r="E134" s="563">
        <f t="shared" ref="E134:E142" si="31">E133</f>
        <v>31.818181818181817</v>
      </c>
      <c r="F134" s="527"/>
      <c r="G134" s="20">
        <f t="shared" si="29"/>
        <v>2.6500000000000003E-2</v>
      </c>
      <c r="H134" s="564">
        <f t="shared" si="30"/>
        <v>7.5886363636363647</v>
      </c>
      <c r="I134" s="527">
        <f t="shared" si="27"/>
        <v>254.54545454545456</v>
      </c>
      <c r="J134" s="565"/>
      <c r="K134" s="462"/>
      <c r="N134" s="518"/>
      <c r="O134" s="518"/>
      <c r="P134" s="529"/>
      <c r="Q134" s="566"/>
      <c r="R134" s="566"/>
      <c r="S134" s="879"/>
      <c r="T134" s="879"/>
      <c r="U134" s="546"/>
      <c r="V134" s="539"/>
      <c r="W134" s="518"/>
    </row>
    <row r="135" spans="1:23">
      <c r="A135" s="462"/>
      <c r="B135" s="462"/>
      <c r="C135" s="528">
        <v>41730</v>
      </c>
      <c r="D135" s="563">
        <f t="shared" si="28"/>
        <v>254.54545454545456</v>
      </c>
      <c r="E135" s="563">
        <f t="shared" si="31"/>
        <v>31.818181818181817</v>
      </c>
      <c r="F135" s="527"/>
      <c r="G135" s="20">
        <f t="shared" si="29"/>
        <v>2.6500000000000003E-2</v>
      </c>
      <c r="H135" s="564">
        <f t="shared" si="30"/>
        <v>6.7454545454545469</v>
      </c>
      <c r="I135" s="527">
        <f t="shared" si="27"/>
        <v>222.72727272727275</v>
      </c>
      <c r="J135" s="565"/>
      <c r="K135" s="462"/>
      <c r="N135" s="518"/>
      <c r="O135" s="518"/>
      <c r="P135" s="529"/>
      <c r="Q135" s="566"/>
      <c r="R135" s="566"/>
      <c r="S135" s="879"/>
      <c r="T135" s="879"/>
      <c r="U135" s="546"/>
      <c r="V135" s="539"/>
      <c r="W135" s="518"/>
    </row>
    <row r="136" spans="1:23">
      <c r="A136" s="462"/>
      <c r="B136" s="462"/>
      <c r="C136" s="528">
        <v>41821</v>
      </c>
      <c r="D136" s="563">
        <f t="shared" si="28"/>
        <v>222.72727272727275</v>
      </c>
      <c r="E136" s="563">
        <f t="shared" si="31"/>
        <v>31.818181818181817</v>
      </c>
      <c r="F136" s="527"/>
      <c r="G136" s="20">
        <f t="shared" si="29"/>
        <v>2.6500000000000003E-2</v>
      </c>
      <c r="H136" s="564">
        <f t="shared" si="30"/>
        <v>5.9022727272727282</v>
      </c>
      <c r="I136" s="527">
        <f t="shared" si="27"/>
        <v>190.90909090909093</v>
      </c>
      <c r="J136" s="565"/>
      <c r="K136" s="462"/>
      <c r="N136" s="518"/>
      <c r="O136" s="518"/>
      <c r="P136" s="529"/>
      <c r="Q136" s="566"/>
      <c r="R136" s="566"/>
      <c r="S136" s="879"/>
      <c r="T136" s="879"/>
      <c r="U136" s="546"/>
      <c r="V136" s="539"/>
      <c r="W136" s="518"/>
    </row>
    <row r="137" spans="1:23">
      <c r="A137" s="462"/>
      <c r="B137" s="462"/>
      <c r="C137" s="528">
        <v>41913</v>
      </c>
      <c r="D137" s="563">
        <f t="shared" si="28"/>
        <v>190.90909090909093</v>
      </c>
      <c r="E137" s="563">
        <f t="shared" si="31"/>
        <v>31.818181818181817</v>
      </c>
      <c r="F137" s="527"/>
      <c r="G137" s="20">
        <f t="shared" si="29"/>
        <v>2.6500000000000003E-2</v>
      </c>
      <c r="H137" s="564">
        <f t="shared" si="30"/>
        <v>5.0590909090909104</v>
      </c>
      <c r="I137" s="527">
        <f t="shared" si="27"/>
        <v>159.09090909090912</v>
      </c>
      <c r="J137" s="565"/>
      <c r="K137" s="462"/>
      <c r="N137" s="518"/>
      <c r="O137" s="518"/>
      <c r="P137" s="529"/>
      <c r="Q137" s="566"/>
      <c r="R137" s="566"/>
      <c r="S137" s="879"/>
      <c r="T137" s="879"/>
      <c r="U137" s="546"/>
      <c r="V137" s="539"/>
      <c r="W137" s="518"/>
    </row>
    <row r="138" spans="1:23">
      <c r="A138" s="462"/>
      <c r="B138" s="462"/>
      <c r="C138" s="528">
        <v>42005</v>
      </c>
      <c r="D138" s="563">
        <f t="shared" si="28"/>
        <v>159.09090909090912</v>
      </c>
      <c r="E138" s="563">
        <f t="shared" si="31"/>
        <v>31.818181818181817</v>
      </c>
      <c r="F138" s="527"/>
      <c r="G138" s="20">
        <f t="shared" si="29"/>
        <v>2.6500000000000003E-2</v>
      </c>
      <c r="H138" s="564">
        <f t="shared" si="30"/>
        <v>4.2159090909090926</v>
      </c>
      <c r="I138" s="527">
        <f t="shared" si="27"/>
        <v>127.27272727272731</v>
      </c>
      <c r="J138" s="565"/>
      <c r="K138" s="462"/>
      <c r="N138" s="518"/>
      <c r="O138" s="518"/>
      <c r="P138" s="529"/>
      <c r="Q138" s="566"/>
      <c r="R138" s="566"/>
      <c r="S138" s="879"/>
      <c r="T138" s="879"/>
      <c r="U138" s="546"/>
      <c r="V138" s="539"/>
      <c r="W138" s="518"/>
    </row>
    <row r="139" spans="1:23">
      <c r="A139" s="462"/>
      <c r="B139" s="462"/>
      <c r="C139" s="528">
        <v>42095</v>
      </c>
      <c r="D139" s="563">
        <f t="shared" si="28"/>
        <v>127.27272727272731</v>
      </c>
      <c r="E139" s="563">
        <f t="shared" si="31"/>
        <v>31.818181818181817</v>
      </c>
      <c r="F139" s="527"/>
      <c r="G139" s="20">
        <f t="shared" si="29"/>
        <v>2.6500000000000003E-2</v>
      </c>
      <c r="H139" s="564">
        <f t="shared" si="30"/>
        <v>3.3727272727272739</v>
      </c>
      <c r="I139" s="527">
        <f t="shared" si="27"/>
        <v>95.454545454545496</v>
      </c>
      <c r="J139" s="565"/>
      <c r="K139" s="462"/>
      <c r="N139" s="518"/>
      <c r="O139" s="518"/>
      <c r="P139" s="529"/>
      <c r="Q139" s="566"/>
      <c r="R139" s="566"/>
      <c r="S139" s="879"/>
      <c r="T139" s="879"/>
      <c r="U139" s="546"/>
      <c r="V139" s="539"/>
      <c r="W139" s="518"/>
    </row>
    <row r="140" spans="1:23">
      <c r="A140" s="462"/>
      <c r="B140" s="462"/>
      <c r="C140" s="528">
        <v>42186</v>
      </c>
      <c r="D140" s="563">
        <f t="shared" si="28"/>
        <v>95.454545454545496</v>
      </c>
      <c r="E140" s="563">
        <f t="shared" si="31"/>
        <v>31.818181818181817</v>
      </c>
      <c r="F140" s="527"/>
      <c r="G140" s="20">
        <f t="shared" si="29"/>
        <v>2.6500000000000003E-2</v>
      </c>
      <c r="H140" s="564">
        <f t="shared" si="30"/>
        <v>2.5295454545454561</v>
      </c>
      <c r="I140" s="527">
        <f t="shared" si="27"/>
        <v>63.636363636363683</v>
      </c>
      <c r="J140" s="565"/>
      <c r="K140" s="462"/>
      <c r="N140" s="518"/>
      <c r="O140" s="518"/>
      <c r="P140" s="529"/>
      <c r="Q140" s="566"/>
      <c r="R140" s="566"/>
      <c r="S140" s="879"/>
      <c r="T140" s="879"/>
      <c r="U140" s="546"/>
      <c r="V140" s="539"/>
      <c r="W140" s="518"/>
    </row>
    <row r="141" spans="1:23">
      <c r="A141" s="462"/>
      <c r="B141" s="462"/>
      <c r="C141" s="528">
        <v>42278</v>
      </c>
      <c r="D141" s="563">
        <f t="shared" si="28"/>
        <v>63.636363636363683</v>
      </c>
      <c r="E141" s="563">
        <f t="shared" si="31"/>
        <v>31.818181818181817</v>
      </c>
      <c r="F141" s="527"/>
      <c r="G141" s="20">
        <f t="shared" si="29"/>
        <v>2.6500000000000003E-2</v>
      </c>
      <c r="H141" s="564">
        <f t="shared" si="30"/>
        <v>1.6863636363636378</v>
      </c>
      <c r="I141" s="527">
        <f t="shared" si="27"/>
        <v>31.818181818181866</v>
      </c>
      <c r="J141" s="565"/>
      <c r="K141" s="462"/>
      <c r="N141" s="518"/>
      <c r="O141" s="518"/>
      <c r="P141" s="529"/>
      <c r="Q141" s="566"/>
      <c r="R141" s="566"/>
      <c r="S141" s="879"/>
      <c r="T141" s="879"/>
      <c r="U141" s="546"/>
      <c r="V141" s="539"/>
      <c r="W141" s="518"/>
    </row>
    <row r="142" spans="1:23">
      <c r="A142" s="462"/>
      <c r="B142" s="462"/>
      <c r="C142" s="528">
        <v>42370</v>
      </c>
      <c r="D142" s="563">
        <f t="shared" si="28"/>
        <v>31.818181818181866</v>
      </c>
      <c r="E142" s="563">
        <f t="shared" si="31"/>
        <v>31.818181818181817</v>
      </c>
      <c r="F142" s="527"/>
      <c r="G142" s="20">
        <f t="shared" si="29"/>
        <v>2.6500000000000003E-2</v>
      </c>
      <c r="H142" s="564">
        <f t="shared" si="30"/>
        <v>0.84318181818181959</v>
      </c>
      <c r="I142" s="527">
        <f t="shared" si="27"/>
        <v>4.9737991503207013E-14</v>
      </c>
      <c r="J142" s="527"/>
      <c r="K142" s="462"/>
      <c r="N142" s="518"/>
      <c r="O142" s="518"/>
      <c r="P142" s="529"/>
      <c r="Q142" s="566"/>
      <c r="R142" s="566"/>
      <c r="S142" s="879"/>
      <c r="T142" s="879"/>
      <c r="U142" s="546"/>
      <c r="V142" s="539"/>
      <c r="W142" s="518"/>
    </row>
    <row r="143" spans="1:23">
      <c r="N143" s="518"/>
      <c r="O143" s="518"/>
      <c r="P143" s="518"/>
      <c r="Q143" s="518"/>
      <c r="R143" s="518"/>
      <c r="S143" s="518"/>
      <c r="T143" s="518"/>
      <c r="U143" s="518"/>
      <c r="V143" s="518"/>
      <c r="W143" s="518"/>
    </row>
    <row r="144" spans="1:23">
      <c r="A144" s="520" t="s">
        <v>684</v>
      </c>
      <c r="B144" s="521"/>
      <c r="C144" s="521"/>
      <c r="D144" s="521"/>
      <c r="E144" s="521"/>
      <c r="F144" s="521"/>
      <c r="G144" s="521"/>
      <c r="H144" s="521"/>
      <c r="I144" s="521"/>
      <c r="J144" s="521"/>
      <c r="K144" s="521"/>
      <c r="N144" s="872"/>
      <c r="O144" s="873"/>
      <c r="P144" s="873"/>
      <c r="Q144" s="873"/>
      <c r="R144" s="873"/>
      <c r="S144" s="873"/>
      <c r="T144" s="873"/>
      <c r="U144" s="873"/>
      <c r="V144" s="873"/>
      <c r="W144" s="518"/>
    </row>
    <row r="145" spans="1:23">
      <c r="A145" s="521" t="s">
        <v>544</v>
      </c>
      <c r="B145" s="521">
        <v>500</v>
      </c>
      <c r="C145" s="521"/>
      <c r="D145" s="521"/>
      <c r="E145" s="521"/>
      <c r="F145" s="521"/>
      <c r="G145" s="521"/>
      <c r="H145" s="521"/>
      <c r="I145" s="521"/>
      <c r="J145" s="521"/>
      <c r="K145" s="521"/>
      <c r="N145" s="873"/>
      <c r="O145" s="873"/>
      <c r="P145" s="873"/>
      <c r="Q145" s="873"/>
      <c r="R145" s="873"/>
      <c r="S145" s="873"/>
      <c r="T145" s="873"/>
      <c r="U145" s="873"/>
      <c r="V145" s="873"/>
      <c r="W145" s="518"/>
    </row>
    <row r="146" spans="1:23">
      <c r="A146" s="521" t="s">
        <v>545</v>
      </c>
      <c r="B146" s="521">
        <v>4</v>
      </c>
      <c r="C146" s="521"/>
      <c r="D146" s="521"/>
      <c r="E146" s="521"/>
      <c r="F146" s="521"/>
      <c r="G146" s="521"/>
      <c r="H146" s="521"/>
      <c r="I146" s="521"/>
      <c r="J146" s="521"/>
      <c r="K146" s="521"/>
      <c r="N146" s="873"/>
      <c r="O146" s="873"/>
      <c r="P146" s="873"/>
      <c r="Q146" s="873"/>
      <c r="R146" s="873"/>
      <c r="S146" s="873"/>
      <c r="T146" s="873"/>
      <c r="U146" s="873"/>
      <c r="V146" s="873"/>
      <c r="W146" s="518"/>
    </row>
    <row r="147" spans="1:23">
      <c r="A147" s="521" t="s">
        <v>546</v>
      </c>
      <c r="B147" s="521">
        <v>2</v>
      </c>
      <c r="C147" s="521"/>
      <c r="D147" s="521"/>
      <c r="E147" s="521"/>
      <c r="F147" s="521"/>
      <c r="G147" s="521"/>
      <c r="H147" s="521"/>
      <c r="I147" s="521"/>
      <c r="J147" s="521"/>
      <c r="K147" s="521"/>
      <c r="N147" s="873"/>
      <c r="O147" s="873"/>
      <c r="P147" s="873"/>
      <c r="Q147" s="873"/>
      <c r="R147" s="873"/>
      <c r="S147" s="873"/>
      <c r="T147" s="873"/>
      <c r="U147" s="873"/>
      <c r="V147" s="873"/>
      <c r="W147" s="518"/>
    </row>
    <row r="148" spans="1:23">
      <c r="A148" s="521" t="s">
        <v>213</v>
      </c>
      <c r="B148" s="523">
        <f>10%+1.3%</f>
        <v>0.113</v>
      </c>
      <c r="C148" s="521"/>
      <c r="D148" s="521"/>
      <c r="E148" s="521"/>
      <c r="F148" s="521"/>
      <c r="G148" s="521"/>
      <c r="H148" s="521"/>
      <c r="I148" s="521"/>
      <c r="J148" s="521"/>
      <c r="K148" s="521"/>
      <c r="N148" s="873"/>
      <c r="O148" s="538"/>
      <c r="P148" s="873"/>
      <c r="Q148" s="873"/>
      <c r="R148" s="873"/>
      <c r="S148" s="873"/>
      <c r="T148" s="873"/>
      <c r="U148" s="873"/>
      <c r="V148" s="873"/>
      <c r="W148" s="518"/>
    </row>
    <row r="149" spans="1:23">
      <c r="A149" s="521" t="s">
        <v>547</v>
      </c>
      <c r="B149" s="527">
        <f>B145/B146</f>
        <v>125</v>
      </c>
      <c r="C149" s="521"/>
      <c r="D149" s="521"/>
      <c r="E149" s="521"/>
      <c r="F149" s="521"/>
      <c r="G149" s="521"/>
      <c r="H149" s="521"/>
      <c r="I149" s="521"/>
      <c r="J149" s="521"/>
      <c r="K149" s="521"/>
      <c r="N149" s="873"/>
      <c r="O149" s="539"/>
      <c r="P149" s="873"/>
      <c r="Q149" s="873"/>
      <c r="R149" s="873"/>
      <c r="S149" s="873"/>
      <c r="T149" s="873"/>
      <c r="U149" s="873"/>
      <c r="V149" s="873"/>
      <c r="W149" s="518"/>
    </row>
    <row r="150" spans="1:23">
      <c r="A150" s="521"/>
      <c r="B150" s="521"/>
      <c r="C150" s="520" t="s">
        <v>217</v>
      </c>
      <c r="D150" s="525" t="s">
        <v>318</v>
      </c>
      <c r="E150" s="525" t="s">
        <v>547</v>
      </c>
      <c r="F150" s="525" t="s">
        <v>548</v>
      </c>
      <c r="G150" s="525" t="s">
        <v>2</v>
      </c>
      <c r="H150" s="525" t="s">
        <v>216</v>
      </c>
      <c r="I150" s="525" t="s">
        <v>318</v>
      </c>
      <c r="J150" s="520"/>
      <c r="K150" s="521"/>
      <c r="N150" s="873"/>
      <c r="O150" s="873"/>
      <c r="P150" s="872"/>
      <c r="Q150" s="872"/>
      <c r="R150" s="872"/>
      <c r="S150" s="875"/>
      <c r="T150" s="875"/>
      <c r="U150" s="872"/>
      <c r="V150" s="872"/>
      <c r="W150" s="518"/>
    </row>
    <row r="151" spans="1:23">
      <c r="A151" s="521"/>
      <c r="B151" s="521"/>
      <c r="C151" s="528">
        <v>40299</v>
      </c>
      <c r="D151" s="15">
        <f>B145</f>
        <v>500</v>
      </c>
      <c r="E151" s="15">
        <v>0</v>
      </c>
      <c r="F151" s="527"/>
      <c r="G151" s="20">
        <f t="shared" ref="G151:G161" si="32">$B$148/$B$147</f>
        <v>5.6500000000000002E-2</v>
      </c>
      <c r="H151" s="15">
        <f>D151*G151</f>
        <v>28.25</v>
      </c>
      <c r="I151" s="15">
        <f>D151-E151</f>
        <v>500</v>
      </c>
      <c r="J151" s="527"/>
      <c r="K151" s="521"/>
      <c r="N151" s="873"/>
      <c r="O151" s="873"/>
      <c r="P151" s="529"/>
      <c r="Q151" s="874"/>
      <c r="R151" s="566"/>
      <c r="S151" s="879"/>
      <c r="T151" s="879"/>
      <c r="U151" s="546"/>
      <c r="V151" s="539"/>
      <c r="W151" s="518"/>
    </row>
    <row r="152" spans="1:23">
      <c r="A152" s="521"/>
      <c r="B152" s="521"/>
      <c r="C152" s="528">
        <v>40483</v>
      </c>
      <c r="D152" s="15">
        <f>I151</f>
        <v>500</v>
      </c>
      <c r="E152" s="15">
        <v>0</v>
      </c>
      <c r="F152" s="527"/>
      <c r="G152" s="20">
        <f t="shared" si="32"/>
        <v>5.6500000000000002E-2</v>
      </c>
      <c r="H152" s="15">
        <f>D152*G152</f>
        <v>28.25</v>
      </c>
      <c r="I152" s="15">
        <f t="shared" ref="I152:I161" si="33">D152-E152</f>
        <v>500</v>
      </c>
      <c r="J152" s="565"/>
      <c r="K152" s="521"/>
      <c r="N152" s="873"/>
      <c r="O152" s="873"/>
      <c r="P152" s="529"/>
      <c r="Q152" s="566"/>
      <c r="R152" s="566"/>
      <c r="S152" s="879"/>
      <c r="T152" s="879"/>
      <c r="U152" s="546"/>
      <c r="V152" s="883"/>
      <c r="W152" s="518"/>
    </row>
    <row r="153" spans="1:23">
      <c r="A153" s="462"/>
      <c r="B153" s="462"/>
      <c r="C153" s="528">
        <v>40664</v>
      </c>
      <c r="D153" s="15">
        <f t="shared" ref="D153:D161" si="34">I152</f>
        <v>500</v>
      </c>
      <c r="E153" s="15">
        <v>0</v>
      </c>
      <c r="F153" s="527"/>
      <c r="G153" s="20">
        <f t="shared" si="32"/>
        <v>5.6500000000000002E-2</v>
      </c>
      <c r="H153" s="15">
        <f>D153*G153</f>
        <v>28.25</v>
      </c>
      <c r="I153" s="15">
        <f t="shared" si="33"/>
        <v>500</v>
      </c>
      <c r="J153" s="527"/>
      <c r="K153" s="462"/>
      <c r="N153" s="518"/>
      <c r="O153" s="518"/>
      <c r="P153" s="529"/>
      <c r="Q153" s="566"/>
      <c r="R153" s="566"/>
      <c r="S153" s="879"/>
      <c r="T153" s="879"/>
      <c r="U153" s="546"/>
      <c r="V153" s="539"/>
      <c r="W153" s="518"/>
    </row>
    <row r="154" spans="1:23">
      <c r="A154" s="462"/>
      <c r="B154" s="462"/>
      <c r="C154" s="528">
        <v>40848</v>
      </c>
      <c r="D154" s="15">
        <f t="shared" si="34"/>
        <v>500</v>
      </c>
      <c r="E154" s="15">
        <v>0</v>
      </c>
      <c r="F154" s="527"/>
      <c r="G154" s="20">
        <f t="shared" si="32"/>
        <v>5.6500000000000002E-2</v>
      </c>
      <c r="H154" s="15">
        <f>D154*G154</f>
        <v>28.25</v>
      </c>
      <c r="I154" s="15">
        <f t="shared" si="33"/>
        <v>500</v>
      </c>
      <c r="J154" s="565"/>
      <c r="K154" s="462"/>
      <c r="N154" s="518"/>
      <c r="O154" s="518"/>
      <c r="P154" s="529"/>
      <c r="Q154" s="566"/>
      <c r="R154" s="566"/>
      <c r="S154" s="879"/>
      <c r="T154" s="879"/>
      <c r="U154" s="546"/>
      <c r="V154" s="883"/>
      <c r="W154" s="518"/>
    </row>
    <row r="155" spans="1:23">
      <c r="A155" s="462"/>
      <c r="B155" s="462"/>
      <c r="C155" s="528">
        <v>41030</v>
      </c>
      <c r="D155" s="15">
        <f t="shared" si="34"/>
        <v>500</v>
      </c>
      <c r="E155" s="15">
        <v>0</v>
      </c>
      <c r="F155" s="527"/>
      <c r="G155" s="20">
        <f t="shared" si="32"/>
        <v>5.6500000000000002E-2</v>
      </c>
      <c r="H155" s="15">
        <f>D155*G155</f>
        <v>28.25</v>
      </c>
      <c r="I155" s="15">
        <f t="shared" si="33"/>
        <v>500</v>
      </c>
      <c r="J155" s="527"/>
      <c r="K155" s="462"/>
      <c r="N155" s="518"/>
      <c r="O155" s="518"/>
      <c r="P155" s="529"/>
      <c r="Q155" s="566"/>
      <c r="R155" s="566"/>
      <c r="S155" s="879"/>
      <c r="T155" s="879"/>
      <c r="U155" s="546"/>
      <c r="V155" s="539"/>
      <c r="W155" s="518"/>
    </row>
    <row r="156" spans="1:23">
      <c r="A156" s="462"/>
      <c r="B156" s="462"/>
      <c r="C156" s="528">
        <v>41214</v>
      </c>
      <c r="D156" s="15">
        <f t="shared" si="34"/>
        <v>500</v>
      </c>
      <c r="E156" s="15">
        <v>0</v>
      </c>
      <c r="F156" s="527"/>
      <c r="G156" s="20">
        <f t="shared" si="32"/>
        <v>5.6500000000000002E-2</v>
      </c>
      <c r="H156" s="15">
        <f t="shared" ref="H156:H161" si="35">D156*G156</f>
        <v>28.25</v>
      </c>
      <c r="I156" s="15">
        <f t="shared" si="33"/>
        <v>500</v>
      </c>
      <c r="J156" s="527"/>
      <c r="K156" s="462"/>
      <c r="N156" s="518"/>
      <c r="O156" s="518"/>
      <c r="P156" s="529"/>
      <c r="Q156" s="566"/>
      <c r="R156" s="566"/>
      <c r="S156" s="879"/>
      <c r="T156" s="879"/>
      <c r="U156" s="546"/>
      <c r="V156" s="539"/>
      <c r="W156" s="518"/>
    </row>
    <row r="157" spans="1:23">
      <c r="A157" s="462"/>
      <c r="B157" s="462"/>
      <c r="C157" s="528">
        <v>41395</v>
      </c>
      <c r="D157" s="15">
        <f t="shared" si="34"/>
        <v>500</v>
      </c>
      <c r="E157" s="15">
        <v>500</v>
      </c>
      <c r="F157" s="527"/>
      <c r="G157" s="20">
        <f t="shared" si="32"/>
        <v>5.6500000000000002E-2</v>
      </c>
      <c r="H157" s="15">
        <f t="shared" si="35"/>
        <v>28.25</v>
      </c>
      <c r="I157" s="15">
        <f t="shared" si="33"/>
        <v>0</v>
      </c>
      <c r="J157" s="527"/>
      <c r="K157" s="462"/>
      <c r="N157" s="518"/>
      <c r="O157" s="518"/>
      <c r="P157" s="529"/>
      <c r="Q157" s="566"/>
      <c r="R157" s="566"/>
      <c r="S157" s="879"/>
      <c r="T157" s="879"/>
      <c r="U157" s="546"/>
      <c r="V157" s="539"/>
      <c r="W157" s="518"/>
    </row>
    <row r="158" spans="1:23">
      <c r="A158" s="462"/>
      <c r="B158" s="462"/>
      <c r="C158" s="528">
        <v>41579</v>
      </c>
      <c r="D158" s="15">
        <f t="shared" si="34"/>
        <v>0</v>
      </c>
      <c r="E158" s="15"/>
      <c r="F158" s="527"/>
      <c r="G158" s="20">
        <f t="shared" si="32"/>
        <v>5.6500000000000002E-2</v>
      </c>
      <c r="H158" s="15">
        <f t="shared" si="35"/>
        <v>0</v>
      </c>
      <c r="I158" s="15">
        <f t="shared" si="33"/>
        <v>0</v>
      </c>
      <c r="J158" s="527"/>
      <c r="K158" s="462"/>
      <c r="N158" s="518"/>
      <c r="O158" s="518"/>
      <c r="P158" s="529"/>
      <c r="Q158" s="566"/>
      <c r="R158" s="566"/>
      <c r="S158" s="879"/>
      <c r="T158" s="879"/>
      <c r="U158" s="546"/>
      <c r="V158" s="539"/>
      <c r="W158" s="518"/>
    </row>
    <row r="159" spans="1:23">
      <c r="A159" s="462"/>
      <c r="B159" s="462"/>
      <c r="C159" s="528">
        <v>41760</v>
      </c>
      <c r="D159" s="15">
        <f t="shared" si="34"/>
        <v>0</v>
      </c>
      <c r="E159" s="15"/>
      <c r="F159" s="527"/>
      <c r="G159" s="20">
        <f t="shared" si="32"/>
        <v>5.6500000000000002E-2</v>
      </c>
      <c r="H159" s="15">
        <f t="shared" si="35"/>
        <v>0</v>
      </c>
      <c r="I159" s="15">
        <f t="shared" si="33"/>
        <v>0</v>
      </c>
      <c r="J159" s="527"/>
      <c r="K159" s="462"/>
      <c r="N159" s="518"/>
      <c r="O159" s="518"/>
      <c r="P159" s="529"/>
      <c r="Q159" s="566"/>
      <c r="R159" s="566"/>
      <c r="S159" s="879"/>
      <c r="T159" s="879"/>
      <c r="U159" s="546"/>
      <c r="V159" s="539"/>
      <c r="W159" s="518"/>
    </row>
    <row r="160" spans="1:23">
      <c r="A160" s="462"/>
      <c r="B160" s="462"/>
      <c r="C160" s="528">
        <v>41944</v>
      </c>
      <c r="D160" s="15">
        <f t="shared" si="34"/>
        <v>0</v>
      </c>
      <c r="E160" s="15"/>
      <c r="F160" s="527"/>
      <c r="G160" s="20">
        <f t="shared" si="32"/>
        <v>5.6500000000000002E-2</v>
      </c>
      <c r="H160" s="15">
        <f t="shared" si="35"/>
        <v>0</v>
      </c>
      <c r="I160" s="15">
        <f t="shared" si="33"/>
        <v>0</v>
      </c>
      <c r="J160" s="527"/>
      <c r="K160" s="462"/>
      <c r="N160" s="518"/>
      <c r="O160" s="518"/>
      <c r="P160" s="529"/>
      <c r="Q160" s="566"/>
      <c r="R160" s="566"/>
      <c r="S160" s="879"/>
      <c r="T160" s="879"/>
      <c r="U160" s="546"/>
      <c r="V160" s="539"/>
      <c r="W160" s="518"/>
    </row>
    <row r="161" spans="1:25">
      <c r="A161" s="462"/>
      <c r="B161" s="462"/>
      <c r="C161" s="528">
        <v>42125</v>
      </c>
      <c r="D161" s="15">
        <f t="shared" si="34"/>
        <v>0</v>
      </c>
      <c r="E161" s="15"/>
      <c r="F161" s="527"/>
      <c r="G161" s="20">
        <f t="shared" si="32"/>
        <v>5.6500000000000002E-2</v>
      </c>
      <c r="H161" s="15">
        <f t="shared" si="35"/>
        <v>0</v>
      </c>
      <c r="I161" s="15">
        <f t="shared" si="33"/>
        <v>0</v>
      </c>
      <c r="J161" s="565"/>
      <c r="K161" s="462"/>
      <c r="N161" s="518"/>
      <c r="O161" s="518"/>
      <c r="P161" s="529"/>
      <c r="Q161" s="566"/>
      <c r="R161" s="566"/>
      <c r="S161" s="879"/>
      <c r="T161" s="879"/>
      <c r="U161" s="546"/>
      <c r="V161" s="883"/>
      <c r="W161" s="518"/>
    </row>
    <row r="162" spans="1:25">
      <c r="N162" s="518"/>
      <c r="O162" s="518"/>
      <c r="P162" s="518"/>
      <c r="Q162" s="518"/>
      <c r="R162" s="518"/>
      <c r="S162" s="518"/>
      <c r="T162" s="518"/>
      <c r="U162" s="518"/>
      <c r="V162" s="518"/>
      <c r="W162" s="518"/>
    </row>
    <row r="163" spans="1:25">
      <c r="A163" s="518"/>
      <c r="B163" s="518"/>
      <c r="C163" s="529"/>
      <c r="D163" s="518"/>
      <c r="E163" s="535"/>
      <c r="F163" s="535"/>
      <c r="G163" s="45"/>
      <c r="H163" s="534"/>
      <c r="I163" s="534"/>
      <c r="J163" s="534"/>
      <c r="K163" s="518"/>
      <c r="N163" s="518"/>
      <c r="O163" s="518"/>
      <c r="P163" s="518"/>
      <c r="Q163" s="518"/>
      <c r="R163" s="518"/>
      <c r="S163" s="518"/>
      <c r="T163" s="518"/>
      <c r="U163" s="518"/>
      <c r="V163" s="518"/>
      <c r="W163" s="518"/>
    </row>
    <row r="164" spans="1:25">
      <c r="A164" s="464" t="s">
        <v>551</v>
      </c>
      <c r="B164" s="462"/>
      <c r="C164" s="462"/>
      <c r="D164" s="462"/>
      <c r="E164" s="536"/>
      <c r="F164" s="536"/>
      <c r="G164" s="536"/>
      <c r="H164" s="536"/>
      <c r="I164" s="536"/>
      <c r="J164" s="536"/>
      <c r="K164" s="536">
        <f>I164-H164</f>
        <v>0</v>
      </c>
      <c r="N164" s="547"/>
      <c r="O164" s="518"/>
      <c r="P164" s="518"/>
      <c r="Q164" s="518"/>
      <c r="R164" s="545"/>
      <c r="S164" s="545"/>
      <c r="T164" s="545"/>
      <c r="U164" s="545"/>
      <c r="V164" s="545"/>
      <c r="W164" s="545"/>
      <c r="X164" s="536">
        <f>V164-U164</f>
        <v>0</v>
      </c>
    </row>
    <row r="165" spans="1:25">
      <c r="A165" s="462" t="s">
        <v>544</v>
      </c>
      <c r="B165" s="462">
        <v>8.0960000000000001</v>
      </c>
      <c r="C165" s="462"/>
      <c r="D165" s="462">
        <v>762.68600000000004</v>
      </c>
      <c r="E165" s="536"/>
      <c r="F165" s="536"/>
      <c r="G165" s="536"/>
      <c r="H165" s="536"/>
      <c r="I165" s="536"/>
      <c r="J165" s="536"/>
      <c r="K165" s="536"/>
      <c r="N165" s="518"/>
      <c r="O165" s="518"/>
      <c r="P165" s="518"/>
      <c r="Q165" s="518"/>
      <c r="R165" s="545"/>
      <c r="S165" s="545"/>
      <c r="T165" s="545"/>
      <c r="U165" s="545"/>
      <c r="V165" s="545"/>
      <c r="W165" s="545"/>
      <c r="X165" s="536"/>
    </row>
    <row r="166" spans="1:25">
      <c r="A166" s="462" t="s">
        <v>549</v>
      </c>
      <c r="B166" s="462">
        <v>2</v>
      </c>
      <c r="C166" s="462"/>
      <c r="D166" s="462"/>
      <c r="E166" s="462"/>
      <c r="F166" s="462"/>
      <c r="G166" s="462"/>
      <c r="H166" s="462"/>
      <c r="I166" s="462"/>
      <c r="J166" s="462"/>
      <c r="K166" s="462"/>
      <c r="N166" s="518"/>
      <c r="O166" s="518"/>
      <c r="P166" s="518"/>
      <c r="Q166" s="518"/>
      <c r="R166" s="518"/>
      <c r="S166" s="518"/>
      <c r="T166" s="518"/>
      <c r="U166" s="518"/>
      <c r="V166" s="518"/>
      <c r="W166" s="518"/>
      <c r="X166" s="462"/>
    </row>
    <row r="167" spans="1:25">
      <c r="A167" s="462" t="s">
        <v>550</v>
      </c>
      <c r="B167" s="462">
        <v>2</v>
      </c>
      <c r="C167" s="462"/>
      <c r="D167" s="462"/>
      <c r="E167" s="462"/>
      <c r="F167" s="462"/>
      <c r="G167" s="462"/>
      <c r="H167" s="462"/>
      <c r="I167" s="462"/>
      <c r="J167" s="462"/>
      <c r="K167" s="462"/>
      <c r="N167" s="518"/>
      <c r="O167" s="518"/>
      <c r="P167" s="518"/>
      <c r="Q167" s="518"/>
      <c r="R167" s="518"/>
      <c r="S167" s="518"/>
      <c r="T167" s="518"/>
      <c r="U167" s="518"/>
      <c r="V167" s="518"/>
      <c r="W167" s="518"/>
      <c r="X167" s="462"/>
    </row>
    <row r="168" spans="1:25">
      <c r="A168" s="462" t="s">
        <v>213</v>
      </c>
      <c r="B168" s="523">
        <f>0.6%+0.063%</f>
        <v>6.6300000000000005E-3</v>
      </c>
      <c r="C168" s="462"/>
      <c r="D168" s="462"/>
      <c r="E168" s="462"/>
      <c r="F168" s="462"/>
      <c r="G168" s="462"/>
      <c r="H168" s="462"/>
      <c r="I168" s="462"/>
      <c r="J168" s="462"/>
      <c r="K168" s="462"/>
      <c r="N168" s="518"/>
      <c r="O168" s="538"/>
      <c r="P168" s="518"/>
      <c r="Q168" s="518"/>
      <c r="R168" s="518"/>
      <c r="S168" s="518"/>
      <c r="T168" s="518"/>
      <c r="U168" s="518"/>
      <c r="V168" s="518"/>
      <c r="W168" s="518"/>
      <c r="X168" s="462"/>
    </row>
    <row r="169" spans="1:25">
      <c r="A169" s="462" t="s">
        <v>547</v>
      </c>
      <c r="B169" s="527">
        <f>B165/B166</f>
        <v>4.048</v>
      </c>
      <c r="C169" s="462"/>
      <c r="D169" s="462"/>
      <c r="E169" s="462"/>
      <c r="F169" s="462"/>
      <c r="G169" s="462"/>
      <c r="H169" s="462"/>
      <c r="I169" s="462"/>
      <c r="J169" s="462"/>
      <c r="K169" s="462"/>
      <c r="N169" s="518"/>
      <c r="O169" s="539"/>
      <c r="P169" s="518"/>
      <c r="Q169" s="518"/>
      <c r="R169" s="518"/>
      <c r="S169" s="518"/>
      <c r="T169" s="518"/>
      <c r="U169" s="518"/>
      <c r="V169" s="518"/>
      <c r="W169" s="518"/>
      <c r="X169" s="462"/>
    </row>
    <row r="170" spans="1:25">
      <c r="A170" s="462"/>
      <c r="B170" s="462"/>
      <c r="C170" s="530" t="s">
        <v>217</v>
      </c>
      <c r="D170" s="530" t="s">
        <v>318</v>
      </c>
      <c r="E170" s="530" t="s">
        <v>547</v>
      </c>
      <c r="F170" s="530" t="s">
        <v>548</v>
      </c>
      <c r="G170" s="530" t="s">
        <v>2</v>
      </c>
      <c r="H170" s="530" t="s">
        <v>216</v>
      </c>
      <c r="I170" s="530" t="s">
        <v>318</v>
      </c>
      <c r="J170" s="530" t="s">
        <v>563</v>
      </c>
      <c r="K170" s="530" t="s">
        <v>553</v>
      </c>
      <c r="L170" s="530" t="s">
        <v>554</v>
      </c>
      <c r="M170" s="530"/>
      <c r="N170" s="518"/>
      <c r="O170" s="518"/>
      <c r="P170" s="543"/>
      <c r="Q170" s="543"/>
      <c r="R170" s="543"/>
      <c r="S170" s="543"/>
      <c r="T170" s="543"/>
      <c r="U170" s="543"/>
      <c r="V170" s="543"/>
      <c r="W170" s="543"/>
      <c r="X170" s="530" t="s">
        <v>553</v>
      </c>
      <c r="Y170" s="530" t="s">
        <v>554</v>
      </c>
    </row>
    <row r="171" spans="1:25">
      <c r="A171" s="462"/>
      <c r="B171" s="462"/>
      <c r="C171" s="528">
        <v>41182</v>
      </c>
      <c r="D171" s="462">
        <f>B165</f>
        <v>8.0960000000000001</v>
      </c>
      <c r="E171" s="532">
        <f>$B$169</f>
        <v>4.048</v>
      </c>
      <c r="F171" s="532"/>
      <c r="G171" s="20">
        <f>$B$168/$B$167</f>
        <v>3.3150000000000002E-3</v>
      </c>
      <c r="H171" s="609">
        <f>D171*G171</f>
        <v>2.6838240000000003E-2</v>
      </c>
      <c r="I171" s="531">
        <f>D171-E171</f>
        <v>4.048</v>
      </c>
      <c r="J171" s="536">
        <f>H171*Assumptions!$BI$7</f>
        <v>2.5975256392800001</v>
      </c>
      <c r="K171" s="536">
        <f>H171*Assumptions!$BI$7</f>
        <v>2.5975256392800001</v>
      </c>
      <c r="L171" s="536">
        <f>I171*Assumptions!$BI$7</f>
        <v>391.78365600000001</v>
      </c>
      <c r="M171" s="536"/>
      <c r="N171" s="518"/>
      <c r="O171" s="518"/>
      <c r="P171" s="529"/>
      <c r="Q171" s="518"/>
      <c r="R171" s="535"/>
      <c r="S171" s="884"/>
      <c r="T171" s="45"/>
      <c r="U171" s="534"/>
      <c r="V171" s="534"/>
      <c r="W171" s="545"/>
      <c r="X171" s="536">
        <f>U171*Assumptions!$AQ$7</f>
        <v>0</v>
      </c>
      <c r="Y171" s="536">
        <f>V171*Assumptions!$AQ$7</f>
        <v>0</v>
      </c>
    </row>
    <row r="172" spans="1:25">
      <c r="A172" s="462"/>
      <c r="B172" s="462"/>
      <c r="C172" s="528">
        <v>41334</v>
      </c>
      <c r="D172" s="531">
        <f>I171</f>
        <v>4.048</v>
      </c>
      <c r="E172" s="532">
        <f>$B$169</f>
        <v>4.048</v>
      </c>
      <c r="F172" s="532"/>
      <c r="G172" s="20">
        <f>$B$168/$B$167</f>
        <v>3.3150000000000002E-3</v>
      </c>
      <c r="H172" s="609">
        <f>D172*G172</f>
        <v>1.3419120000000001E-2</v>
      </c>
      <c r="I172" s="531">
        <f>D172-E172</f>
        <v>0</v>
      </c>
      <c r="J172" s="536">
        <f>H172*Assumptions!$BI$7</f>
        <v>1.2987628196400001</v>
      </c>
      <c r="K172" s="536">
        <f>H172*Assumptions!$BI$7</f>
        <v>1.2987628196400001</v>
      </c>
      <c r="L172" s="537">
        <f>I172*Assumptions!$AQ$7</f>
        <v>0</v>
      </c>
      <c r="M172" s="537"/>
      <c r="N172" s="518"/>
      <c r="O172" s="518"/>
      <c r="P172" s="529"/>
      <c r="Q172" s="534"/>
      <c r="R172" s="535"/>
      <c r="S172" s="884"/>
      <c r="T172" s="45"/>
      <c r="U172" s="534"/>
      <c r="V172" s="534"/>
      <c r="W172" s="545"/>
      <c r="X172" s="536">
        <f>U172*Assumptions!$AQ$7</f>
        <v>0</v>
      </c>
      <c r="Y172" s="537">
        <f>V172*Assumptions!$AQ$7</f>
        <v>0</v>
      </c>
    </row>
    <row r="173" spans="1:25">
      <c r="A173" s="518"/>
      <c r="B173" s="538"/>
      <c r="C173" s="518"/>
      <c r="D173" s="518"/>
      <c r="E173" s="518"/>
      <c r="F173" s="518"/>
      <c r="G173" s="518"/>
      <c r="H173" s="518"/>
      <c r="I173" s="518"/>
      <c r="J173" s="518"/>
      <c r="K173" s="518">
        <f>+L173/4</f>
        <v>362.74300000000005</v>
      </c>
      <c r="L173" s="461">
        <f>9068.575*16%</f>
        <v>1450.9720000000002</v>
      </c>
      <c r="N173" s="518"/>
      <c r="O173" s="518"/>
      <c r="P173" s="518"/>
      <c r="Q173" s="518"/>
      <c r="R173" s="518"/>
      <c r="S173" s="518"/>
      <c r="T173" s="518"/>
      <c r="U173" s="518"/>
      <c r="V173" s="518"/>
      <c r="W173" s="518"/>
    </row>
    <row r="174" spans="1:25">
      <c r="A174" s="518"/>
      <c r="B174" s="539"/>
      <c r="C174" s="518"/>
      <c r="D174" s="518"/>
      <c r="E174" s="518"/>
      <c r="F174" s="518"/>
      <c r="G174" s="518"/>
      <c r="H174" s="518"/>
      <c r="I174" s="518"/>
      <c r="J174" s="518"/>
      <c r="K174" s="518"/>
      <c r="L174" s="461">
        <f>+K173+N174</f>
        <v>362.74300000000005</v>
      </c>
      <c r="N174" s="518"/>
      <c r="O174" s="518"/>
      <c r="P174" s="518"/>
      <c r="Q174" s="518"/>
      <c r="R174" s="518"/>
      <c r="S174" s="518"/>
      <c r="T174" s="518"/>
      <c r="U174" s="518"/>
      <c r="V174" s="518"/>
      <c r="W174" s="518"/>
    </row>
    <row r="175" spans="1:25">
      <c r="A175" s="464" t="s">
        <v>685</v>
      </c>
      <c r="B175" s="462"/>
      <c r="C175" s="462"/>
      <c r="D175" s="462"/>
      <c r="E175" s="462"/>
      <c r="F175" s="462"/>
      <c r="G175" s="462"/>
      <c r="H175" s="462"/>
      <c r="I175" s="462"/>
      <c r="J175" s="462"/>
      <c r="K175" s="462"/>
      <c r="N175" s="518"/>
      <c r="O175" s="518"/>
      <c r="P175" s="518"/>
      <c r="Q175" s="518"/>
      <c r="R175" s="518"/>
      <c r="S175" s="518"/>
      <c r="T175" s="518"/>
      <c r="U175" s="518"/>
      <c r="V175" s="518"/>
      <c r="W175" s="518"/>
    </row>
    <row r="176" spans="1:25">
      <c r="A176" s="462" t="s">
        <v>544</v>
      </c>
      <c r="B176" s="333">
        <v>20.984999999999999</v>
      </c>
      <c r="C176" s="462"/>
      <c r="D176" s="462">
        <v>1976.787</v>
      </c>
      <c r="E176" s="462">
        <f>D176/B176</f>
        <v>94.2</v>
      </c>
      <c r="F176" s="462"/>
      <c r="G176" s="462"/>
      <c r="H176" s="462"/>
      <c r="I176" s="462"/>
      <c r="J176" s="462"/>
      <c r="K176" s="462"/>
      <c r="N176" s="518"/>
      <c r="O176" s="518"/>
      <c r="P176" s="518"/>
      <c r="Q176" s="518"/>
      <c r="R176" s="518"/>
      <c r="S176" s="518"/>
      <c r="T176" s="518"/>
      <c r="U176" s="518"/>
      <c r="V176" s="518"/>
      <c r="W176" s="518"/>
    </row>
    <row r="177" spans="1:23">
      <c r="A177" s="462" t="s">
        <v>549</v>
      </c>
      <c r="B177" s="462">
        <v>9</v>
      </c>
      <c r="C177" s="462"/>
      <c r="D177" s="462"/>
      <c r="E177" s="462"/>
      <c r="F177" s="462"/>
      <c r="G177" s="462"/>
      <c r="H177" s="462"/>
      <c r="I177" s="462"/>
      <c r="J177" s="462"/>
      <c r="K177" s="462"/>
      <c r="N177" s="518"/>
      <c r="O177" s="518"/>
      <c r="P177" s="518"/>
      <c r="Q177" s="518"/>
      <c r="R177" s="518"/>
      <c r="S177" s="518"/>
      <c r="T177" s="518"/>
      <c r="U177" s="518"/>
      <c r="V177" s="518"/>
      <c r="W177" s="518"/>
    </row>
    <row r="178" spans="1:23">
      <c r="A178" s="462" t="s">
        <v>550</v>
      </c>
      <c r="B178" s="462">
        <v>2</v>
      </c>
      <c r="C178" s="462"/>
      <c r="D178" s="462"/>
      <c r="E178" s="462"/>
      <c r="F178" s="462"/>
      <c r="G178" s="462"/>
      <c r="H178" s="462"/>
      <c r="I178" s="462"/>
      <c r="J178" s="462"/>
      <c r="K178" s="462"/>
      <c r="N178" s="518"/>
      <c r="O178" s="518"/>
      <c r="P178" s="518"/>
      <c r="Q178" s="518"/>
      <c r="R178" s="518"/>
      <c r="S178" s="518"/>
      <c r="T178" s="518"/>
      <c r="U178" s="518"/>
      <c r="V178" s="518"/>
      <c r="W178" s="518"/>
    </row>
    <row r="179" spans="1:23">
      <c r="A179" s="462" t="s">
        <v>213</v>
      </c>
      <c r="B179" s="523">
        <f>0.6%+1.65%</f>
        <v>2.2499999999999999E-2</v>
      </c>
      <c r="C179" s="462"/>
      <c r="D179" s="462"/>
      <c r="E179" s="462"/>
      <c r="F179" s="462"/>
      <c r="G179" s="462"/>
      <c r="H179" s="462"/>
      <c r="I179" s="462"/>
      <c r="J179" s="462"/>
      <c r="K179" s="462"/>
      <c r="N179" s="518"/>
      <c r="O179" s="518"/>
      <c r="P179" s="518"/>
      <c r="Q179" s="518"/>
      <c r="R179" s="518"/>
      <c r="S179" s="518"/>
      <c r="T179" s="518"/>
      <c r="U179" s="518"/>
      <c r="V179" s="518"/>
      <c r="W179" s="518"/>
    </row>
    <row r="180" spans="1:23">
      <c r="A180" s="462" t="s">
        <v>547</v>
      </c>
      <c r="B180" s="527">
        <f>B176/B177</f>
        <v>2.3316666666666666</v>
      </c>
      <c r="C180" s="462"/>
      <c r="D180" s="462"/>
      <c r="E180" s="462"/>
      <c r="F180" s="462"/>
      <c r="G180" s="462"/>
      <c r="H180" s="462"/>
      <c r="I180" s="462"/>
      <c r="J180" s="462"/>
      <c r="K180" s="462"/>
      <c r="N180" s="518"/>
      <c r="O180" s="518"/>
      <c r="P180" s="518"/>
      <c r="Q180" s="518"/>
      <c r="R180" s="518"/>
      <c r="S180" s="518"/>
      <c r="T180" s="518"/>
      <c r="U180" s="518"/>
      <c r="V180" s="518"/>
      <c r="W180" s="518"/>
    </row>
    <row r="181" spans="1:23">
      <c r="A181" s="462"/>
      <c r="B181" s="462"/>
      <c r="C181" s="530" t="s">
        <v>217</v>
      </c>
      <c r="D181" s="530" t="s">
        <v>318</v>
      </c>
      <c r="E181" s="530" t="s">
        <v>547</v>
      </c>
      <c r="F181" s="530"/>
      <c r="G181" s="530" t="s">
        <v>2</v>
      </c>
      <c r="H181" s="530" t="s">
        <v>216</v>
      </c>
      <c r="I181" s="530" t="s">
        <v>318</v>
      </c>
      <c r="J181" s="530" t="s">
        <v>547</v>
      </c>
      <c r="K181" s="530" t="s">
        <v>553</v>
      </c>
      <c r="L181" s="530" t="s">
        <v>554</v>
      </c>
      <c r="M181" s="530"/>
      <c r="N181" s="518"/>
      <c r="O181" s="518"/>
      <c r="P181" s="518"/>
      <c r="Q181" s="518"/>
      <c r="R181" s="518"/>
      <c r="S181" s="518"/>
      <c r="T181" s="518"/>
      <c r="U181" s="518"/>
      <c r="V181" s="518"/>
      <c r="W181" s="518"/>
    </row>
    <row r="182" spans="1:23">
      <c r="A182" s="462"/>
      <c r="B182" s="462">
        <v>1</v>
      </c>
      <c r="C182" s="528">
        <v>41214</v>
      </c>
      <c r="D182" s="531">
        <f>B176</f>
        <v>20.984999999999999</v>
      </c>
      <c r="E182" s="532">
        <v>0</v>
      </c>
      <c r="F182" s="532"/>
      <c r="G182" s="316">
        <f t="shared" ref="G182:G191" si="36">$B$179/$B$178</f>
        <v>1.125E-2</v>
      </c>
      <c r="H182" s="333">
        <f t="shared" ref="H182:H191" si="37">D182*G182</f>
        <v>0.23608124999999999</v>
      </c>
      <c r="I182" s="609">
        <f t="shared" ref="I182:I191" si="38">D182-E182</f>
        <v>20.984999999999999</v>
      </c>
      <c r="J182" s="536">
        <f>E182*Assumptions!$BI$7</f>
        <v>0</v>
      </c>
      <c r="K182" s="536">
        <f>H182*Assumptions!$BI$7</f>
        <v>22.849005740625</v>
      </c>
      <c r="L182" s="15">
        <f>I182*Assumptions!$BI$7</f>
        <v>2031.0227324999998</v>
      </c>
      <c r="M182" s="15"/>
      <c r="N182" s="518"/>
      <c r="O182" s="518"/>
      <c r="P182" s="518"/>
      <c r="Q182" s="518"/>
      <c r="R182" s="518"/>
      <c r="S182" s="518"/>
      <c r="T182" s="518"/>
      <c r="U182" s="518"/>
      <c r="V182" s="518"/>
      <c r="W182" s="518"/>
    </row>
    <row r="183" spans="1:23">
      <c r="A183" s="462"/>
      <c r="B183" s="462">
        <f>B182+1</f>
        <v>2</v>
      </c>
      <c r="C183" s="528">
        <v>41395</v>
      </c>
      <c r="D183" s="531">
        <f>I182</f>
        <v>20.984999999999999</v>
      </c>
      <c r="E183" s="532">
        <f t="shared" ref="E183:E191" si="39">$B$180</f>
        <v>2.3316666666666666</v>
      </c>
      <c r="F183" s="532"/>
      <c r="G183" s="316">
        <f t="shared" si="36"/>
        <v>1.125E-2</v>
      </c>
      <c r="H183" s="333">
        <f t="shared" si="37"/>
        <v>0.23608124999999999</v>
      </c>
      <c r="I183" s="609">
        <f t="shared" si="38"/>
        <v>18.653333333333332</v>
      </c>
      <c r="J183" s="536">
        <f>E183*Assumptions!$BI$7</f>
        <v>225.66919249999998</v>
      </c>
      <c r="K183" s="536">
        <f>H183*Assumptions!$BI$7</f>
        <v>22.849005740625</v>
      </c>
      <c r="L183" s="15">
        <f>I183*Assumptions!$BI$7</f>
        <v>1805.3535399999998</v>
      </c>
      <c r="M183" s="15"/>
      <c r="N183" s="518"/>
      <c r="O183" s="518"/>
      <c r="P183" s="518"/>
      <c r="Q183" s="518"/>
      <c r="R183" s="518"/>
      <c r="S183" s="518"/>
      <c r="T183" s="518"/>
      <c r="U183" s="518"/>
      <c r="V183" s="518"/>
      <c r="W183" s="518"/>
    </row>
    <row r="184" spans="1:23">
      <c r="A184" s="462"/>
      <c r="B184" s="462">
        <f t="shared" ref="B184:B191" si="40">B183+1</f>
        <v>3</v>
      </c>
      <c r="C184" s="528">
        <v>41579</v>
      </c>
      <c r="D184" s="531">
        <f t="shared" ref="D184:D191" si="41">I183</f>
        <v>18.653333333333332</v>
      </c>
      <c r="E184" s="532">
        <f t="shared" si="39"/>
        <v>2.3316666666666666</v>
      </c>
      <c r="F184" s="532"/>
      <c r="G184" s="316">
        <f t="shared" si="36"/>
        <v>1.125E-2</v>
      </c>
      <c r="H184" s="333">
        <f t="shared" si="37"/>
        <v>0.20984999999999998</v>
      </c>
      <c r="I184" s="609">
        <f t="shared" si="38"/>
        <v>16.321666666666665</v>
      </c>
      <c r="J184" s="536">
        <f>E184*Assumptions!$BN$7</f>
        <v>240.33654166666665</v>
      </c>
      <c r="K184" s="536">
        <f>H184*Assumptions!$BN$7</f>
        <v>21.630288749999998</v>
      </c>
      <c r="L184" s="15">
        <f>I184*Assumptions!$BN$7</f>
        <v>1682.3557916666666</v>
      </c>
      <c r="M184" s="15"/>
      <c r="N184" s="518"/>
      <c r="O184" s="518"/>
      <c r="P184" s="518"/>
      <c r="Q184" s="518"/>
      <c r="R184" s="518"/>
      <c r="S184" s="518"/>
      <c r="T184" s="518"/>
      <c r="U184" s="518"/>
      <c r="V184" s="518"/>
      <c r="W184" s="518"/>
    </row>
    <row r="185" spans="1:23">
      <c r="A185" s="462"/>
      <c r="B185" s="462">
        <f t="shared" si="40"/>
        <v>4</v>
      </c>
      <c r="C185" s="528">
        <v>41760</v>
      </c>
      <c r="D185" s="531">
        <f t="shared" si="41"/>
        <v>16.321666666666665</v>
      </c>
      <c r="E185" s="532">
        <f t="shared" si="39"/>
        <v>2.3316666666666666</v>
      </c>
      <c r="F185" s="532"/>
      <c r="G185" s="316">
        <f t="shared" si="36"/>
        <v>1.125E-2</v>
      </c>
      <c r="H185" s="333">
        <f t="shared" si="37"/>
        <v>0.18361874999999997</v>
      </c>
      <c r="I185" s="609">
        <f t="shared" si="38"/>
        <v>13.989999999999998</v>
      </c>
      <c r="J185" s="536">
        <f>E185*Assumptions!$BN$7</f>
        <v>240.33654166666665</v>
      </c>
      <c r="K185" s="536">
        <f>H185*Assumptions!$BN$7</f>
        <v>18.926502656249998</v>
      </c>
      <c r="L185" s="15">
        <f>I185*Assumptions!$BN$7</f>
        <v>1442.0192499999998</v>
      </c>
      <c r="M185" s="15"/>
      <c r="N185" s="518"/>
      <c r="O185" s="518"/>
      <c r="P185" s="518"/>
      <c r="Q185" s="518"/>
      <c r="R185" s="518"/>
      <c r="S185" s="518"/>
      <c r="T185" s="518"/>
      <c r="U185" s="518"/>
      <c r="V185" s="518"/>
      <c r="W185" s="518"/>
    </row>
    <row r="186" spans="1:23">
      <c r="A186" s="462"/>
      <c r="B186" s="462">
        <f t="shared" si="40"/>
        <v>5</v>
      </c>
      <c r="C186" s="528">
        <v>41944</v>
      </c>
      <c r="D186" s="531">
        <f t="shared" si="41"/>
        <v>13.989999999999998</v>
      </c>
      <c r="E186" s="532">
        <f t="shared" si="39"/>
        <v>2.3316666666666666</v>
      </c>
      <c r="F186" s="532"/>
      <c r="G186" s="316">
        <f t="shared" si="36"/>
        <v>1.125E-2</v>
      </c>
      <c r="H186" s="333">
        <f t="shared" si="37"/>
        <v>0.15738749999999999</v>
      </c>
      <c r="I186" s="609">
        <f t="shared" si="38"/>
        <v>11.658333333333331</v>
      </c>
      <c r="J186" s="536">
        <f>E186*Assumptions!$BR$7</f>
        <v>252.35336874999999</v>
      </c>
      <c r="K186" s="536">
        <f>H186*Assumptions!$BR$7</f>
        <v>17.033852390625</v>
      </c>
      <c r="L186" s="15">
        <f>1381.513</f>
        <v>1381.5129999999999</v>
      </c>
      <c r="M186" s="15"/>
      <c r="N186" s="518"/>
      <c r="O186" s="518"/>
      <c r="P186" s="518"/>
      <c r="Q186" s="518"/>
      <c r="R186" s="518"/>
      <c r="S186" s="518"/>
      <c r="T186" s="518"/>
      <c r="U186" s="518"/>
      <c r="V186" s="518"/>
      <c r="W186" s="518"/>
    </row>
    <row r="187" spans="1:23">
      <c r="A187" s="462"/>
      <c r="B187" s="462">
        <f t="shared" si="40"/>
        <v>6</v>
      </c>
      <c r="C187" s="528">
        <v>42125</v>
      </c>
      <c r="D187" s="531">
        <f t="shared" si="41"/>
        <v>11.658333333333331</v>
      </c>
      <c r="E187" s="532">
        <f t="shared" si="39"/>
        <v>2.3316666666666666</v>
      </c>
      <c r="F187" s="532"/>
      <c r="G187" s="316">
        <f t="shared" si="36"/>
        <v>1.125E-2</v>
      </c>
      <c r="H187" s="333">
        <f t="shared" si="37"/>
        <v>0.13115624999999997</v>
      </c>
      <c r="I187" s="609">
        <f t="shared" si="38"/>
        <v>9.3266666666666644</v>
      </c>
      <c r="J187" s="536">
        <f>E187*Assumptions!$BR$7</f>
        <v>252.35336874999999</v>
      </c>
      <c r="K187" s="536">
        <f>H187*Assumptions!$BR$7</f>
        <v>14.194876992187497</v>
      </c>
      <c r="L187" s="15">
        <f>I187*Assumptions!$BR$7</f>
        <v>1009.4134749999998</v>
      </c>
      <c r="M187" s="15"/>
      <c r="N187" s="518"/>
      <c r="O187" s="518"/>
      <c r="P187" s="518"/>
      <c r="Q187" s="518"/>
      <c r="R187" s="518"/>
      <c r="S187" s="518"/>
      <c r="T187" s="518"/>
      <c r="U187" s="518"/>
      <c r="V187" s="518"/>
      <c r="W187" s="518"/>
    </row>
    <row r="188" spans="1:23">
      <c r="A188" s="462"/>
      <c r="B188" s="462">
        <f t="shared" si="40"/>
        <v>7</v>
      </c>
      <c r="C188" s="528">
        <v>42309</v>
      </c>
      <c r="D188" s="531">
        <f t="shared" si="41"/>
        <v>9.3266666666666644</v>
      </c>
      <c r="E188" s="532">
        <f t="shared" si="39"/>
        <v>2.3316666666666666</v>
      </c>
      <c r="F188" s="532"/>
      <c r="G188" s="316">
        <f t="shared" si="36"/>
        <v>1.125E-2</v>
      </c>
      <c r="H188" s="333">
        <f t="shared" si="37"/>
        <v>0.10492499999999998</v>
      </c>
      <c r="I188" s="609">
        <f t="shared" si="38"/>
        <v>6.9949999999999974</v>
      </c>
      <c r="J188" s="536">
        <f>E188*Assumptions!$BS$7</f>
        <v>264.97103718750003</v>
      </c>
      <c r="K188" s="536">
        <f>H188*Assumptions!$BS$7</f>
        <v>11.923696673437499</v>
      </c>
      <c r="L188" s="15">
        <f>I188*Assumptions!$BS$7</f>
        <v>794.91311156249981</v>
      </c>
      <c r="M188" s="15"/>
      <c r="N188" s="518"/>
      <c r="O188" s="518"/>
      <c r="P188" s="518"/>
      <c r="Q188" s="518"/>
      <c r="R188" s="518"/>
      <c r="S188" s="518"/>
      <c r="T188" s="518"/>
      <c r="U188" s="518"/>
      <c r="V188" s="518"/>
      <c r="W188" s="518"/>
    </row>
    <row r="189" spans="1:23">
      <c r="A189" s="462"/>
      <c r="B189" s="462">
        <f t="shared" si="40"/>
        <v>8</v>
      </c>
      <c r="C189" s="528">
        <v>42491</v>
      </c>
      <c r="D189" s="531">
        <f t="shared" si="41"/>
        <v>6.9949999999999974</v>
      </c>
      <c r="E189" s="532">
        <f t="shared" si="39"/>
        <v>2.3316666666666666</v>
      </c>
      <c r="F189" s="532"/>
      <c r="G189" s="316">
        <f t="shared" si="36"/>
        <v>1.125E-2</v>
      </c>
      <c r="H189" s="333">
        <f t="shared" si="37"/>
        <v>7.8693749999999965E-2</v>
      </c>
      <c r="I189" s="609">
        <f t="shared" si="38"/>
        <v>4.6633333333333304</v>
      </c>
      <c r="J189" s="536">
        <f>E189*Assumptions!$BS$7</f>
        <v>264.97103718750003</v>
      </c>
      <c r="K189" s="536">
        <f>H189*Assumptions!$BS$7</f>
        <v>8.9427725050781213</v>
      </c>
      <c r="L189" s="15">
        <f>I189*Assumptions!$BS$7</f>
        <v>529.94207437499972</v>
      </c>
      <c r="M189" s="15"/>
      <c r="N189" s="518"/>
      <c r="O189" s="518"/>
      <c r="P189" s="518"/>
      <c r="Q189" s="518"/>
      <c r="R189" s="518"/>
      <c r="S189" s="518"/>
      <c r="T189" s="518"/>
      <c r="U189" s="518"/>
      <c r="V189" s="518"/>
      <c r="W189" s="518"/>
    </row>
    <row r="190" spans="1:23">
      <c r="A190" s="462"/>
      <c r="B190" s="462">
        <f t="shared" si="40"/>
        <v>9</v>
      </c>
      <c r="C190" s="528">
        <v>42675</v>
      </c>
      <c r="D190" s="531">
        <f t="shared" si="41"/>
        <v>4.6633333333333304</v>
      </c>
      <c r="E190" s="532">
        <f t="shared" si="39"/>
        <v>2.3316666666666666</v>
      </c>
      <c r="F190" s="532"/>
      <c r="G190" s="316">
        <f t="shared" si="36"/>
        <v>1.125E-2</v>
      </c>
      <c r="H190" s="333">
        <f t="shared" si="37"/>
        <v>5.2462499999999967E-2</v>
      </c>
      <c r="I190" s="609">
        <f t="shared" si="38"/>
        <v>2.3316666666666639</v>
      </c>
      <c r="J190" s="536">
        <f>E190*Assumptions!$BT$7</f>
        <v>278.219589046875</v>
      </c>
      <c r="K190" s="536">
        <f>H190*Assumptions!$BT$7</f>
        <v>6.2599407535546847</v>
      </c>
      <c r="L190" s="15">
        <f>I190*Assumptions!$BT$7</f>
        <v>278.21958904687472</v>
      </c>
      <c r="M190" s="15"/>
      <c r="N190" s="518"/>
      <c r="O190" s="518"/>
      <c r="P190" s="518"/>
      <c r="Q190" s="518"/>
      <c r="R190" s="518"/>
      <c r="S190" s="518"/>
      <c r="T190" s="518"/>
      <c r="U190" s="518"/>
      <c r="V190" s="518"/>
      <c r="W190" s="518"/>
    </row>
    <row r="191" spans="1:23">
      <c r="A191" s="462"/>
      <c r="B191" s="462">
        <f t="shared" si="40"/>
        <v>10</v>
      </c>
      <c r="C191" s="528">
        <v>42856</v>
      </c>
      <c r="D191" s="531">
        <f t="shared" si="41"/>
        <v>2.3316666666666639</v>
      </c>
      <c r="E191" s="532">
        <f t="shared" si="39"/>
        <v>2.3316666666666666</v>
      </c>
      <c r="F191" s="532"/>
      <c r="G191" s="316">
        <f t="shared" si="36"/>
        <v>1.125E-2</v>
      </c>
      <c r="H191" s="333">
        <f t="shared" si="37"/>
        <v>2.6231249999999966E-2</v>
      </c>
      <c r="I191" s="609">
        <f t="shared" si="38"/>
        <v>0</v>
      </c>
      <c r="J191" s="536">
        <f>E191*Assumptions!$BT$7</f>
        <v>278.219589046875</v>
      </c>
      <c r="K191" s="536">
        <f>H191*Assumptions!$BT$7</f>
        <v>3.1299703767773401</v>
      </c>
      <c r="L191" s="15">
        <f>I191*Assumptions!$BT$7</f>
        <v>0</v>
      </c>
      <c r="M191" s="15"/>
      <c r="N191" s="518"/>
      <c r="O191" s="518"/>
      <c r="P191" s="518"/>
      <c r="Q191" s="518"/>
      <c r="R191" s="518"/>
      <c r="S191" s="518"/>
      <c r="T191" s="518"/>
      <c r="U191" s="518"/>
      <c r="V191" s="518"/>
      <c r="W191" s="518"/>
    </row>
    <row r="192" spans="1:23" s="518" customFormat="1">
      <c r="C192" s="529"/>
      <c r="D192" s="534"/>
      <c r="E192" s="535"/>
      <c r="F192" s="535"/>
      <c r="G192" s="45"/>
      <c r="H192" s="534"/>
      <c r="I192" s="608"/>
      <c r="J192" s="608"/>
      <c r="O192" s="607"/>
      <c r="P192" s="607"/>
      <c r="Q192" s="607"/>
      <c r="R192" s="607"/>
      <c r="S192" s="607"/>
      <c r="T192" s="607"/>
      <c r="U192" s="607"/>
      <c r="V192" s="607"/>
    </row>
    <row r="193" spans="1:22" s="518" customFormat="1">
      <c r="A193" s="464" t="s">
        <v>686</v>
      </c>
      <c r="B193" s="462"/>
      <c r="C193" s="462"/>
      <c r="D193" s="462"/>
      <c r="E193" s="462"/>
      <c r="F193" s="462"/>
      <c r="G193" s="462"/>
      <c r="H193" s="462"/>
      <c r="I193" s="462"/>
      <c r="J193" s="462"/>
      <c r="K193" s="462"/>
      <c r="O193" s="607"/>
      <c r="P193" s="607"/>
      <c r="Q193" s="607"/>
      <c r="R193" s="607"/>
      <c r="S193" s="607"/>
      <c r="T193" s="607"/>
      <c r="U193" s="607"/>
      <c r="V193" s="607"/>
    </row>
    <row r="194" spans="1:22" s="518" customFormat="1">
      <c r="A194" s="462" t="s">
        <v>544</v>
      </c>
      <c r="B194" s="462">
        <v>701.25</v>
      </c>
      <c r="C194" s="462"/>
      <c r="D194" s="462"/>
      <c r="E194" s="462"/>
      <c r="F194" s="462"/>
      <c r="G194" s="462"/>
      <c r="H194" s="462"/>
      <c r="I194" s="462"/>
      <c r="J194" s="462"/>
      <c r="K194" s="462"/>
      <c r="O194" s="607"/>
      <c r="P194" s="607"/>
      <c r="Q194" s="607"/>
      <c r="R194" s="607"/>
      <c r="S194" s="607"/>
      <c r="T194" s="607"/>
      <c r="U194" s="607"/>
      <c r="V194" s="607"/>
    </row>
    <row r="195" spans="1:22" s="518" customFormat="1">
      <c r="A195" s="462" t="s">
        <v>549</v>
      </c>
      <c r="B195" s="462">
        <v>14</v>
      </c>
      <c r="C195" s="462"/>
      <c r="D195" s="462"/>
      <c r="E195" s="462"/>
      <c r="F195" s="462"/>
      <c r="G195" s="462"/>
      <c r="H195" s="462"/>
      <c r="I195" s="462"/>
      <c r="J195" s="462"/>
      <c r="K195" s="462"/>
      <c r="O195" s="607"/>
      <c r="P195" s="607"/>
      <c r="Q195" s="607"/>
      <c r="R195" s="607"/>
      <c r="S195" s="607"/>
      <c r="T195" s="607"/>
      <c r="U195" s="607"/>
      <c r="V195" s="607"/>
    </row>
    <row r="196" spans="1:22" s="518" customFormat="1">
      <c r="A196" s="462" t="s">
        <v>550</v>
      </c>
      <c r="B196" s="462">
        <v>4</v>
      </c>
      <c r="C196" s="462"/>
      <c r="D196" s="462"/>
      <c r="E196" s="462"/>
      <c r="F196" s="462"/>
      <c r="G196" s="462"/>
      <c r="H196" s="462"/>
      <c r="I196" s="462"/>
      <c r="J196" s="462"/>
      <c r="K196" s="462"/>
      <c r="O196" s="607"/>
      <c r="P196" s="607"/>
      <c r="Q196" s="607"/>
      <c r="R196" s="607"/>
      <c r="S196" s="607"/>
      <c r="T196" s="607"/>
      <c r="U196" s="607"/>
      <c r="V196" s="607"/>
    </row>
    <row r="197" spans="1:22" s="518" customFormat="1">
      <c r="A197" s="462" t="s">
        <v>213</v>
      </c>
      <c r="B197" s="523">
        <f>10%+0.6%</f>
        <v>0.10600000000000001</v>
      </c>
      <c r="C197" s="462"/>
      <c r="D197" s="462"/>
      <c r="E197" s="462"/>
      <c r="F197" s="462"/>
      <c r="G197" s="462"/>
      <c r="H197" s="462"/>
      <c r="I197" s="462"/>
      <c r="J197" s="462"/>
      <c r="K197" s="462"/>
      <c r="O197" s="607"/>
      <c r="P197" s="607"/>
      <c r="Q197" s="607"/>
      <c r="R197" s="607"/>
      <c r="S197" s="607"/>
      <c r="T197" s="607"/>
      <c r="U197" s="607"/>
      <c r="V197" s="607"/>
    </row>
    <row r="198" spans="1:22" s="518" customFormat="1">
      <c r="A198" s="462" t="s">
        <v>547</v>
      </c>
      <c r="B198" s="527">
        <f>B194/B195</f>
        <v>50.089285714285715</v>
      </c>
      <c r="C198" s="462"/>
      <c r="D198" s="462"/>
      <c r="E198" s="462"/>
      <c r="F198" s="462"/>
      <c r="G198" s="462"/>
      <c r="H198" s="462"/>
      <c r="I198" s="462"/>
      <c r="J198" s="462"/>
      <c r="K198" s="462"/>
      <c r="O198" s="607"/>
      <c r="P198" s="607"/>
      <c r="Q198" s="607"/>
      <c r="R198" s="607"/>
      <c r="S198" s="607"/>
      <c r="T198" s="607"/>
      <c r="U198" s="607"/>
      <c r="V198" s="607"/>
    </row>
    <row r="199" spans="1:22" s="518" customFormat="1">
      <c r="A199" s="462"/>
      <c r="B199" s="462"/>
      <c r="C199" s="530" t="s">
        <v>217</v>
      </c>
      <c r="D199" s="530" t="s">
        <v>318</v>
      </c>
      <c r="E199" s="530" t="s">
        <v>547</v>
      </c>
      <c r="F199" s="530" t="s">
        <v>548</v>
      </c>
      <c r="G199" s="530" t="s">
        <v>2</v>
      </c>
      <c r="H199" s="530" t="s">
        <v>216</v>
      </c>
      <c r="I199" s="530" t="s">
        <v>318</v>
      </c>
      <c r="J199" s="530"/>
      <c r="K199" s="462"/>
      <c r="O199" s="607"/>
      <c r="P199" s="607"/>
      <c r="Q199" s="607"/>
      <c r="R199" s="607"/>
      <c r="S199" s="607"/>
      <c r="T199" s="607"/>
      <c r="U199" s="607"/>
      <c r="V199" s="607"/>
    </row>
    <row r="200" spans="1:22" s="518" customFormat="1">
      <c r="A200" s="462"/>
      <c r="B200" s="462">
        <v>1</v>
      </c>
      <c r="C200" s="528">
        <v>41153</v>
      </c>
      <c r="D200" s="462">
        <f>B194</f>
        <v>701.25</v>
      </c>
      <c r="E200" s="532">
        <f>$B$198</f>
        <v>50.089285714285715</v>
      </c>
      <c r="F200" s="532"/>
      <c r="G200" s="20">
        <f>$B$197/$B$196</f>
        <v>2.6500000000000003E-2</v>
      </c>
      <c r="H200" s="531">
        <f>D200*G200</f>
        <v>18.583125000000003</v>
      </c>
      <c r="I200" s="531">
        <f>D200-E200</f>
        <v>651.16071428571433</v>
      </c>
      <c r="J200" s="462"/>
      <c r="K200" s="462"/>
      <c r="O200" s="607"/>
      <c r="P200" s="607"/>
      <c r="Q200" s="607"/>
      <c r="R200" s="607"/>
      <c r="S200" s="607"/>
      <c r="T200" s="607"/>
      <c r="U200" s="607"/>
      <c r="V200" s="607"/>
    </row>
    <row r="201" spans="1:22" s="518" customFormat="1">
      <c r="A201" s="462"/>
      <c r="B201" s="462">
        <f>B200+1</f>
        <v>2</v>
      </c>
      <c r="C201" s="528">
        <v>41244</v>
      </c>
      <c r="D201" s="531">
        <f>I200</f>
        <v>651.16071428571433</v>
      </c>
      <c r="E201" s="532">
        <f t="shared" ref="E201:E203" si="42">$B$198</f>
        <v>50.089285714285715</v>
      </c>
      <c r="F201" s="532"/>
      <c r="G201" s="20">
        <f t="shared" ref="G201:G213" si="43">$B$197/$B$196</f>
        <v>2.6500000000000003E-2</v>
      </c>
      <c r="H201" s="531">
        <f t="shared" ref="H201:H213" si="44">D201*G201</f>
        <v>17.255758928571431</v>
      </c>
      <c r="I201" s="531">
        <f t="shared" ref="I201:I213" si="45">D201-E201</f>
        <v>601.07142857142867</v>
      </c>
      <c r="J201" s="462"/>
      <c r="K201" s="462"/>
      <c r="O201" s="607"/>
      <c r="P201" s="607"/>
      <c r="Q201" s="607"/>
      <c r="R201" s="607"/>
      <c r="S201" s="607"/>
      <c r="T201" s="607"/>
      <c r="U201" s="607"/>
      <c r="V201" s="607"/>
    </row>
    <row r="202" spans="1:22" s="518" customFormat="1">
      <c r="A202" s="462"/>
      <c r="B202" s="462">
        <f t="shared" ref="B202:B213" si="46">B201+1</f>
        <v>3</v>
      </c>
      <c r="C202" s="528">
        <v>41334</v>
      </c>
      <c r="D202" s="531">
        <f t="shared" ref="D202:D213" si="47">I201</f>
        <v>601.07142857142867</v>
      </c>
      <c r="E202" s="532">
        <f t="shared" si="42"/>
        <v>50.089285714285715</v>
      </c>
      <c r="F202" s="532"/>
      <c r="G202" s="20">
        <f t="shared" si="43"/>
        <v>2.6500000000000003E-2</v>
      </c>
      <c r="H202" s="531">
        <f t="shared" si="44"/>
        <v>15.928392857142862</v>
      </c>
      <c r="I202" s="531">
        <f t="shared" si="45"/>
        <v>550.982142857143</v>
      </c>
      <c r="J202" s="533"/>
      <c r="K202" s="462"/>
      <c r="O202" s="607"/>
      <c r="P202" s="607"/>
      <c r="Q202" s="607"/>
      <c r="R202" s="607"/>
      <c r="S202" s="607"/>
      <c r="T202" s="607"/>
      <c r="U202" s="607"/>
      <c r="V202" s="607"/>
    </row>
    <row r="203" spans="1:22" s="518" customFormat="1">
      <c r="A203" s="462"/>
      <c r="B203" s="462">
        <f t="shared" si="46"/>
        <v>4</v>
      </c>
      <c r="C203" s="528">
        <v>41426</v>
      </c>
      <c r="D203" s="531">
        <f t="shared" si="47"/>
        <v>550.982142857143</v>
      </c>
      <c r="E203" s="532">
        <f t="shared" si="42"/>
        <v>50.089285714285715</v>
      </c>
      <c r="F203" s="532"/>
      <c r="G203" s="20">
        <f t="shared" si="43"/>
        <v>2.6500000000000003E-2</v>
      </c>
      <c r="H203" s="531">
        <f t="shared" si="44"/>
        <v>14.601026785714291</v>
      </c>
      <c r="I203" s="531">
        <v>361.25</v>
      </c>
      <c r="J203" s="531"/>
      <c r="K203" s="462"/>
      <c r="O203" s="607"/>
      <c r="P203" s="607"/>
      <c r="Q203" s="607"/>
      <c r="R203" s="607"/>
      <c r="S203" s="607"/>
      <c r="T203" s="607"/>
      <c r="U203" s="607"/>
      <c r="V203" s="607"/>
    </row>
    <row r="204" spans="1:22" s="518" customFormat="1">
      <c r="A204" s="462"/>
      <c r="B204" s="462">
        <f t="shared" si="46"/>
        <v>5</v>
      </c>
      <c r="C204" s="528">
        <v>41518</v>
      </c>
      <c r="D204" s="531">
        <f t="shared" si="47"/>
        <v>361.25</v>
      </c>
      <c r="E204" s="532">
        <f>I203/7</f>
        <v>51.607142857142854</v>
      </c>
      <c r="F204" s="532"/>
      <c r="G204" s="20">
        <f t="shared" si="43"/>
        <v>2.6500000000000003E-2</v>
      </c>
      <c r="H204" s="531">
        <f t="shared" si="44"/>
        <v>9.573125000000001</v>
      </c>
      <c r="I204" s="531">
        <f t="shared" si="45"/>
        <v>309.64285714285717</v>
      </c>
      <c r="J204" s="533"/>
      <c r="K204" s="462"/>
      <c r="O204" s="607"/>
      <c r="P204" s="607"/>
      <c r="Q204" s="607"/>
      <c r="R204" s="607"/>
      <c r="S204" s="607"/>
      <c r="T204" s="607"/>
      <c r="U204" s="607"/>
      <c r="V204" s="607"/>
    </row>
    <row r="205" spans="1:22" s="518" customFormat="1">
      <c r="A205" s="462"/>
      <c r="B205" s="462">
        <f t="shared" si="46"/>
        <v>6</v>
      </c>
      <c r="C205" s="528">
        <v>41609</v>
      </c>
      <c r="D205" s="531">
        <f t="shared" si="47"/>
        <v>309.64285714285717</v>
      </c>
      <c r="E205" s="532">
        <f>E204</f>
        <v>51.607142857142854</v>
      </c>
      <c r="F205" s="532"/>
      <c r="G205" s="20">
        <f t="shared" si="43"/>
        <v>2.6500000000000003E-2</v>
      </c>
      <c r="H205" s="531">
        <f t="shared" si="44"/>
        <v>8.2055357142857162</v>
      </c>
      <c r="I205" s="531">
        <f t="shared" si="45"/>
        <v>258.03571428571433</v>
      </c>
      <c r="J205" s="531"/>
      <c r="K205" s="462"/>
      <c r="O205" s="607"/>
      <c r="P205" s="607"/>
      <c r="Q205" s="607"/>
      <c r="R205" s="607"/>
      <c r="S205" s="607"/>
      <c r="T205" s="607"/>
      <c r="U205" s="607"/>
      <c r="V205" s="607"/>
    </row>
    <row r="206" spans="1:22" s="518" customFormat="1">
      <c r="A206" s="462"/>
      <c r="B206" s="462">
        <f t="shared" si="46"/>
        <v>7</v>
      </c>
      <c r="C206" s="528">
        <v>41699</v>
      </c>
      <c r="D206" s="531">
        <f t="shared" si="47"/>
        <v>258.03571428571433</v>
      </c>
      <c r="E206" s="532">
        <f t="shared" ref="E206:E210" si="48">E205</f>
        <v>51.607142857142854</v>
      </c>
      <c r="F206" s="532"/>
      <c r="G206" s="20">
        <f t="shared" si="43"/>
        <v>2.6500000000000003E-2</v>
      </c>
      <c r="H206" s="531">
        <f t="shared" si="44"/>
        <v>6.8379464285714304</v>
      </c>
      <c r="I206" s="531">
        <f t="shared" si="45"/>
        <v>206.42857142857147</v>
      </c>
      <c r="J206" s="533"/>
      <c r="K206" s="462"/>
      <c r="O206" s="607"/>
      <c r="P206" s="607"/>
      <c r="Q206" s="607"/>
      <c r="R206" s="607"/>
      <c r="S206" s="607"/>
      <c r="T206" s="607"/>
      <c r="U206" s="607"/>
      <c r="V206" s="607"/>
    </row>
    <row r="207" spans="1:22" s="518" customFormat="1">
      <c r="A207" s="462"/>
      <c r="B207" s="462">
        <f t="shared" si="46"/>
        <v>8</v>
      </c>
      <c r="C207" s="528">
        <v>41791</v>
      </c>
      <c r="D207" s="531">
        <f t="shared" si="47"/>
        <v>206.42857142857147</v>
      </c>
      <c r="E207" s="532">
        <f t="shared" si="48"/>
        <v>51.607142857142854</v>
      </c>
      <c r="F207" s="532"/>
      <c r="G207" s="20">
        <f t="shared" si="43"/>
        <v>2.6500000000000003E-2</v>
      </c>
      <c r="H207" s="531">
        <f t="shared" si="44"/>
        <v>5.4703571428571447</v>
      </c>
      <c r="I207" s="531">
        <v>170</v>
      </c>
      <c r="J207" s="531"/>
      <c r="K207" s="462"/>
      <c r="O207" s="607"/>
      <c r="P207" s="607"/>
      <c r="Q207" s="607"/>
      <c r="R207" s="607"/>
      <c r="S207" s="607"/>
      <c r="T207" s="607"/>
      <c r="U207" s="607"/>
      <c r="V207" s="607"/>
    </row>
    <row r="208" spans="1:22" s="518" customFormat="1">
      <c r="A208" s="462"/>
      <c r="B208" s="462">
        <f t="shared" si="46"/>
        <v>9</v>
      </c>
      <c r="C208" s="528">
        <v>41883</v>
      </c>
      <c r="D208" s="531">
        <f t="shared" si="47"/>
        <v>170</v>
      </c>
      <c r="E208" s="532">
        <f>D208/3</f>
        <v>56.666666666666664</v>
      </c>
      <c r="F208" s="532"/>
      <c r="G208" s="20">
        <f t="shared" si="43"/>
        <v>2.6500000000000003E-2</v>
      </c>
      <c r="H208" s="531">
        <f t="shared" si="44"/>
        <v>4.5050000000000008</v>
      </c>
      <c r="I208" s="531">
        <f t="shared" si="45"/>
        <v>113.33333333333334</v>
      </c>
      <c r="J208" s="533"/>
      <c r="K208" s="462"/>
      <c r="O208" s="607"/>
      <c r="P208" s="607"/>
      <c r="Q208" s="607"/>
      <c r="R208" s="607"/>
      <c r="S208" s="607"/>
      <c r="T208" s="607"/>
      <c r="U208" s="607"/>
      <c r="V208" s="607"/>
    </row>
    <row r="209" spans="1:23" s="518" customFormat="1">
      <c r="A209" s="462"/>
      <c r="B209" s="462">
        <f t="shared" si="46"/>
        <v>10</v>
      </c>
      <c r="C209" s="528">
        <v>41974</v>
      </c>
      <c r="D209" s="531">
        <f t="shared" si="47"/>
        <v>113.33333333333334</v>
      </c>
      <c r="E209" s="532">
        <f t="shared" si="48"/>
        <v>56.666666666666664</v>
      </c>
      <c r="F209" s="532"/>
      <c r="G209" s="20">
        <f t="shared" si="43"/>
        <v>2.6500000000000003E-2</v>
      </c>
      <c r="H209" s="531">
        <f t="shared" si="44"/>
        <v>3.0033333333333339</v>
      </c>
      <c r="I209" s="531">
        <f t="shared" si="45"/>
        <v>56.666666666666679</v>
      </c>
      <c r="J209" s="531"/>
      <c r="K209" s="462"/>
      <c r="O209" s="607"/>
      <c r="P209" s="607"/>
      <c r="Q209" s="607"/>
      <c r="R209" s="607"/>
      <c r="S209" s="607"/>
      <c r="T209" s="607"/>
      <c r="U209" s="607"/>
      <c r="V209" s="607"/>
    </row>
    <row r="210" spans="1:23" s="518" customFormat="1">
      <c r="A210" s="462"/>
      <c r="B210" s="462">
        <f t="shared" si="46"/>
        <v>11</v>
      </c>
      <c r="C210" s="528">
        <v>42064</v>
      </c>
      <c r="D210" s="531">
        <f t="shared" si="47"/>
        <v>56.666666666666679</v>
      </c>
      <c r="E210" s="532">
        <f t="shared" si="48"/>
        <v>56.666666666666664</v>
      </c>
      <c r="F210" s="532"/>
      <c r="G210" s="20">
        <f t="shared" si="43"/>
        <v>2.6500000000000003E-2</v>
      </c>
      <c r="H210" s="531">
        <f t="shared" si="44"/>
        <v>1.5016666666666671</v>
      </c>
      <c r="I210" s="531">
        <f t="shared" si="45"/>
        <v>0</v>
      </c>
      <c r="J210" s="533"/>
      <c r="K210" s="462"/>
      <c r="O210" s="607"/>
      <c r="P210" s="607"/>
      <c r="Q210" s="607"/>
      <c r="R210" s="607"/>
      <c r="S210" s="607"/>
      <c r="T210" s="607"/>
      <c r="U210" s="607"/>
      <c r="V210" s="607"/>
    </row>
    <row r="211" spans="1:23" s="518" customFormat="1">
      <c r="A211" s="462"/>
      <c r="B211" s="462">
        <f t="shared" si="46"/>
        <v>12</v>
      </c>
      <c r="C211" s="528">
        <v>42156</v>
      </c>
      <c r="D211" s="531">
        <f t="shared" si="47"/>
        <v>0</v>
      </c>
      <c r="E211" s="532">
        <v>0</v>
      </c>
      <c r="F211" s="532"/>
      <c r="G211" s="20">
        <f t="shared" si="43"/>
        <v>2.6500000000000003E-2</v>
      </c>
      <c r="H211" s="531">
        <f t="shared" si="44"/>
        <v>0</v>
      </c>
      <c r="I211" s="531">
        <f t="shared" si="45"/>
        <v>0</v>
      </c>
      <c r="J211" s="531"/>
      <c r="K211" s="462"/>
      <c r="O211" s="607"/>
      <c r="P211" s="607"/>
      <c r="Q211" s="607"/>
      <c r="R211" s="607"/>
      <c r="S211" s="607"/>
      <c r="T211" s="607"/>
      <c r="U211" s="607"/>
      <c r="V211" s="607"/>
    </row>
    <row r="212" spans="1:23" s="518" customFormat="1">
      <c r="A212" s="462"/>
      <c r="B212" s="462">
        <f t="shared" si="46"/>
        <v>13</v>
      </c>
      <c r="C212" s="528">
        <v>42248</v>
      </c>
      <c r="D212" s="531">
        <f t="shared" si="47"/>
        <v>0</v>
      </c>
      <c r="E212" s="532">
        <v>0</v>
      </c>
      <c r="F212" s="532"/>
      <c r="G212" s="20">
        <f t="shared" si="43"/>
        <v>2.6500000000000003E-2</v>
      </c>
      <c r="H212" s="531">
        <f t="shared" si="44"/>
        <v>0</v>
      </c>
      <c r="I212" s="531">
        <f t="shared" si="45"/>
        <v>0</v>
      </c>
      <c r="J212" s="531"/>
      <c r="K212" s="462"/>
      <c r="O212" s="607"/>
      <c r="P212" s="607"/>
      <c r="Q212" s="607"/>
      <c r="R212" s="607"/>
      <c r="S212" s="607"/>
      <c r="T212" s="607"/>
      <c r="U212" s="607"/>
      <c r="V212" s="607"/>
    </row>
    <row r="213" spans="1:23" s="518" customFormat="1">
      <c r="A213" s="462"/>
      <c r="B213" s="462">
        <f t="shared" si="46"/>
        <v>14</v>
      </c>
      <c r="C213" s="528">
        <v>42339</v>
      </c>
      <c r="D213" s="531">
        <f t="shared" si="47"/>
        <v>0</v>
      </c>
      <c r="E213" s="532">
        <v>0</v>
      </c>
      <c r="F213" s="532"/>
      <c r="G213" s="20">
        <f t="shared" si="43"/>
        <v>2.6500000000000003E-2</v>
      </c>
      <c r="H213" s="531">
        <f t="shared" si="44"/>
        <v>0</v>
      </c>
      <c r="I213" s="531">
        <f t="shared" si="45"/>
        <v>0</v>
      </c>
      <c r="J213" s="531"/>
      <c r="K213" s="462"/>
      <c r="O213" s="607"/>
      <c r="P213" s="607"/>
      <c r="Q213" s="607"/>
      <c r="R213" s="607"/>
      <c r="S213" s="607"/>
      <c r="T213" s="607"/>
      <c r="U213" s="607"/>
      <c r="V213" s="607"/>
    </row>
    <row r="214" spans="1:23" s="518" customFormat="1">
      <c r="C214" s="529"/>
      <c r="D214" s="534"/>
      <c r="E214" s="535"/>
      <c r="F214" s="535"/>
      <c r="G214" s="45"/>
      <c r="H214" s="534"/>
      <c r="I214" s="608"/>
      <c r="J214" s="608"/>
      <c r="O214" s="607"/>
      <c r="P214" s="607"/>
      <c r="Q214" s="607"/>
      <c r="R214" s="607"/>
      <c r="S214" s="607"/>
      <c r="T214" s="607"/>
      <c r="U214" s="607"/>
      <c r="V214" s="607"/>
    </row>
    <row r="215" spans="1:23" s="518" customFormat="1" ht="13.5" thickBot="1">
      <c r="C215" s="529"/>
      <c r="D215" s="534"/>
      <c r="E215" s="535"/>
      <c r="F215" s="535"/>
      <c r="G215" s="45"/>
      <c r="H215" s="534"/>
      <c r="I215" s="608"/>
      <c r="J215" s="608"/>
      <c r="O215" s="607"/>
      <c r="P215" s="607"/>
      <c r="Q215" s="607"/>
      <c r="R215" s="607"/>
      <c r="S215" s="607"/>
      <c r="T215" s="607"/>
      <c r="U215" s="607"/>
      <c r="V215" s="607"/>
    </row>
    <row r="216" spans="1:23" ht="13.5" thickBot="1">
      <c r="A216" s="544" t="s">
        <v>555</v>
      </c>
      <c r="B216" s="540" t="s">
        <v>157</v>
      </c>
      <c r="C216" s="541" t="s">
        <v>158</v>
      </c>
      <c r="D216" s="541" t="s">
        <v>159</v>
      </c>
      <c r="E216" s="541" t="s">
        <v>538</v>
      </c>
      <c r="F216" s="541" t="s">
        <v>539</v>
      </c>
      <c r="G216" s="541" t="s">
        <v>543</v>
      </c>
      <c r="H216" s="542" t="s">
        <v>560</v>
      </c>
      <c r="I216" s="542" t="s">
        <v>587</v>
      </c>
      <c r="J216" s="542" t="s">
        <v>590</v>
      </c>
      <c r="K216" s="542" t="s">
        <v>619</v>
      </c>
      <c r="N216" s="544"/>
      <c r="O216" s="540"/>
      <c r="P216" s="541"/>
      <c r="Q216" s="541"/>
      <c r="R216" s="541"/>
      <c r="S216" s="541"/>
      <c r="T216" s="541"/>
      <c r="U216" s="542"/>
      <c r="V216" s="542"/>
      <c r="W216" s="518"/>
    </row>
    <row r="217" spans="1:23">
      <c r="A217" s="518" t="s">
        <v>556</v>
      </c>
      <c r="B217" s="545">
        <v>1030.5260000000001</v>
      </c>
      <c r="C217" s="546" t="e">
        <f>H10+H11+H22+H23+H44+H45+H70+H74+H83+H84+H128+H129+H151+H152+#REF!+#REF!+#REF!+#REF!+#REF!+#REF!+#REF!+#REF!+#REF!+#REF!+#REF!+#REF!+K171+K172</f>
        <v>#REF!</v>
      </c>
      <c r="D217" s="546" t="e">
        <f>H12+H13+H24+H25+H46+H61+#REF!+H130+H131+H153+H154+#REF!+#REF!+#REF!+#REF!+#REF!+#REF!+#REF!+#REF!+#REF!+#REF!+#REF!+#REF!+#REF!</f>
        <v>#REF!</v>
      </c>
      <c r="E217" s="546">
        <v>778.03499999999997</v>
      </c>
      <c r="F217" s="546">
        <v>657.69200000000001</v>
      </c>
      <c r="G217" s="546">
        <f>H10+H11+H22+H23+H24+H25+H44+H45+H46+H47+H70+H71+H72+H73+H83+H84+H85+H86+H128+H129+H130+H131+H156+H157+K171+K172+K182+K183+H200+H201+H202+H203</f>
        <v>404.12234923562454</v>
      </c>
      <c r="H217" s="26">
        <f>H12+H13+H26+H27+H28+H29+H48+H49+H50+H51+H87+H88+H89+H90+H132+H133+H134+H135+H158+H159+K186+K187+H204+H205+H206+H207</f>
        <v>184.31461997372159</v>
      </c>
      <c r="I217" s="546">
        <f>H30+H31+H32+H33+H52+H53+H54+H55+H91+H92+H93+H136+H137+H138+H139+H160+H161+K187+K188+H208+H209+H210+H211</f>
        <v>82.658032905884724</v>
      </c>
      <c r="J217" s="534">
        <f>H34+H35+H56+H57+H58+H59+H140+H141+H142+K188+K189+H212+H213</f>
        <v>25.925560087606534</v>
      </c>
      <c r="K217" s="545">
        <f>K191+K190</f>
        <v>9.389911130332024</v>
      </c>
      <c r="N217" s="547"/>
      <c r="O217" s="548"/>
      <c r="P217" s="549"/>
      <c r="Q217" s="549"/>
      <c r="R217" s="549"/>
      <c r="S217" s="549"/>
      <c r="T217" s="549"/>
      <c r="U217" s="549"/>
      <c r="V217" s="534"/>
      <c r="W217" s="518"/>
    </row>
    <row r="218" spans="1:23">
      <c r="A218" s="518" t="s">
        <v>557</v>
      </c>
      <c r="B218" s="545">
        <v>493.40100000000001</v>
      </c>
      <c r="C218" s="546" t="e">
        <f>#REF!</f>
        <v>#REF!</v>
      </c>
      <c r="D218" s="534" t="e">
        <f>#REF!</f>
        <v>#REF!</v>
      </c>
      <c r="E218" s="534">
        <v>1242.2460000000001</v>
      </c>
      <c r="F218" s="534">
        <v>958.97299999999996</v>
      </c>
      <c r="G218" s="534">
        <f>AVERAGE(G228,F228)*G231</f>
        <v>645.34068500000001</v>
      </c>
      <c r="H218" s="534">
        <f>AVERAGE(H228,G228)*H231</f>
        <v>467.5</v>
      </c>
      <c r="I218" s="534">
        <f>AVERAGE(I228,H228)*I231</f>
        <v>357.5</v>
      </c>
      <c r="J218" s="534">
        <f>AVERAGE(J228,I228)*J231</f>
        <v>330</v>
      </c>
      <c r="K218" s="534">
        <f>AVERAGE(K228,J228)*K231</f>
        <v>330</v>
      </c>
      <c r="N218" s="518"/>
      <c r="O218" s="545"/>
      <c r="P218" s="545"/>
      <c r="Q218" s="545"/>
      <c r="R218" s="545"/>
      <c r="S218" s="545"/>
      <c r="T218" s="545"/>
      <c r="U218" s="545"/>
      <c r="V218" s="545"/>
      <c r="W218" s="518"/>
    </row>
    <row r="219" spans="1:23">
      <c r="A219" s="518" t="s">
        <v>558</v>
      </c>
      <c r="B219" s="545">
        <v>0.52200000000000002</v>
      </c>
      <c r="C219" s="550"/>
      <c r="D219" s="551"/>
      <c r="E219" s="551">
        <v>1.0900000000000001</v>
      </c>
      <c r="F219" s="92">
        <v>1.1910000000000001</v>
      </c>
      <c r="G219" s="92">
        <f t="shared" ref="G219:K220" si="49">AVERAGE(E219:F219)</f>
        <v>1.1405000000000001</v>
      </c>
      <c r="H219" s="92">
        <f t="shared" si="49"/>
        <v>1.1657500000000001</v>
      </c>
      <c r="I219" s="92">
        <f t="shared" si="49"/>
        <v>1.1531250000000002</v>
      </c>
      <c r="J219" s="92">
        <f t="shared" si="49"/>
        <v>1.1594375000000001</v>
      </c>
      <c r="K219" s="92">
        <f t="shared" si="49"/>
        <v>1.1562812500000001</v>
      </c>
      <c r="N219" s="518"/>
      <c r="O219" s="545"/>
      <c r="P219" s="545"/>
      <c r="Q219" s="545"/>
      <c r="R219" s="545"/>
      <c r="S219" s="545"/>
      <c r="T219" s="545"/>
      <c r="U219" s="545"/>
      <c r="V219" s="518"/>
      <c r="W219" s="518"/>
    </row>
    <row r="220" spans="1:23">
      <c r="A220" s="518" t="s">
        <v>559</v>
      </c>
      <c r="B220" s="545">
        <f>4.165+205.308+15.352+0.563</f>
        <v>225.38799999999998</v>
      </c>
      <c r="C220" s="545">
        <f>B220</f>
        <v>225.38799999999998</v>
      </c>
      <c r="D220" s="551"/>
      <c r="E220" s="551">
        <f>21.242+36.533</f>
        <v>57.775000000000006</v>
      </c>
      <c r="F220" s="92">
        <f>15.02+37.908</f>
        <v>52.927999999999997</v>
      </c>
      <c r="G220" s="92">
        <f t="shared" si="49"/>
        <v>55.351500000000001</v>
      </c>
      <c r="H220" s="92">
        <f t="shared" si="49"/>
        <v>54.139749999999999</v>
      </c>
      <c r="I220" s="92">
        <f t="shared" si="49"/>
        <v>54.745625000000004</v>
      </c>
      <c r="J220" s="92">
        <f t="shared" si="49"/>
        <v>54.442687500000005</v>
      </c>
      <c r="K220" s="92">
        <f t="shared" si="49"/>
        <v>54.594156250000005</v>
      </c>
      <c r="N220" s="518"/>
      <c r="O220" s="518"/>
      <c r="P220" s="45"/>
      <c r="Q220" s="45"/>
      <c r="R220" s="45"/>
      <c r="S220" s="45"/>
      <c r="T220" s="45"/>
      <c r="U220" s="45"/>
      <c r="V220" s="518"/>
      <c r="W220" s="518"/>
    </row>
    <row r="221" spans="1:23" ht="13.5" thickBot="1">
      <c r="A221" s="518"/>
      <c r="B221" s="518"/>
      <c r="C221" s="550"/>
      <c r="D221" s="551"/>
      <c r="E221" s="551"/>
      <c r="F221" s="551"/>
      <c r="G221" s="552"/>
      <c r="H221" s="551"/>
      <c r="I221" s="534"/>
      <c r="J221" s="534"/>
      <c r="K221" s="518"/>
      <c r="N221" s="518"/>
      <c r="O221" s="518"/>
      <c r="P221" s="518"/>
      <c r="Q221" s="518"/>
      <c r="R221" s="518"/>
      <c r="S221" s="518"/>
      <c r="T221" s="518"/>
      <c r="U221" s="518"/>
      <c r="V221" s="518"/>
      <c r="W221" s="518"/>
    </row>
    <row r="222" spans="1:23" ht="13.5" thickBot="1">
      <c r="A222" s="547" t="s">
        <v>555</v>
      </c>
      <c r="B222" s="871">
        <f>SUM(B217:B221)</f>
        <v>1749.837</v>
      </c>
      <c r="C222" s="871" t="e">
        <f t="shared" ref="C222:K222" si="50">SUM(C217:C220)</f>
        <v>#REF!</v>
      </c>
      <c r="D222" s="871" t="e">
        <f t="shared" si="50"/>
        <v>#REF!</v>
      </c>
      <c r="E222" s="871">
        <f t="shared" si="50"/>
        <v>2079.1459999999997</v>
      </c>
      <c r="F222" s="871">
        <f t="shared" si="50"/>
        <v>1670.7840000000001</v>
      </c>
      <c r="G222" s="871">
        <f t="shared" si="50"/>
        <v>1105.9550342356245</v>
      </c>
      <c r="H222" s="871">
        <f t="shared" si="50"/>
        <v>707.12011997372167</v>
      </c>
      <c r="I222" s="871">
        <f t="shared" si="50"/>
        <v>496.05678290588475</v>
      </c>
      <c r="J222" s="871">
        <f t="shared" si="50"/>
        <v>411.52768508760653</v>
      </c>
      <c r="K222" s="871">
        <f t="shared" si="50"/>
        <v>395.14034863033208</v>
      </c>
      <c r="N222" s="518"/>
      <c r="O222" s="518"/>
      <c r="P222" s="26"/>
      <c r="Q222" s="26"/>
      <c r="R222" s="26"/>
      <c r="S222" s="26"/>
      <c r="T222" s="26"/>
      <c r="U222" s="26"/>
      <c r="V222" s="26"/>
      <c r="W222" s="518"/>
    </row>
    <row r="223" spans="1:23" ht="13.5" thickTop="1">
      <c r="A223" s="518"/>
      <c r="B223" s="518"/>
      <c r="C223" s="529"/>
      <c r="D223" s="534"/>
      <c r="E223" s="535"/>
      <c r="F223" s="535"/>
      <c r="G223" s="45"/>
      <c r="H223" s="534"/>
      <c r="I223" s="534"/>
      <c r="J223" s="534"/>
      <c r="K223" s="518"/>
      <c r="N223" s="518"/>
      <c r="O223" s="518"/>
      <c r="P223" s="45"/>
      <c r="Q223" s="45"/>
      <c r="R223" s="45"/>
      <c r="S223" s="45"/>
      <c r="T223" s="45"/>
      <c r="U223" s="45"/>
      <c r="V223" s="45"/>
      <c r="W223" s="518"/>
    </row>
    <row r="224" spans="1:23">
      <c r="A224" s="518" t="s">
        <v>561</v>
      </c>
      <c r="B224" s="518"/>
      <c r="C224" s="546" t="e">
        <f>L172+#REF!+#REF!+#REF!+#REF!+#REF!+#REF!+I152+I129+I84+I45+I23+I11</f>
        <v>#REF!</v>
      </c>
      <c r="D224" s="546" t="e">
        <f>#REF!+#REF!+#REF!+#REF!+#REF!+#REF!+#REF!+I154+I131</f>
        <v>#REF!</v>
      </c>
      <c r="E224" s="546">
        <f>4880.579+2001.566</f>
        <v>6882.1449999999995</v>
      </c>
      <c r="F224" s="328">
        <f>D10+D22+D44+D70+D83+D128+D151+D176+D200+D165</f>
        <v>6535.8509999999997</v>
      </c>
      <c r="G224" s="328">
        <v>4327.8410000000003</v>
      </c>
      <c r="H224" s="328">
        <f>G226</f>
        <v>2899.1870000000004</v>
      </c>
      <c r="I224" s="328">
        <f>H226</f>
        <v>1455.0647689935065</v>
      </c>
      <c r="J224" s="328">
        <f>I226</f>
        <v>669.66814916396106</v>
      </c>
      <c r="K224" s="328"/>
      <c r="L224" s="465"/>
      <c r="M224" s="465"/>
      <c r="N224" s="547"/>
      <c r="O224" s="547"/>
      <c r="P224" s="25"/>
      <c r="Q224" s="25"/>
      <c r="R224" s="885"/>
      <c r="S224" s="25"/>
      <c r="T224" s="25"/>
      <c r="U224" s="25"/>
      <c r="V224" s="25"/>
      <c r="W224" s="518"/>
    </row>
    <row r="225" spans="1:23">
      <c r="A225" s="518" t="s">
        <v>562</v>
      </c>
      <c r="B225" s="518"/>
      <c r="C225" s="553" t="e">
        <f>F10+F11+F22+F23+F44+F45+F70+F74+F83+F84+F128+F129+F151+F152+#REF!+#REF!+#REF!+#REF!+#REF!+#REF!+#REF!+#REF!+#REF!+#REF!+J171+J172</f>
        <v>#REF!</v>
      </c>
      <c r="D225" s="553" t="e">
        <f>F12+F13+F24+F25+F46+F61+#REF!+F130+F131+F153+F154+#REF!+#REF!+#REF!+#REF!+#REF!+#REF!+#REF!+#REF!+#REF!+#REF!+#REF!+#REF!+#REF!</f>
        <v>#REF!</v>
      </c>
      <c r="E225" s="553">
        <v>2001.566</v>
      </c>
      <c r="F225" s="328">
        <f>E10+E11+E22+E23+E24+E25+E44+E45+E46+E47+E70+E71+E72+E73+E83+E84+E85+E86+E128+E129+E130+E131+D165+E200+E201+E202+E203</f>
        <v>2323.4689740259746</v>
      </c>
      <c r="G225" s="328">
        <v>1428.654</v>
      </c>
      <c r="H225" s="328">
        <f>E30+E31+E32+E33+E52+E53+E54+E55+E91+E92+E93+E139+E136+E137+E138+E160+E161+J186+J187+E208+E209+E210+E211+E110+E111+E112+E113</f>
        <v>1444.1222310064938</v>
      </c>
      <c r="I225" s="328">
        <f>E34+E35+E56+E57+E58+E59+E140+E141+E142+J188+J189+E212+E213+E110+E111+E112+E113</f>
        <v>785.39661982954544</v>
      </c>
      <c r="J225" s="328">
        <f>J224</f>
        <v>669.66814916396106</v>
      </c>
      <c r="K225" s="328"/>
      <c r="L225" s="465"/>
      <c r="M225" s="465"/>
      <c r="N225" s="518"/>
      <c r="O225" s="518"/>
      <c r="P225" s="26"/>
      <c r="Q225" s="26"/>
      <c r="R225" s="26"/>
      <c r="S225" s="26"/>
      <c r="T225" s="26"/>
      <c r="U225" s="26"/>
      <c r="V225" s="518"/>
      <c r="W225" s="518"/>
    </row>
    <row r="226" spans="1:23">
      <c r="A226" s="518" t="s">
        <v>688</v>
      </c>
      <c r="B226" s="518"/>
      <c r="C226" s="26" t="e">
        <f>SUM(C224:C225)</f>
        <v>#REF!</v>
      </c>
      <c r="D226" s="26" t="e">
        <f>SUM(D224:D225)</f>
        <v>#REF!</v>
      </c>
      <c r="E226" s="26">
        <f t="shared" ref="E226:J226" si="51">E224-E225</f>
        <v>4880.5789999999997</v>
      </c>
      <c r="F226" s="328">
        <f t="shared" si="51"/>
        <v>4212.3820259740251</v>
      </c>
      <c r="G226" s="328">
        <f t="shared" si="51"/>
        <v>2899.1870000000004</v>
      </c>
      <c r="H226" s="328">
        <f t="shared" si="51"/>
        <v>1455.0647689935065</v>
      </c>
      <c r="I226" s="328">
        <f t="shared" si="51"/>
        <v>669.66814916396106</v>
      </c>
      <c r="J226" s="328">
        <f t="shared" si="51"/>
        <v>0</v>
      </c>
      <c r="K226" s="328"/>
      <c r="L226" s="465"/>
      <c r="M226" s="465"/>
      <c r="N226" s="314"/>
      <c r="O226" s="518"/>
      <c r="P226" s="45"/>
      <c r="Q226" s="45"/>
      <c r="R226" s="45"/>
      <c r="S226" s="45"/>
      <c r="T226" s="45"/>
      <c r="U226" s="45"/>
      <c r="V226" s="518"/>
      <c r="W226" s="518"/>
    </row>
    <row r="227" spans="1:23">
      <c r="A227" s="518"/>
      <c r="B227" s="518"/>
      <c r="C227" s="45"/>
      <c r="D227" s="45"/>
      <c r="E227" s="45"/>
      <c r="F227" s="45"/>
      <c r="G227" s="45"/>
      <c r="H227" s="534"/>
      <c r="I227" s="534"/>
      <c r="J227" s="534"/>
      <c r="K227" s="518"/>
      <c r="N227" s="518"/>
      <c r="O227" s="518"/>
      <c r="P227" s="518"/>
      <c r="Q227" s="518"/>
      <c r="R227" s="518"/>
      <c r="S227" s="518"/>
      <c r="T227" s="518"/>
      <c r="U227" s="518"/>
      <c r="V227" s="518"/>
      <c r="W227" s="518"/>
    </row>
    <row r="228" spans="1:23">
      <c r="A228" s="518" t="s">
        <v>687</v>
      </c>
      <c r="B228" s="518"/>
      <c r="C228" s="92"/>
      <c r="D228" s="92"/>
      <c r="E228" s="92">
        <v>8691.982</v>
      </c>
      <c r="F228" s="92">
        <v>6733.4669999999996</v>
      </c>
      <c r="G228" s="92">
        <v>5000</v>
      </c>
      <c r="H228" s="92">
        <v>3500</v>
      </c>
      <c r="I228" s="92">
        <v>3000</v>
      </c>
      <c r="J228" s="534">
        <v>3000</v>
      </c>
      <c r="K228" s="518">
        <v>3000</v>
      </c>
      <c r="L228" s="518">
        <v>3000</v>
      </c>
      <c r="M228" s="518">
        <v>3000</v>
      </c>
      <c r="N228" s="547"/>
      <c r="O228" s="547"/>
      <c r="P228" s="547"/>
      <c r="Q228" s="547"/>
      <c r="R228" s="547"/>
      <c r="S228" s="547"/>
      <c r="T228" s="547"/>
      <c r="U228" s="547"/>
      <c r="V228" s="547"/>
      <c r="W228" s="518"/>
    </row>
    <row r="229" spans="1:23">
      <c r="A229" s="518"/>
      <c r="B229" s="518"/>
      <c r="C229" s="45"/>
      <c r="D229" s="45"/>
      <c r="E229" s="45"/>
      <c r="F229" s="45"/>
      <c r="G229" s="45"/>
      <c r="H229" s="534"/>
      <c r="I229" s="534"/>
      <c r="J229" s="534"/>
      <c r="K229" s="518"/>
      <c r="N229" s="547"/>
      <c r="O229" s="548"/>
      <c r="P229" s="547"/>
      <c r="Q229" s="608"/>
      <c r="R229" s="608"/>
      <c r="S229" s="608"/>
      <c r="T229" s="608"/>
      <c r="U229" s="608"/>
      <c r="V229" s="518"/>
      <c r="W229" s="518"/>
    </row>
    <row r="230" spans="1:23">
      <c r="A230" s="518" t="s">
        <v>556</v>
      </c>
      <c r="B230" s="518"/>
      <c r="C230" s="26" t="e">
        <f>C229*(C225+C224)</f>
        <v>#REF!</v>
      </c>
      <c r="D230" s="26" t="e">
        <f>D229*(D225+D224)</f>
        <v>#REF!</v>
      </c>
      <c r="E230" s="314">
        <f>E217/E224</f>
        <v>0.11305123620615375</v>
      </c>
      <c r="F230" s="314">
        <f>F217/F224</f>
        <v>0.10062836499791689</v>
      </c>
      <c r="G230" s="314">
        <f>G217/G226</f>
        <v>0.13939161193659619</v>
      </c>
      <c r="H230" s="314">
        <f>H217/H226</f>
        <v>0.12667107602448185</v>
      </c>
      <c r="I230" s="314">
        <f>I217/I226</f>
        <v>0.12343133387645526</v>
      </c>
      <c r="J230" s="314" t="e">
        <f>J217/J226</f>
        <v>#DIV/0!</v>
      </c>
      <c r="K230" s="314" t="e">
        <f>K217/K226</f>
        <v>#DIV/0!</v>
      </c>
      <c r="N230" s="518"/>
      <c r="O230" s="518"/>
      <c r="P230" s="518"/>
      <c r="Q230" s="518"/>
      <c r="R230" s="518"/>
      <c r="S230" s="518"/>
      <c r="T230" s="518"/>
      <c r="U230" s="518"/>
      <c r="V230" s="518"/>
      <c r="W230" s="518"/>
    </row>
    <row r="231" spans="1:23" ht="13.5" thickBot="1">
      <c r="A231" s="518" t="s">
        <v>557</v>
      </c>
      <c r="B231" s="518"/>
      <c r="C231" s="26" t="e">
        <f>#REF!</f>
        <v>#REF!</v>
      </c>
      <c r="D231" s="26">
        <f>G238*D227</f>
        <v>0</v>
      </c>
      <c r="E231" s="45">
        <f>E218/E228</f>
        <v>0.14291861165842268</v>
      </c>
      <c r="F231" s="45">
        <f>F218/F228</f>
        <v>0.14241890544648098</v>
      </c>
      <c r="G231" s="45">
        <v>0.11</v>
      </c>
      <c r="H231" s="45">
        <f>G231</f>
        <v>0.11</v>
      </c>
      <c r="I231" s="45">
        <f>H231</f>
        <v>0.11</v>
      </c>
      <c r="J231" s="45">
        <f>I231</f>
        <v>0.11</v>
      </c>
      <c r="K231" s="45">
        <f>J231</f>
        <v>0.11</v>
      </c>
      <c r="N231" s="886"/>
      <c r="O231" s="886"/>
      <c r="P231" s="887"/>
      <c r="Q231" s="887"/>
      <c r="R231" s="887"/>
      <c r="S231" s="887"/>
      <c r="T231" s="887"/>
      <c r="U231" s="887"/>
      <c r="V231" s="887"/>
      <c r="W231" s="518"/>
    </row>
    <row r="232" spans="1:23">
      <c r="A232" s="547"/>
      <c r="B232" s="547"/>
      <c r="C232" s="25"/>
      <c r="D232" s="25"/>
      <c r="E232" s="25"/>
      <c r="F232" s="25"/>
      <c r="G232" s="25"/>
      <c r="H232" s="534"/>
      <c r="I232" s="534"/>
      <c r="J232" s="534"/>
      <c r="K232" s="518"/>
      <c r="N232" s="518"/>
      <c r="O232" s="518"/>
      <c r="P232" s="545"/>
      <c r="Q232" s="545"/>
      <c r="R232" s="545"/>
      <c r="S232" s="545"/>
      <c r="T232" s="545"/>
      <c r="U232" s="518"/>
      <c r="V232" s="518"/>
      <c r="W232" s="518"/>
    </row>
    <row r="233" spans="1:23">
      <c r="A233" s="461" t="s">
        <v>698</v>
      </c>
      <c r="E233" s="11">
        <f>BS!P17</f>
        <v>30217.282999999996</v>
      </c>
      <c r="F233" s="11">
        <f>BS!Q17</f>
        <v>32930.631999999998</v>
      </c>
      <c r="G233" s="11">
        <f>BS!R17</f>
        <v>47956.797999999995</v>
      </c>
      <c r="H233" s="11">
        <f>BS!S17</f>
        <v>61516.534999999996</v>
      </c>
      <c r="I233" s="11">
        <f>BS!T17</f>
        <v>67047.941150690109</v>
      </c>
      <c r="J233" s="11">
        <f>BS!U17</f>
        <v>72837.978536923532</v>
      </c>
      <c r="K233" s="11">
        <f>BS!V17</f>
        <v>78404.313271509716</v>
      </c>
      <c r="L233" s="11">
        <f>BS!W17</f>
        <v>83930.940373783335</v>
      </c>
      <c r="M233" s="11">
        <f>BS!X17</f>
        <v>89000.447099493016</v>
      </c>
      <c r="N233" s="518"/>
      <c r="O233" s="518"/>
      <c r="P233" s="45"/>
      <c r="Q233" s="45"/>
      <c r="R233" s="45"/>
      <c r="S233" s="45"/>
      <c r="T233" s="45"/>
      <c r="U233" s="518"/>
      <c r="V233" s="518"/>
      <c r="W233" s="518"/>
    </row>
    <row r="234" spans="1:23">
      <c r="A234" s="461" t="s">
        <v>700</v>
      </c>
      <c r="E234" s="11"/>
      <c r="F234" s="11"/>
      <c r="G234" s="11">
        <f>BS!R7/10*52</f>
        <v>22782.193200000002</v>
      </c>
      <c r="H234" s="11">
        <f>G234</f>
        <v>22782.193200000002</v>
      </c>
      <c r="I234" s="11">
        <f>H234</f>
        <v>22782.193200000002</v>
      </c>
      <c r="J234" s="11">
        <f>I234</f>
        <v>22782.193200000002</v>
      </c>
      <c r="K234" s="11">
        <f>J234</f>
        <v>22782.193200000002</v>
      </c>
      <c r="N234" s="518">
        <f>4.63+6.7+2.165</f>
        <v>13.495000000000001</v>
      </c>
      <c r="O234" s="518"/>
      <c r="P234" s="45"/>
      <c r="Q234" s="45"/>
      <c r="R234" s="45"/>
      <c r="S234" s="45"/>
      <c r="T234" s="45"/>
      <c r="U234" s="518"/>
      <c r="V234" s="518"/>
      <c r="W234" s="518"/>
    </row>
    <row r="235" spans="1:23">
      <c r="A235" s="461" t="s">
        <v>498</v>
      </c>
      <c r="E235" s="11">
        <f>BS!P60</f>
        <v>49703.228999999992</v>
      </c>
      <c r="F235" s="11">
        <f>BS!Q60</f>
        <v>50685.198999999993</v>
      </c>
      <c r="G235" s="11">
        <f>BS!R60</f>
        <v>63526.718999999997</v>
      </c>
      <c r="H235" s="11">
        <f>BS!S60</f>
        <v>73282.068999999989</v>
      </c>
      <c r="I235" s="11">
        <f>BS!T60</f>
        <v>78896.484736302198</v>
      </c>
      <c r="J235" s="11">
        <f>BS!U60</f>
        <v>84103.953761955723</v>
      </c>
      <c r="K235" s="11">
        <f>BS!V60</f>
        <v>89139.909582862849</v>
      </c>
      <c r="L235" s="32">
        <f>L234/53.584</f>
        <v>0</v>
      </c>
      <c r="M235" s="32">
        <f>M234/53.584</f>
        <v>0</v>
      </c>
      <c r="N235" s="45">
        <f>N234/50.685</f>
        <v>0.26625234290223931</v>
      </c>
      <c r="O235" s="518"/>
      <c r="P235" s="518"/>
      <c r="Q235" s="518"/>
      <c r="R235" s="518"/>
      <c r="S235" s="518"/>
      <c r="T235" s="518"/>
      <c r="U235" s="518"/>
      <c r="V235" s="518"/>
      <c r="W235" s="518"/>
    </row>
    <row r="236" spans="1:23">
      <c r="E236" s="465">
        <f>(E224+E228)/E235</f>
        <v>0.313342358501497</v>
      </c>
      <c r="F236" s="465">
        <f t="shared" ref="F236:K236" si="52">(F224+F228)/F235</f>
        <v>0.26179867617763525</v>
      </c>
      <c r="G236" s="465">
        <f t="shared" si="52"/>
        <v>0.14683335054656294</v>
      </c>
      <c r="H236" s="465">
        <f t="shared" si="52"/>
        <v>8.7322684625621053E-2</v>
      </c>
      <c r="I236" s="465">
        <f t="shared" si="52"/>
        <v>5.6467215033518758E-2</v>
      </c>
      <c r="J236" s="465">
        <f t="shared" si="52"/>
        <v>4.3632528377327361E-2</v>
      </c>
      <c r="K236" s="465">
        <f t="shared" si="52"/>
        <v>3.3654958974478816E-2</v>
      </c>
      <c r="N236" s="518"/>
      <c r="O236" s="518"/>
      <c r="P236" s="518"/>
      <c r="Q236" s="518"/>
      <c r="R236" s="518"/>
      <c r="S236" s="518"/>
      <c r="T236" s="518"/>
      <c r="U236" s="518"/>
      <c r="V236" s="518"/>
      <c r="W236" s="518"/>
    </row>
    <row r="237" spans="1:23">
      <c r="A237" s="547" t="s">
        <v>695</v>
      </c>
      <c r="B237" s="518"/>
      <c r="C237" s="518"/>
      <c r="D237" s="518"/>
      <c r="E237" s="314">
        <f t="shared" ref="E237:K237" si="53">(E217+E218)/(E228+E224)</f>
        <v>0.12972033681245826</v>
      </c>
      <c r="F237" s="314">
        <f t="shared" si="53"/>
        <v>0.12183482225687861</v>
      </c>
      <c r="G237" s="314">
        <f t="shared" si="53"/>
        <v>0.11250867529105872</v>
      </c>
      <c r="H237" s="314">
        <f>(H217+H218)/(H228+H224)</f>
        <v>0.10185897364363967</v>
      </c>
      <c r="I237" s="314">
        <f t="shared" si="53"/>
        <v>9.8799468858300293E-2</v>
      </c>
      <c r="J237" s="314">
        <f t="shared" si="53"/>
        <v>9.6991211635497607E-2</v>
      </c>
      <c r="K237" s="314">
        <f t="shared" si="53"/>
        <v>0.11312997037677736</v>
      </c>
      <c r="L237" s="1208">
        <f>K237</f>
        <v>0.11312997037677736</v>
      </c>
      <c r="M237" s="1208">
        <f>L237</f>
        <v>0.11312997037677736</v>
      </c>
      <c r="N237" s="518"/>
      <c r="O237" s="518"/>
      <c r="P237" s="518"/>
      <c r="Q237" s="518"/>
      <c r="R237" s="518"/>
      <c r="S237" s="518"/>
      <c r="T237" s="518"/>
      <c r="U237" s="518"/>
      <c r="V237" s="518"/>
      <c r="W237" s="518"/>
    </row>
    <row r="238" spans="1:23">
      <c r="A238" s="518" t="s">
        <v>697</v>
      </c>
      <c r="B238" s="518"/>
      <c r="C238" s="554"/>
      <c r="D238" s="518"/>
      <c r="E238" s="314">
        <f t="shared" ref="E238:K238" si="54">(E224+E228)/(E224+E228+E233)</f>
        <v>0.34011023028118159</v>
      </c>
      <c r="F238" s="314">
        <f t="shared" si="54"/>
        <v>0.28721498616340496</v>
      </c>
      <c r="G238" s="314">
        <f t="shared" si="54"/>
        <v>0.16283319861717208</v>
      </c>
      <c r="H238" s="314">
        <f t="shared" si="54"/>
        <v>9.422246884160343E-2</v>
      </c>
      <c r="I238" s="314">
        <f t="shared" si="54"/>
        <v>6.2305978772384731E-2</v>
      </c>
      <c r="J238" s="314">
        <f t="shared" si="54"/>
        <v>4.7964723895124989E-2</v>
      </c>
      <c r="K238" s="314">
        <f t="shared" si="54"/>
        <v>3.685308406194681E-2</v>
      </c>
      <c r="L238" s="314">
        <f t="shared" ref="L238:M238" si="55">(L224+L228)/(L224+L228+L233)</f>
        <v>3.4510152393390434E-2</v>
      </c>
      <c r="M238" s="314">
        <f t="shared" si="55"/>
        <v>3.2608537181951718E-2</v>
      </c>
      <c r="N238" s="518"/>
      <c r="O238" s="518"/>
      <c r="P238" s="518"/>
      <c r="Q238" s="45"/>
      <c r="R238" s="518"/>
      <c r="S238" s="518"/>
      <c r="T238" s="518"/>
      <c r="U238" s="518"/>
      <c r="V238" s="518"/>
      <c r="W238" s="518"/>
    </row>
    <row r="239" spans="1:23">
      <c r="A239" s="518" t="s">
        <v>699</v>
      </c>
      <c r="B239" s="92"/>
      <c r="C239" s="92"/>
      <c r="D239" s="92"/>
      <c r="E239" s="890">
        <f>1-E238</f>
        <v>0.65988976971881841</v>
      </c>
      <c r="F239" s="890">
        <f t="shared" ref="F239:K239" si="56">1-F238</f>
        <v>0.71278501383659498</v>
      </c>
      <c r="G239" s="890">
        <f t="shared" si="56"/>
        <v>0.83716680138282795</v>
      </c>
      <c r="H239" s="890">
        <f t="shared" si="56"/>
        <v>0.90577753115839654</v>
      </c>
      <c r="I239" s="890">
        <f t="shared" si="56"/>
        <v>0.93769402122761525</v>
      </c>
      <c r="J239" s="890">
        <f t="shared" si="56"/>
        <v>0.95203527610487504</v>
      </c>
      <c r="K239" s="890">
        <f t="shared" si="56"/>
        <v>0.96314691593805324</v>
      </c>
      <c r="L239" s="890">
        <f t="shared" ref="L239:M239" si="57">1-L238</f>
        <v>0.96548984760660961</v>
      </c>
      <c r="M239" s="890">
        <f t="shared" si="57"/>
        <v>0.96739146281804833</v>
      </c>
      <c r="N239" s="518"/>
      <c r="O239" s="518"/>
      <c r="P239" s="45"/>
      <c r="Q239" s="518"/>
      <c r="R239" s="518"/>
      <c r="S239" s="518"/>
      <c r="T239" s="518"/>
      <c r="U239" s="518"/>
      <c r="V239" s="518"/>
      <c r="W239" s="518"/>
    </row>
    <row r="240" spans="1:23">
      <c r="A240" s="547" t="s">
        <v>701</v>
      </c>
      <c r="B240" s="45"/>
      <c r="C240" s="518"/>
      <c r="D240" s="555"/>
      <c r="E240" s="555"/>
      <c r="F240" s="555"/>
      <c r="G240" s="555"/>
      <c r="H240" s="555"/>
      <c r="I240" s="518"/>
      <c r="J240" s="518"/>
      <c r="K240" s="518"/>
      <c r="N240" s="518"/>
      <c r="O240" s="518"/>
      <c r="P240" s="45"/>
      <c r="Q240" s="518"/>
      <c r="R240" s="518"/>
      <c r="S240" s="518"/>
      <c r="T240" s="518"/>
      <c r="U240" s="518"/>
      <c r="V240" s="518"/>
      <c r="W240" s="518"/>
    </row>
    <row r="241" spans="1:23">
      <c r="A241" s="461" t="s">
        <v>229</v>
      </c>
      <c r="B241" s="518"/>
      <c r="C241" s="543"/>
      <c r="D241" s="543"/>
      <c r="E241" s="543"/>
      <c r="F241" s="891">
        <f t="shared" ref="F241:K241" si="58">(F224+F228)/(F224+F228+F234)</f>
        <v>1</v>
      </c>
      <c r="G241" s="891">
        <f t="shared" si="58"/>
        <v>0.2904961402999689</v>
      </c>
      <c r="H241" s="891">
        <f t="shared" si="58"/>
        <v>0.21929007319537272</v>
      </c>
      <c r="I241" s="891">
        <f t="shared" si="58"/>
        <v>0.16356509800160818</v>
      </c>
      <c r="J241" s="891">
        <f t="shared" si="58"/>
        <v>0.1387300538409916</v>
      </c>
      <c r="K241" s="891">
        <f t="shared" si="58"/>
        <v>0.11635937938747584</v>
      </c>
      <c r="N241" s="518"/>
      <c r="O241" s="518"/>
      <c r="P241" s="518"/>
      <c r="Q241" s="518"/>
      <c r="R241" s="518"/>
      <c r="S241" s="518"/>
      <c r="T241" s="518"/>
      <c r="U241" s="518"/>
      <c r="V241" s="518"/>
      <c r="W241" s="518"/>
    </row>
    <row r="242" spans="1:23">
      <c r="A242" s="518" t="s">
        <v>286</v>
      </c>
      <c r="B242" s="518"/>
      <c r="C242" s="92"/>
      <c r="D242" s="518"/>
      <c r="E242" s="535"/>
      <c r="F242" s="892">
        <f t="shared" ref="F242:K242" si="59">1-F241</f>
        <v>0</v>
      </c>
      <c r="G242" s="892">
        <f t="shared" si="59"/>
        <v>0.70950385970003116</v>
      </c>
      <c r="H242" s="892">
        <f t="shared" si="59"/>
        <v>0.78070992680462725</v>
      </c>
      <c r="I242" s="892">
        <f t="shared" si="59"/>
        <v>0.83643490199839188</v>
      </c>
      <c r="J242" s="892">
        <f t="shared" si="59"/>
        <v>0.86126994615900843</v>
      </c>
      <c r="K242" s="892">
        <f t="shared" si="59"/>
        <v>0.88364062061252413</v>
      </c>
      <c r="N242" s="518"/>
      <c r="O242" s="518"/>
      <c r="P242" s="518"/>
      <c r="Q242" s="518"/>
      <c r="R242" s="518"/>
      <c r="S242" s="518"/>
      <c r="T242" s="518"/>
      <c r="U242" s="518"/>
      <c r="V242" s="518"/>
      <c r="W242" s="518"/>
    </row>
    <row r="243" spans="1:23">
      <c r="A243" s="518"/>
      <c r="B243" s="518"/>
      <c r="C243" s="92"/>
      <c r="D243" s="534"/>
      <c r="E243" s="535"/>
      <c r="F243" s="535"/>
      <c r="G243" s="45"/>
      <c r="H243" s="534"/>
      <c r="I243" s="534"/>
      <c r="J243" s="534"/>
      <c r="K243" s="518"/>
      <c r="N243" s="518"/>
      <c r="O243" s="518"/>
      <c r="P243" s="518"/>
      <c r="Q243" s="518"/>
      <c r="R243" s="518"/>
      <c r="S243" s="518"/>
      <c r="T243" s="518"/>
      <c r="U243" s="518"/>
      <c r="V243" s="518"/>
      <c r="W243" s="518"/>
    </row>
    <row r="244" spans="1:23">
      <c r="A244" s="461" t="s">
        <v>696</v>
      </c>
      <c r="B244" s="518"/>
      <c r="C244" s="92"/>
      <c r="D244" s="92"/>
      <c r="E244" s="535"/>
      <c r="F244" s="535"/>
      <c r="G244" s="314">
        <f>DCF!C37</f>
        <v>0.22681000000000001</v>
      </c>
      <c r="H244" s="314">
        <f t="shared" ref="H244:K245" si="60">G244</f>
        <v>0.22681000000000001</v>
      </c>
      <c r="I244" s="314">
        <f t="shared" si="60"/>
        <v>0.22681000000000001</v>
      </c>
      <c r="J244" s="314">
        <f t="shared" si="60"/>
        <v>0.22681000000000001</v>
      </c>
      <c r="K244" s="314">
        <f t="shared" si="60"/>
        <v>0.22681000000000001</v>
      </c>
      <c r="N244" s="518"/>
      <c r="O244" s="518"/>
      <c r="P244" s="518"/>
      <c r="Q244" s="518"/>
      <c r="R244" s="518"/>
      <c r="S244" s="518"/>
      <c r="T244" s="518"/>
      <c r="U244" s="518"/>
      <c r="V244" s="518"/>
      <c r="W244" s="518"/>
    </row>
    <row r="245" spans="1:23">
      <c r="B245" s="518"/>
      <c r="C245" s="92"/>
      <c r="D245" s="534"/>
      <c r="E245" s="535"/>
      <c r="F245" s="535"/>
      <c r="G245" s="314">
        <f>G231*(1-IS!BJ48)</f>
        <v>8.5294631036866853E-2</v>
      </c>
      <c r="H245" s="314">
        <f t="shared" si="60"/>
        <v>8.5294631036866853E-2</v>
      </c>
      <c r="I245" s="314">
        <f t="shared" si="60"/>
        <v>8.5294631036866853E-2</v>
      </c>
      <c r="J245" s="314">
        <f t="shared" si="60"/>
        <v>8.5294631036866853E-2</v>
      </c>
      <c r="K245" s="314">
        <f t="shared" si="60"/>
        <v>8.5294631036866853E-2</v>
      </c>
      <c r="N245" s="518"/>
      <c r="O245" s="518"/>
      <c r="P245" s="518"/>
      <c r="Q245" s="518"/>
      <c r="R245" s="518"/>
      <c r="S245" s="518"/>
      <c r="T245" s="518"/>
      <c r="U245" s="518"/>
      <c r="V245" s="518"/>
      <c r="W245" s="518"/>
    </row>
    <row r="246" spans="1:23">
      <c r="B246" s="518"/>
      <c r="C246" s="529"/>
      <c r="D246" s="534"/>
      <c r="E246" s="535"/>
      <c r="F246" s="535"/>
      <c r="G246" s="45"/>
      <c r="H246" s="534"/>
      <c r="I246" s="534"/>
      <c r="J246" s="534"/>
      <c r="K246" s="518"/>
      <c r="N246" s="518"/>
      <c r="O246" s="518"/>
      <c r="P246" s="518"/>
      <c r="Q246" s="518"/>
      <c r="R246" s="518"/>
      <c r="S246" s="518"/>
      <c r="T246" s="518"/>
      <c r="U246" s="518"/>
      <c r="V246" s="518"/>
      <c r="W246" s="518"/>
    </row>
    <row r="247" spans="1:23">
      <c r="A247" s="518" t="s">
        <v>716</v>
      </c>
      <c r="B247" s="518"/>
      <c r="C247" s="529"/>
      <c r="D247" s="534"/>
      <c r="E247" s="535"/>
      <c r="F247" s="535"/>
      <c r="G247" s="314">
        <f>G244*G242+G245*G241</f>
        <v>0.18570033152308385</v>
      </c>
      <c r="H247" s="314">
        <f>H244*H242+H245*H241</f>
        <v>0.19577708438180436</v>
      </c>
      <c r="I247" s="314">
        <f>I244*I242+I245*I241</f>
        <v>0.20366302480681142</v>
      </c>
      <c r="J247" s="314">
        <f>J244*J242+J245*J241</f>
        <v>0.20717756524441674</v>
      </c>
      <c r="K247" s="314">
        <f>K244*K242+K245*K241</f>
        <v>0.21034335949366015</v>
      </c>
      <c r="N247" s="518"/>
      <c r="O247" s="518"/>
      <c r="P247" s="518"/>
      <c r="Q247" s="518"/>
      <c r="R247" s="518"/>
      <c r="S247" s="518"/>
      <c r="T247" s="518"/>
      <c r="U247" s="518"/>
      <c r="V247" s="518"/>
      <c r="W247" s="518"/>
    </row>
    <row r="248" spans="1:23">
      <c r="A248" s="518"/>
      <c r="B248" s="518"/>
      <c r="C248" s="529"/>
      <c r="D248" s="534"/>
      <c r="E248" s="535"/>
      <c r="F248" s="535"/>
      <c r="G248" s="45"/>
      <c r="H248" s="534"/>
      <c r="I248" s="534"/>
      <c r="J248" s="534"/>
      <c r="K248" s="518"/>
      <c r="N248" s="518"/>
      <c r="O248" s="518"/>
      <c r="P248" s="518"/>
      <c r="Q248" s="518"/>
      <c r="R248" s="518"/>
      <c r="S248" s="518"/>
      <c r="T248" s="518"/>
      <c r="U248" s="518"/>
      <c r="V248" s="518"/>
      <c r="W248" s="518"/>
    </row>
    <row r="249" spans="1:23">
      <c r="A249" s="518"/>
      <c r="B249" s="518"/>
      <c r="C249" s="529"/>
      <c r="D249" s="534"/>
      <c r="E249" s="535"/>
      <c r="F249" s="535"/>
      <c r="G249" s="45"/>
      <c r="H249" s="534"/>
      <c r="I249" s="534"/>
      <c r="J249" s="534"/>
      <c r="K249" s="518"/>
      <c r="N249" s="518"/>
      <c r="O249" s="518"/>
      <c r="P249" s="518"/>
      <c r="Q249" s="518"/>
      <c r="R249" s="518"/>
      <c r="S249" s="518"/>
      <c r="T249" s="518"/>
      <c r="U249" s="518"/>
      <c r="V249" s="518"/>
      <c r="W249" s="518"/>
    </row>
    <row r="250" spans="1:23">
      <c r="A250" s="518"/>
      <c r="B250" s="518"/>
      <c r="C250" s="529"/>
      <c r="D250" s="534"/>
      <c r="E250" s="535"/>
      <c r="F250" s="535"/>
      <c r="G250" s="45"/>
      <c r="H250" s="534"/>
      <c r="I250" s="534"/>
      <c r="J250" s="534"/>
      <c r="K250" s="518"/>
      <c r="N250" s="518"/>
      <c r="O250" s="518"/>
      <c r="P250" s="518"/>
      <c r="Q250" s="518"/>
      <c r="R250" s="518"/>
      <c r="S250" s="518"/>
      <c r="T250" s="518"/>
      <c r="U250" s="518"/>
      <c r="V250" s="518"/>
      <c r="W250" s="518"/>
    </row>
    <row r="251" spans="1:23">
      <c r="A251" s="518"/>
      <c r="B251" s="518"/>
      <c r="C251" s="529"/>
      <c r="D251" s="534"/>
      <c r="E251" s="535"/>
      <c r="F251" s="535"/>
      <c r="G251" s="45"/>
      <c r="H251" s="534"/>
      <c r="I251" s="534"/>
      <c r="J251" s="534"/>
      <c r="K251" s="518"/>
      <c r="N251" s="518"/>
      <c r="O251" s="518"/>
      <c r="P251" s="518"/>
      <c r="Q251" s="518"/>
      <c r="R251" s="518"/>
      <c r="S251" s="518"/>
      <c r="T251" s="518"/>
      <c r="U251" s="518"/>
      <c r="V251" s="518"/>
      <c r="W251" s="518"/>
    </row>
    <row r="252" spans="1:23">
      <c r="A252" s="872"/>
      <c r="B252" s="873"/>
      <c r="C252" s="873"/>
      <c r="D252" s="873"/>
      <c r="E252" s="873"/>
      <c r="F252" s="873"/>
      <c r="G252" s="873"/>
      <c r="H252" s="873"/>
      <c r="I252" s="873"/>
      <c r="J252" s="873"/>
      <c r="K252" s="873"/>
      <c r="N252" s="888"/>
      <c r="O252" s="518"/>
      <c r="P252" s="518"/>
      <c r="Q252" s="518"/>
      <c r="R252" s="518"/>
      <c r="S252" s="518"/>
      <c r="T252" s="518"/>
      <c r="U252" s="518"/>
      <c r="V252" s="518"/>
      <c r="W252" s="518"/>
    </row>
    <row r="253" spans="1:23">
      <c r="A253" s="873"/>
      <c r="B253" s="873"/>
      <c r="C253" s="873"/>
      <c r="D253" s="873"/>
      <c r="E253" s="873"/>
      <c r="F253" s="873"/>
      <c r="G253" s="873"/>
      <c r="H253" s="873"/>
      <c r="I253" s="873"/>
      <c r="J253" s="873"/>
      <c r="K253" s="873"/>
      <c r="N253" s="518"/>
      <c r="O253" s="518"/>
      <c r="P253" s="518"/>
      <c r="Q253" s="518"/>
      <c r="R253" s="518"/>
      <c r="S253" s="518"/>
      <c r="T253" s="518"/>
      <c r="U253" s="518"/>
      <c r="V253" s="518"/>
      <c r="W253" s="518"/>
    </row>
    <row r="254" spans="1:23">
      <c r="A254" s="873"/>
      <c r="B254" s="873"/>
      <c r="C254" s="873"/>
      <c r="D254" s="873"/>
      <c r="E254" s="873"/>
      <c r="F254" s="873"/>
      <c r="G254" s="873"/>
      <c r="H254" s="873"/>
      <c r="I254" s="873"/>
      <c r="J254" s="873"/>
      <c r="K254" s="873"/>
      <c r="N254" s="518"/>
      <c r="O254" s="518"/>
      <c r="P254" s="518"/>
      <c r="Q254" s="518"/>
      <c r="R254" s="518"/>
      <c r="S254" s="518"/>
      <c r="T254" s="518"/>
      <c r="U254" s="518"/>
      <c r="V254" s="518"/>
      <c r="W254" s="518"/>
    </row>
    <row r="255" spans="1:23">
      <c r="A255" s="873"/>
      <c r="B255" s="873"/>
      <c r="C255" s="873"/>
      <c r="D255" s="873"/>
      <c r="E255" s="873"/>
      <c r="F255" s="873"/>
      <c r="G255" s="873"/>
      <c r="H255" s="873"/>
      <c r="I255" s="873"/>
      <c r="J255" s="873"/>
      <c r="K255" s="873"/>
      <c r="N255" s="518"/>
      <c r="O255" s="518"/>
      <c r="P255" s="518"/>
      <c r="Q255" s="518"/>
      <c r="R255" s="518"/>
      <c r="S255" s="518"/>
      <c r="T255" s="518"/>
      <c r="U255" s="518"/>
      <c r="V255" s="518"/>
      <c r="W255" s="518"/>
    </row>
    <row r="256" spans="1:23">
      <c r="A256" s="873"/>
      <c r="B256" s="538"/>
      <c r="C256" s="873"/>
      <c r="D256" s="873"/>
      <c r="E256" s="873"/>
      <c r="F256" s="873"/>
      <c r="G256" s="873"/>
      <c r="H256" s="873"/>
      <c r="I256" s="873"/>
      <c r="J256" s="873"/>
      <c r="K256" s="873"/>
      <c r="N256" s="518"/>
      <c r="O256" s="518"/>
      <c r="P256" s="518"/>
      <c r="Q256" s="518"/>
      <c r="R256" s="518"/>
      <c r="S256" s="518"/>
      <c r="T256" s="518"/>
      <c r="U256" s="518"/>
      <c r="V256" s="518"/>
      <c r="W256" s="518"/>
    </row>
    <row r="257" spans="1:23">
      <c r="A257" s="873"/>
      <c r="B257" s="539"/>
      <c r="C257" s="873"/>
      <c r="D257" s="873"/>
      <c r="E257" s="873"/>
      <c r="F257" s="873"/>
      <c r="G257" s="873"/>
      <c r="H257" s="873"/>
      <c r="I257" s="873"/>
      <c r="J257" s="873"/>
      <c r="K257" s="873"/>
      <c r="N257" s="518"/>
      <c r="O257" s="518"/>
      <c r="P257" s="518"/>
      <c r="Q257" s="518"/>
      <c r="R257" s="518"/>
      <c r="S257" s="518"/>
      <c r="T257" s="518"/>
      <c r="U257" s="518"/>
      <c r="V257" s="518"/>
      <c r="W257" s="518"/>
    </row>
    <row r="258" spans="1:23">
      <c r="A258" s="873"/>
      <c r="B258" s="873"/>
      <c r="C258" s="872"/>
      <c r="D258" s="875"/>
      <c r="E258" s="875"/>
      <c r="F258" s="875"/>
      <c r="G258" s="875"/>
      <c r="H258" s="875"/>
      <c r="I258" s="875"/>
      <c r="J258" s="872"/>
      <c r="K258" s="873"/>
      <c r="N258" s="518"/>
      <c r="O258" s="518"/>
      <c r="P258" s="518"/>
      <c r="Q258" s="518"/>
      <c r="R258" s="518"/>
      <c r="S258" s="518"/>
      <c r="T258" s="518"/>
      <c r="U258" s="518"/>
      <c r="V258" s="518"/>
      <c r="W258" s="518"/>
    </row>
    <row r="259" spans="1:23">
      <c r="A259" s="873"/>
      <c r="B259" s="873"/>
      <c r="C259" s="529"/>
      <c r="D259" s="566"/>
      <c r="E259" s="566"/>
      <c r="F259" s="539"/>
      <c r="G259" s="45"/>
      <c r="H259" s="546"/>
      <c r="I259" s="539"/>
      <c r="J259" s="539"/>
      <c r="K259" s="873"/>
      <c r="N259" s="518"/>
      <c r="O259" s="518"/>
      <c r="P259" s="518"/>
      <c r="Q259" s="518"/>
      <c r="R259" s="518"/>
      <c r="S259" s="518"/>
      <c r="T259" s="518"/>
      <c r="U259" s="518"/>
      <c r="V259" s="518"/>
      <c r="W259" s="518"/>
    </row>
    <row r="260" spans="1:23">
      <c r="A260" s="873"/>
      <c r="B260" s="873"/>
      <c r="C260" s="529"/>
      <c r="D260" s="566"/>
      <c r="E260" s="566"/>
      <c r="F260" s="539"/>
      <c r="G260" s="45"/>
      <c r="H260" s="546"/>
      <c r="I260" s="539"/>
      <c r="J260" s="883"/>
      <c r="K260" s="873"/>
      <c r="N260" s="518"/>
      <c r="O260" s="518"/>
      <c r="P260" s="518"/>
      <c r="Q260" s="518"/>
      <c r="R260" s="518"/>
      <c r="S260" s="518"/>
      <c r="T260" s="518"/>
      <c r="U260" s="518"/>
      <c r="V260" s="518"/>
      <c r="W260" s="518"/>
    </row>
    <row r="261" spans="1:23">
      <c r="A261" s="873"/>
      <c r="B261" s="873"/>
      <c r="C261" s="529"/>
      <c r="D261" s="566"/>
      <c r="E261" s="566"/>
      <c r="F261" s="539"/>
      <c r="G261" s="45"/>
      <c r="H261" s="546"/>
      <c r="I261" s="539"/>
      <c r="J261" s="883"/>
      <c r="K261" s="873"/>
      <c r="N261" s="518"/>
      <c r="O261" s="518"/>
      <c r="P261" s="518"/>
      <c r="Q261" s="518"/>
      <c r="R261" s="518"/>
      <c r="S261" s="518"/>
      <c r="T261" s="518"/>
      <c r="U261" s="518"/>
      <c r="V261" s="518"/>
      <c r="W261" s="518"/>
    </row>
    <row r="262" spans="1:23">
      <c r="A262" s="873"/>
      <c r="B262" s="873"/>
      <c r="C262" s="529"/>
      <c r="D262" s="566"/>
      <c r="E262" s="566"/>
      <c r="F262" s="539"/>
      <c r="G262" s="45"/>
      <c r="H262" s="546"/>
      <c r="I262" s="539"/>
      <c r="J262" s="883"/>
      <c r="K262" s="873"/>
      <c r="L262" s="461">
        <v>5673183</v>
      </c>
      <c r="N262" s="518"/>
      <c r="O262" s="518"/>
      <c r="P262" s="518"/>
      <c r="Q262" s="518"/>
      <c r="R262" s="518"/>
      <c r="S262" s="518"/>
      <c r="T262" s="518"/>
      <c r="U262" s="518"/>
      <c r="V262" s="518"/>
      <c r="W262" s="518"/>
    </row>
    <row r="263" spans="1:23">
      <c r="A263" s="873"/>
      <c r="B263" s="873"/>
      <c r="C263" s="529"/>
      <c r="D263" s="566"/>
      <c r="E263" s="566"/>
      <c r="F263" s="539"/>
      <c r="G263" s="45"/>
      <c r="H263" s="546"/>
      <c r="I263" s="539"/>
      <c r="J263" s="883"/>
      <c r="K263" s="873"/>
      <c r="N263" s="518"/>
      <c r="O263" s="518"/>
      <c r="P263" s="518"/>
      <c r="Q263" s="518"/>
      <c r="R263" s="518"/>
      <c r="S263" s="518"/>
      <c r="T263" s="518"/>
      <c r="U263" s="518"/>
      <c r="V263" s="518"/>
      <c r="W263" s="518"/>
    </row>
    <row r="264" spans="1:23">
      <c r="A264" s="873"/>
      <c r="B264" s="873"/>
      <c r="C264" s="529"/>
      <c r="D264" s="566"/>
      <c r="E264" s="566"/>
      <c r="F264" s="539"/>
      <c r="G264" s="45"/>
      <c r="H264" s="546"/>
      <c r="I264" s="539"/>
      <c r="J264" s="883"/>
      <c r="K264" s="873"/>
      <c r="N264" s="518"/>
      <c r="O264" s="518"/>
      <c r="P264" s="518"/>
      <c r="Q264" s="518"/>
      <c r="R264" s="518"/>
      <c r="S264" s="518"/>
      <c r="T264" s="518"/>
      <c r="U264" s="518"/>
      <c r="V264" s="518"/>
      <c r="W264" s="518"/>
    </row>
    <row r="265" spans="1:23">
      <c r="A265" s="873"/>
      <c r="B265" s="873"/>
      <c r="C265" s="529"/>
      <c r="D265" s="566"/>
      <c r="E265" s="566"/>
      <c r="F265" s="539"/>
      <c r="G265" s="45"/>
      <c r="H265" s="546"/>
      <c r="I265" s="539"/>
      <c r="J265" s="883"/>
      <c r="K265" s="873"/>
      <c r="N265" s="518"/>
      <c r="O265" s="518"/>
      <c r="P265" s="518"/>
      <c r="Q265" s="518"/>
      <c r="R265" s="518"/>
      <c r="S265" s="518"/>
      <c r="T265" s="518"/>
      <c r="U265" s="518"/>
      <c r="V265" s="518"/>
      <c r="W265" s="518"/>
    </row>
    <row r="266" spans="1:23">
      <c r="A266" s="873"/>
      <c r="B266" s="873"/>
      <c r="C266" s="529"/>
      <c r="D266" s="566"/>
      <c r="E266" s="566"/>
      <c r="F266" s="539"/>
      <c r="G266" s="45"/>
      <c r="H266" s="546"/>
      <c r="I266" s="539"/>
      <c r="J266" s="883"/>
      <c r="K266" s="873"/>
      <c r="N266" s="518"/>
      <c r="O266" s="518"/>
      <c r="P266" s="518"/>
      <c r="Q266" s="518"/>
      <c r="R266" s="518"/>
      <c r="S266" s="518"/>
      <c r="T266" s="518"/>
      <c r="U266" s="518"/>
      <c r="V266" s="518"/>
      <c r="W266" s="518"/>
    </row>
    <row r="267" spans="1:23">
      <c r="A267" s="873"/>
      <c r="B267" s="873"/>
      <c r="C267" s="529"/>
      <c r="D267" s="566"/>
      <c r="E267" s="566"/>
      <c r="F267" s="539"/>
      <c r="G267" s="45"/>
      <c r="H267" s="546"/>
      <c r="I267" s="539"/>
      <c r="J267" s="883"/>
      <c r="K267" s="873"/>
      <c r="N267" s="518"/>
      <c r="O267" s="518"/>
      <c r="P267" s="518"/>
      <c r="Q267" s="518"/>
      <c r="R267" s="518"/>
      <c r="S267" s="518"/>
      <c r="T267" s="518"/>
      <c r="U267" s="518"/>
      <c r="V267" s="518"/>
      <c r="W267" s="518"/>
    </row>
    <row r="268" spans="1:23">
      <c r="A268" s="873"/>
      <c r="B268" s="873"/>
      <c r="C268" s="529"/>
      <c r="D268" s="566"/>
      <c r="E268" s="566"/>
      <c r="F268" s="539"/>
      <c r="G268" s="45"/>
      <c r="H268" s="546"/>
      <c r="I268" s="539"/>
      <c r="J268" s="883"/>
      <c r="K268" s="873"/>
      <c r="N268" s="518"/>
      <c r="O268" s="518"/>
      <c r="P268" s="518"/>
      <c r="Q268" s="518"/>
      <c r="R268" s="518"/>
      <c r="S268" s="518"/>
      <c r="T268" s="518"/>
      <c r="U268" s="518"/>
      <c r="V268" s="518"/>
      <c r="W268" s="518"/>
    </row>
    <row r="269" spans="1:23">
      <c r="A269" s="873"/>
      <c r="B269" s="873"/>
      <c r="C269" s="529"/>
      <c r="D269" s="566"/>
      <c r="E269" s="566"/>
      <c r="F269" s="539"/>
      <c r="G269" s="45"/>
      <c r="H269" s="546"/>
      <c r="I269" s="539"/>
      <c r="J269" s="883"/>
      <c r="K269" s="873"/>
      <c r="N269" s="518"/>
      <c r="O269" s="518"/>
      <c r="P269" s="518"/>
      <c r="Q269" s="518"/>
      <c r="R269" s="518"/>
      <c r="S269" s="518"/>
      <c r="T269" s="518"/>
      <c r="U269" s="518"/>
      <c r="V269" s="518"/>
      <c r="W269" s="518"/>
    </row>
    <row r="270" spans="1:23">
      <c r="A270" s="873"/>
      <c r="B270" s="873"/>
      <c r="C270" s="529"/>
      <c r="D270" s="566"/>
      <c r="E270" s="566"/>
      <c r="F270" s="539"/>
      <c r="G270" s="45"/>
      <c r="H270" s="546"/>
      <c r="I270" s="539"/>
      <c r="J270" s="883"/>
      <c r="K270" s="873"/>
      <c r="N270" s="518"/>
      <c r="O270" s="518"/>
      <c r="P270" s="518"/>
      <c r="Q270" s="518"/>
      <c r="R270" s="518"/>
      <c r="S270" s="518"/>
      <c r="T270" s="518"/>
      <c r="U270" s="518"/>
      <c r="V270" s="518"/>
      <c r="W270" s="518"/>
    </row>
    <row r="271" spans="1:23">
      <c r="A271" s="873"/>
      <c r="B271" s="873"/>
      <c r="C271" s="529"/>
      <c r="D271" s="566"/>
      <c r="E271" s="566"/>
      <c r="F271" s="539"/>
      <c r="G271" s="45"/>
      <c r="H271" s="546"/>
      <c r="I271" s="539"/>
      <c r="J271" s="883"/>
      <c r="K271" s="873"/>
      <c r="N271" s="518"/>
      <c r="O271" s="518"/>
      <c r="P271" s="518"/>
      <c r="Q271" s="518"/>
      <c r="R271" s="518"/>
      <c r="S271" s="518"/>
      <c r="T271" s="518"/>
      <c r="U271" s="518"/>
      <c r="V271" s="518"/>
      <c r="W271" s="518"/>
    </row>
    <row r="272" spans="1:23">
      <c r="A272" s="873"/>
      <c r="B272" s="873"/>
      <c r="C272" s="529"/>
      <c r="D272" s="566"/>
      <c r="E272" s="566"/>
      <c r="F272" s="539"/>
      <c r="G272" s="45"/>
      <c r="H272" s="546"/>
      <c r="I272" s="539"/>
      <c r="J272" s="883"/>
      <c r="K272" s="873"/>
      <c r="N272" s="518"/>
      <c r="O272" s="518"/>
      <c r="P272" s="518"/>
      <c r="Q272" s="518"/>
      <c r="R272" s="518"/>
      <c r="S272" s="518"/>
      <c r="T272" s="518"/>
      <c r="U272" s="518"/>
      <c r="V272" s="518"/>
      <c r="W272" s="518"/>
    </row>
    <row r="273" spans="1:11">
      <c r="A273" s="873"/>
      <c r="B273" s="873"/>
      <c r="C273" s="529"/>
      <c r="D273" s="566"/>
      <c r="E273" s="566"/>
      <c r="F273" s="539"/>
      <c r="G273" s="45"/>
      <c r="H273" s="546"/>
      <c r="I273" s="539"/>
      <c r="J273" s="883"/>
      <c r="K273" s="873"/>
    </row>
    <row r="274" spans="1:11">
      <c r="A274" s="873"/>
      <c r="B274" s="873"/>
      <c r="C274" s="529"/>
      <c r="D274" s="566"/>
      <c r="E274" s="566"/>
      <c r="F274" s="539"/>
      <c r="G274" s="45"/>
      <c r="H274" s="546"/>
      <c r="I274" s="539"/>
      <c r="J274" s="883"/>
      <c r="K274" s="873"/>
    </row>
    <row r="275" spans="1:11">
      <c r="A275" s="873"/>
      <c r="B275" s="873"/>
      <c r="C275" s="529"/>
      <c r="D275" s="566"/>
      <c r="E275" s="566"/>
      <c r="F275" s="539"/>
      <c r="G275" s="45"/>
      <c r="H275" s="546"/>
      <c r="I275" s="539"/>
      <c r="J275" s="883"/>
      <c r="K275" s="873"/>
    </row>
    <row r="276" spans="1:11">
      <c r="A276" s="873"/>
      <c r="B276" s="873"/>
      <c r="C276" s="529"/>
      <c r="D276" s="566"/>
      <c r="E276" s="566"/>
      <c r="F276" s="539"/>
      <c r="G276" s="45"/>
      <c r="H276" s="546"/>
      <c r="I276" s="539"/>
      <c r="J276" s="883"/>
      <c r="K276" s="873"/>
    </row>
  </sheetData>
  <phoneticPr fontId="8" type="noConversion"/>
  <pageMargins left="0.75" right="0.75" top="1" bottom="1" header="0.5" footer="0.5"/>
  <pageSetup orientation="portrait" r:id="rId1"/>
  <headerFooter alignWithMargins="0"/>
  <ignoredErrors>
    <ignoredError sqref="B222:H222" emptyCellReference="1"/>
  </ignoredErrors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workbookViewId="0">
      <pane xSplit="3" ySplit="8" topLeftCell="D12" activePane="bottomRight" state="frozen"/>
      <selection activeCell="F26" sqref="F26"/>
      <selection pane="topRight" activeCell="F26" sqref="F26"/>
      <selection pane="bottomLeft" activeCell="F26" sqref="F26"/>
      <selection pane="bottomRight"/>
    </sheetView>
  </sheetViews>
  <sheetFormatPr defaultRowHeight="12"/>
  <cols>
    <col min="1" max="1" width="40" style="895" bestFit="1" customWidth="1"/>
    <col min="2" max="4" width="10.7109375" style="895" bestFit="1" customWidth="1"/>
    <col min="5" max="5" width="13" style="895" bestFit="1" customWidth="1"/>
    <col min="6" max="17" width="12.85546875" style="895" bestFit="1" customWidth="1"/>
    <col min="18" max="18" width="9.140625" style="895"/>
    <col min="19" max="19" width="21.7109375" style="895" bestFit="1" customWidth="1"/>
    <col min="20" max="20" width="9.140625" style="895"/>
    <col min="21" max="21" width="15" style="895" bestFit="1" customWidth="1"/>
    <col min="22" max="16384" width="9.140625" style="895"/>
  </cols>
  <sheetData>
    <row r="1" spans="1:17">
      <c r="A1" s="895" t="s">
        <v>717</v>
      </c>
      <c r="D1" s="896">
        <v>1000000</v>
      </c>
      <c r="E1" s="897" t="s">
        <v>718</v>
      </c>
      <c r="F1" s="898"/>
    </row>
    <row r="2" spans="1:17">
      <c r="A2" s="895" t="s">
        <v>807</v>
      </c>
      <c r="B2" s="918">
        <v>10.4</v>
      </c>
    </row>
    <row r="3" spans="1:17">
      <c r="A3" s="895" t="s">
        <v>808</v>
      </c>
      <c r="B3" s="918">
        <v>8.6</v>
      </c>
      <c r="G3" s="899"/>
    </row>
    <row r="4" spans="1:17">
      <c r="A4" s="895" t="s">
        <v>719</v>
      </c>
      <c r="B4" s="918">
        <f>SUM(B2:B3)</f>
        <v>19</v>
      </c>
    </row>
    <row r="6" spans="1:17">
      <c r="A6" s="900" t="s">
        <v>809</v>
      </c>
      <c r="B6" s="901">
        <f>$B$4*24*300*1000</f>
        <v>136800000</v>
      </c>
      <c r="C6" s="901"/>
    </row>
    <row r="7" spans="1:17">
      <c r="A7" s="900"/>
      <c r="B7" s="901"/>
      <c r="C7" s="901"/>
    </row>
    <row r="8" spans="1:17">
      <c r="D8" s="902" t="s">
        <v>539</v>
      </c>
      <c r="E8" s="902" t="s">
        <v>543</v>
      </c>
      <c r="F8" s="902" t="s">
        <v>560</v>
      </c>
      <c r="G8" s="902" t="s">
        <v>587</v>
      </c>
      <c r="H8" s="902" t="s">
        <v>590</v>
      </c>
      <c r="I8" s="902" t="s">
        <v>619</v>
      </c>
      <c r="J8" s="902" t="s">
        <v>620</v>
      </c>
      <c r="K8" s="902" t="s">
        <v>621</v>
      </c>
      <c r="L8" s="902" t="s">
        <v>622</v>
      </c>
      <c r="M8" s="902" t="s">
        <v>623</v>
      </c>
      <c r="N8" s="902" t="s">
        <v>624</v>
      </c>
      <c r="O8" s="902" t="s">
        <v>625</v>
      </c>
      <c r="P8" s="902" t="s">
        <v>626</v>
      </c>
      <c r="Q8" s="902" t="s">
        <v>627</v>
      </c>
    </row>
    <row r="9" spans="1:17">
      <c r="A9" s="895" t="s">
        <v>720</v>
      </c>
      <c r="B9" s="903" t="s">
        <v>721</v>
      </c>
      <c r="D9" s="896">
        <f>Assumptions!BH26</f>
        <v>1070268</v>
      </c>
      <c r="E9" s="896">
        <f>Assumptions!BI26</f>
        <v>3992913</v>
      </c>
      <c r="F9" s="896">
        <f>Assumptions!BN26</f>
        <v>3956479.2</v>
      </c>
      <c r="G9" s="896">
        <f>Assumptions!BR26</f>
        <v>4044768.6960000005</v>
      </c>
      <c r="H9" s="896">
        <f>Assumptions!BS26</f>
        <v>4135706.8768800003</v>
      </c>
      <c r="I9" s="896">
        <f>Assumptions!BT26</f>
        <v>4135706.8768800003</v>
      </c>
      <c r="J9" s="896">
        <f>Assumptions!BU26</f>
        <v>4135706.8768800003</v>
      </c>
      <c r="K9" s="896">
        <f>Assumptions!BV26</f>
        <v>4135706.8768800003</v>
      </c>
      <c r="L9" s="896">
        <f>Assumptions!BW26</f>
        <v>4135706.8768800003</v>
      </c>
      <c r="M9" s="896">
        <f>Assumptions!BX26</f>
        <v>4135706.8768800003</v>
      </c>
      <c r="N9" s="896">
        <f>Assumptions!BY26</f>
        <v>4135706.8768800003</v>
      </c>
      <c r="O9" s="896">
        <f>Assumptions!BZ26</f>
        <v>4135706.8768800003</v>
      </c>
      <c r="P9" s="896">
        <f>Assumptions!CA26</f>
        <v>4135706.8768800003</v>
      </c>
      <c r="Q9" s="896">
        <f>Assumptions!CB26</f>
        <v>4135706.8768800003</v>
      </c>
    </row>
    <row r="10" spans="1:17">
      <c r="A10" s="895" t="s">
        <v>722</v>
      </c>
      <c r="B10" s="903" t="s">
        <v>723</v>
      </c>
      <c r="D10" s="896">
        <f>AVERAGE(105,95)</f>
        <v>100</v>
      </c>
      <c r="E10" s="896">
        <f>AVERAGE(105,90)</f>
        <v>97.5</v>
      </c>
      <c r="F10" s="904">
        <f>E10</f>
        <v>97.5</v>
      </c>
      <c r="G10" s="904">
        <f t="shared" ref="G10:Q10" si="0">F10</f>
        <v>97.5</v>
      </c>
      <c r="H10" s="904">
        <f t="shared" si="0"/>
        <v>97.5</v>
      </c>
      <c r="I10" s="904">
        <f t="shared" si="0"/>
        <v>97.5</v>
      </c>
      <c r="J10" s="904">
        <f t="shared" si="0"/>
        <v>97.5</v>
      </c>
      <c r="K10" s="904">
        <f t="shared" si="0"/>
        <v>97.5</v>
      </c>
      <c r="L10" s="904">
        <f t="shared" si="0"/>
        <v>97.5</v>
      </c>
      <c r="M10" s="904">
        <f t="shared" si="0"/>
        <v>97.5</v>
      </c>
      <c r="N10" s="904">
        <f t="shared" si="0"/>
        <v>97.5</v>
      </c>
      <c r="O10" s="904">
        <f t="shared" si="0"/>
        <v>97.5</v>
      </c>
      <c r="P10" s="904">
        <f t="shared" si="0"/>
        <v>97.5</v>
      </c>
      <c r="Q10" s="904">
        <f t="shared" si="0"/>
        <v>97.5</v>
      </c>
    </row>
    <row r="11" spans="1:17">
      <c r="A11" s="895" t="s">
        <v>724</v>
      </c>
      <c r="B11" s="903" t="s">
        <v>723</v>
      </c>
      <c r="D11" s="896">
        <f>D10*D9</f>
        <v>107026800</v>
      </c>
      <c r="E11" s="896">
        <f>E10*E9</f>
        <v>389309017.5</v>
      </c>
      <c r="F11" s="896">
        <f t="shared" ref="F11:Q11" si="1">F10*F9</f>
        <v>385756722</v>
      </c>
      <c r="G11" s="896">
        <f t="shared" si="1"/>
        <v>394364947.86000007</v>
      </c>
      <c r="H11" s="896">
        <f t="shared" si="1"/>
        <v>403231420.49580002</v>
      </c>
      <c r="I11" s="896">
        <f t="shared" si="1"/>
        <v>403231420.49580002</v>
      </c>
      <c r="J11" s="896">
        <f t="shared" si="1"/>
        <v>403231420.49580002</v>
      </c>
      <c r="K11" s="896">
        <f t="shared" si="1"/>
        <v>403231420.49580002</v>
      </c>
      <c r="L11" s="896">
        <f t="shared" si="1"/>
        <v>403231420.49580002</v>
      </c>
      <c r="M11" s="896">
        <f t="shared" si="1"/>
        <v>403231420.49580002</v>
      </c>
      <c r="N11" s="896">
        <f t="shared" si="1"/>
        <v>403231420.49580002</v>
      </c>
      <c r="O11" s="896">
        <f t="shared" si="1"/>
        <v>403231420.49580002</v>
      </c>
      <c r="P11" s="896">
        <f t="shared" si="1"/>
        <v>403231420.49580002</v>
      </c>
      <c r="Q11" s="896">
        <f t="shared" si="1"/>
        <v>403231420.49580002</v>
      </c>
    </row>
    <row r="12" spans="1:17">
      <c r="B12" s="903"/>
      <c r="D12" s="896">
        <f>D11/(24*365*1000)</f>
        <v>12.217671232876713</v>
      </c>
      <c r="E12" s="896">
        <f>E11/(24*365*1000)</f>
        <v>44.441668664383563</v>
      </c>
      <c r="F12" s="896">
        <f>F11/(24*300*1000)</f>
        <v>53.577322500000001</v>
      </c>
      <c r="G12" s="896">
        <f t="shared" ref="G12:H12" si="2">G11/(24*300*1000)</f>
        <v>54.772909425000009</v>
      </c>
      <c r="H12" s="896">
        <f t="shared" si="2"/>
        <v>56.004363957750002</v>
      </c>
      <c r="I12" s="896"/>
      <c r="J12" s="896"/>
      <c r="K12" s="896"/>
      <c r="L12" s="896"/>
      <c r="M12" s="896"/>
      <c r="N12" s="896"/>
      <c r="O12" s="896"/>
      <c r="P12" s="896"/>
      <c r="Q12" s="896"/>
    </row>
    <row r="13" spans="1:17">
      <c r="B13" s="903"/>
      <c r="D13" s="899"/>
      <c r="E13" s="899"/>
      <c r="F13" s="899"/>
      <c r="G13" s="899"/>
      <c r="H13" s="899"/>
      <c r="I13" s="896"/>
      <c r="J13" s="896"/>
      <c r="K13" s="896"/>
      <c r="L13" s="896"/>
      <c r="M13" s="896"/>
      <c r="N13" s="896"/>
      <c r="O13" s="896"/>
      <c r="P13" s="896"/>
      <c r="Q13" s="896"/>
    </row>
    <row r="14" spans="1:17">
      <c r="B14" s="903"/>
    </row>
    <row r="15" spans="1:17">
      <c r="A15" s="906" t="s">
        <v>727</v>
      </c>
      <c r="B15" s="903" t="s">
        <v>723</v>
      </c>
      <c r="D15" s="904" t="e">
        <f>A2*24*300*1000+A3*24*150*1000</f>
        <v>#VALUE!</v>
      </c>
      <c r="E15" s="904">
        <f>B2*24*300*1000+B3*24*150*1000</f>
        <v>105840000</v>
      </c>
      <c r="F15" s="904">
        <f>B6</f>
        <v>136800000</v>
      </c>
      <c r="G15" s="904">
        <f t="shared" ref="G15:Q15" si="3">F15</f>
        <v>136800000</v>
      </c>
      <c r="H15" s="904">
        <f t="shared" si="3"/>
        <v>136800000</v>
      </c>
      <c r="I15" s="904">
        <f t="shared" si="3"/>
        <v>136800000</v>
      </c>
      <c r="J15" s="904">
        <f t="shared" si="3"/>
        <v>136800000</v>
      </c>
      <c r="K15" s="904">
        <f t="shared" si="3"/>
        <v>136800000</v>
      </c>
      <c r="L15" s="904">
        <f t="shared" si="3"/>
        <v>136800000</v>
      </c>
      <c r="M15" s="904">
        <f t="shared" si="3"/>
        <v>136800000</v>
      </c>
      <c r="N15" s="904">
        <f t="shared" si="3"/>
        <v>136800000</v>
      </c>
      <c r="O15" s="904">
        <f t="shared" si="3"/>
        <v>136800000</v>
      </c>
      <c r="P15" s="904">
        <f t="shared" si="3"/>
        <v>136800000</v>
      </c>
      <c r="Q15" s="904">
        <f t="shared" si="3"/>
        <v>136800000</v>
      </c>
    </row>
    <row r="16" spans="1:17">
      <c r="A16" s="895" t="s">
        <v>728</v>
      </c>
      <c r="B16" s="903" t="s">
        <v>729</v>
      </c>
      <c r="D16" s="899">
        <v>0.5</v>
      </c>
      <c r="E16" s="899">
        <v>0.5</v>
      </c>
      <c r="F16" s="907">
        <f>E16*1.03</f>
        <v>0.51500000000000001</v>
      </c>
      <c r="G16" s="907">
        <f>F16*1.02</f>
        <v>0.52529999999999999</v>
      </c>
      <c r="H16" s="907">
        <f t="shared" ref="H16:Q16" si="4">G16*1.02</f>
        <v>0.535806</v>
      </c>
      <c r="I16" s="907">
        <f t="shared" si="4"/>
        <v>0.54652212</v>
      </c>
      <c r="J16" s="907">
        <f t="shared" si="4"/>
        <v>0.55745256239999996</v>
      </c>
      <c r="K16" s="907">
        <f t="shared" si="4"/>
        <v>0.56860161364799999</v>
      </c>
      <c r="L16" s="907">
        <f t="shared" si="4"/>
        <v>0.57997364592096001</v>
      </c>
      <c r="M16" s="907">
        <f t="shared" si="4"/>
        <v>0.59157311883937924</v>
      </c>
      <c r="N16" s="907">
        <f t="shared" si="4"/>
        <v>0.6034045812161668</v>
      </c>
      <c r="O16" s="907">
        <f t="shared" si="4"/>
        <v>0.61547267284049012</v>
      </c>
      <c r="P16" s="907">
        <f t="shared" si="4"/>
        <v>0.6277821262972999</v>
      </c>
      <c r="Q16" s="907">
        <f t="shared" si="4"/>
        <v>0.64033776882324589</v>
      </c>
    </row>
    <row r="17" spans="1:17">
      <c r="A17" s="895" t="s">
        <v>730</v>
      </c>
      <c r="B17" s="903" t="s">
        <v>612</v>
      </c>
      <c r="D17" s="896" t="e">
        <f>D16*D15/$D$1</f>
        <v>#VALUE!</v>
      </c>
      <c r="E17" s="896">
        <f>E16*E15/$D$1</f>
        <v>52.92</v>
      </c>
      <c r="F17" s="896">
        <f t="shared" ref="F17:Q17" si="5">F16*F15/$D$1</f>
        <v>70.451999999999998</v>
      </c>
      <c r="G17" s="896">
        <f t="shared" si="5"/>
        <v>71.861040000000003</v>
      </c>
      <c r="H17" s="896">
        <f t="shared" si="5"/>
        <v>73.298260799999994</v>
      </c>
      <c r="I17" s="896">
        <f t="shared" si="5"/>
        <v>74.764226016000009</v>
      </c>
      <c r="J17" s="896">
        <f t="shared" si="5"/>
        <v>76.259510536320008</v>
      </c>
      <c r="K17" s="896">
        <f t="shared" si="5"/>
        <v>77.784700747046401</v>
      </c>
      <c r="L17" s="896">
        <f t="shared" si="5"/>
        <v>79.340394761987326</v>
      </c>
      <c r="M17" s="896">
        <f t="shared" si="5"/>
        <v>80.927202657227085</v>
      </c>
      <c r="N17" s="896">
        <f t="shared" si="5"/>
        <v>82.545746710371617</v>
      </c>
      <c r="O17" s="896">
        <f t="shared" si="5"/>
        <v>84.196661644579052</v>
      </c>
      <c r="P17" s="896">
        <f t="shared" si="5"/>
        <v>85.880594877470628</v>
      </c>
      <c r="Q17" s="896">
        <f t="shared" si="5"/>
        <v>87.598206775020032</v>
      </c>
    </row>
    <row r="18" spans="1:17">
      <c r="B18" s="903"/>
    </row>
    <row r="19" spans="1:17">
      <c r="A19" s="895" t="s">
        <v>814</v>
      </c>
      <c r="B19" s="903" t="s">
        <v>633</v>
      </c>
      <c r="D19" s="904" t="e">
        <f>D11-D15</f>
        <v>#VALUE!</v>
      </c>
      <c r="E19" s="904">
        <f>E11-E15</f>
        <v>283469017.5</v>
      </c>
      <c r="F19" s="904">
        <f t="shared" ref="F19:Q19" si="6">F11-F15</f>
        <v>248956722</v>
      </c>
      <c r="G19" s="904">
        <f t="shared" si="6"/>
        <v>257564947.86000007</v>
      </c>
      <c r="H19" s="904">
        <f t="shared" si="6"/>
        <v>266431420.49580002</v>
      </c>
      <c r="I19" s="904">
        <f t="shared" si="6"/>
        <v>266431420.49580002</v>
      </c>
      <c r="J19" s="904">
        <f t="shared" si="6"/>
        <v>266431420.49580002</v>
      </c>
      <c r="K19" s="904">
        <f t="shared" si="6"/>
        <v>266431420.49580002</v>
      </c>
      <c r="L19" s="904">
        <f t="shared" si="6"/>
        <v>266431420.49580002</v>
      </c>
      <c r="M19" s="904">
        <f t="shared" si="6"/>
        <v>266431420.49580002</v>
      </c>
      <c r="N19" s="904">
        <f t="shared" si="6"/>
        <v>266431420.49580002</v>
      </c>
      <c r="O19" s="904">
        <f t="shared" si="6"/>
        <v>266431420.49580002</v>
      </c>
      <c r="P19" s="904">
        <f t="shared" si="6"/>
        <v>266431420.49580002</v>
      </c>
      <c r="Q19" s="904">
        <f t="shared" si="6"/>
        <v>266431420.49580002</v>
      </c>
    </row>
    <row r="20" spans="1:17">
      <c r="B20" s="903"/>
    </row>
    <row r="21" spans="1:17">
      <c r="A21" s="895" t="s">
        <v>815</v>
      </c>
      <c r="B21" s="903"/>
      <c r="D21" s="916">
        <v>0.4</v>
      </c>
      <c r="E21" s="916">
        <v>0.4</v>
      </c>
      <c r="F21" s="916">
        <v>0.6</v>
      </c>
      <c r="G21" s="916">
        <f>F21</f>
        <v>0.6</v>
      </c>
      <c r="H21" s="916">
        <f t="shared" ref="H21:Q21" si="7">G21</f>
        <v>0.6</v>
      </c>
      <c r="I21" s="916">
        <f t="shared" si="7"/>
        <v>0.6</v>
      </c>
      <c r="J21" s="916">
        <f t="shared" si="7"/>
        <v>0.6</v>
      </c>
      <c r="K21" s="916">
        <f t="shared" si="7"/>
        <v>0.6</v>
      </c>
      <c r="L21" s="916">
        <f t="shared" si="7"/>
        <v>0.6</v>
      </c>
      <c r="M21" s="916">
        <f t="shared" si="7"/>
        <v>0.6</v>
      </c>
      <c r="N21" s="916">
        <f t="shared" si="7"/>
        <v>0.6</v>
      </c>
      <c r="O21" s="916">
        <f t="shared" si="7"/>
        <v>0.6</v>
      </c>
      <c r="P21" s="916">
        <f t="shared" si="7"/>
        <v>0.6</v>
      </c>
      <c r="Q21" s="916">
        <f t="shared" si="7"/>
        <v>0.6</v>
      </c>
    </row>
    <row r="22" spans="1:17">
      <c r="A22" s="895" t="s">
        <v>816</v>
      </c>
      <c r="B22" s="903"/>
      <c r="D22" s="919">
        <f>100%-D21</f>
        <v>0.6</v>
      </c>
      <c r="E22" s="919">
        <f>100%-E21</f>
        <v>0.6</v>
      </c>
      <c r="F22" s="919">
        <f t="shared" ref="F22:Q22" si="8">100%-F21</f>
        <v>0.4</v>
      </c>
      <c r="G22" s="919">
        <f t="shared" si="8"/>
        <v>0.4</v>
      </c>
      <c r="H22" s="919">
        <f t="shared" si="8"/>
        <v>0.4</v>
      </c>
      <c r="I22" s="919">
        <f t="shared" si="8"/>
        <v>0.4</v>
      </c>
      <c r="J22" s="919">
        <f t="shared" si="8"/>
        <v>0.4</v>
      </c>
      <c r="K22" s="919">
        <f t="shared" si="8"/>
        <v>0.4</v>
      </c>
      <c r="L22" s="919">
        <f t="shared" si="8"/>
        <v>0.4</v>
      </c>
      <c r="M22" s="919">
        <f t="shared" si="8"/>
        <v>0.4</v>
      </c>
      <c r="N22" s="919">
        <f t="shared" si="8"/>
        <v>0.4</v>
      </c>
      <c r="O22" s="919">
        <f t="shared" si="8"/>
        <v>0.4</v>
      </c>
      <c r="P22" s="919">
        <f t="shared" si="8"/>
        <v>0.4</v>
      </c>
      <c r="Q22" s="919">
        <f t="shared" si="8"/>
        <v>0.4</v>
      </c>
    </row>
    <row r="23" spans="1:17">
      <c r="B23" s="903"/>
    </row>
    <row r="24" spans="1:17">
      <c r="A24" s="895" t="s">
        <v>815</v>
      </c>
      <c r="B24" s="903" t="s">
        <v>633</v>
      </c>
      <c r="D24" s="896">
        <f>D21*$E$19</f>
        <v>113387607</v>
      </c>
      <c r="E24" s="896">
        <f>E21*$E$19</f>
        <v>113387607</v>
      </c>
      <c r="F24" s="896">
        <f>F21*F19</f>
        <v>149374033.19999999</v>
      </c>
      <c r="G24" s="896">
        <f t="shared" ref="G24:Q24" si="9">G21*G19</f>
        <v>154538968.71600005</v>
      </c>
      <c r="H24" s="896">
        <f t="shared" si="9"/>
        <v>159858852.29748002</v>
      </c>
      <c r="I24" s="896">
        <f t="shared" si="9"/>
        <v>159858852.29748002</v>
      </c>
      <c r="J24" s="896">
        <f t="shared" si="9"/>
        <v>159858852.29748002</v>
      </c>
      <c r="K24" s="896">
        <f t="shared" si="9"/>
        <v>159858852.29748002</v>
      </c>
      <c r="L24" s="896">
        <f t="shared" si="9"/>
        <v>159858852.29748002</v>
      </c>
      <c r="M24" s="896">
        <f t="shared" si="9"/>
        <v>159858852.29748002</v>
      </c>
      <c r="N24" s="896">
        <f t="shared" si="9"/>
        <v>159858852.29748002</v>
      </c>
      <c r="O24" s="896">
        <f t="shared" si="9"/>
        <v>159858852.29748002</v>
      </c>
      <c r="P24" s="896">
        <f t="shared" si="9"/>
        <v>159858852.29748002</v>
      </c>
      <c r="Q24" s="896">
        <f t="shared" si="9"/>
        <v>159858852.29748002</v>
      </c>
    </row>
    <row r="25" spans="1:17">
      <c r="A25" s="895" t="s">
        <v>816</v>
      </c>
      <c r="B25" s="903" t="s">
        <v>633</v>
      </c>
      <c r="D25" s="896">
        <f>D22*$E$19</f>
        <v>170081410.5</v>
      </c>
      <c r="E25" s="896">
        <f>E22*$E$19</f>
        <v>170081410.5</v>
      </c>
      <c r="F25" s="896">
        <f>F22*F19</f>
        <v>99582688.800000012</v>
      </c>
      <c r="G25" s="896">
        <f t="shared" ref="G25:Q25" si="10">G22*G19</f>
        <v>103025979.14400004</v>
      </c>
      <c r="H25" s="896">
        <f t="shared" si="10"/>
        <v>106572568.19832002</v>
      </c>
      <c r="I25" s="896">
        <f t="shared" si="10"/>
        <v>106572568.19832002</v>
      </c>
      <c r="J25" s="896">
        <f t="shared" si="10"/>
        <v>106572568.19832002</v>
      </c>
      <c r="K25" s="896">
        <f t="shared" si="10"/>
        <v>106572568.19832002</v>
      </c>
      <c r="L25" s="896">
        <f t="shared" si="10"/>
        <v>106572568.19832002</v>
      </c>
      <c r="M25" s="896">
        <f t="shared" si="10"/>
        <v>106572568.19832002</v>
      </c>
      <c r="N25" s="896">
        <f t="shared" si="10"/>
        <v>106572568.19832002</v>
      </c>
      <c r="O25" s="896">
        <f t="shared" si="10"/>
        <v>106572568.19832002</v>
      </c>
      <c r="P25" s="896">
        <f t="shared" si="10"/>
        <v>106572568.19832002</v>
      </c>
      <c r="Q25" s="896">
        <f t="shared" si="10"/>
        <v>106572568.19832002</v>
      </c>
    </row>
    <row r="26" spans="1:17">
      <c r="B26" s="903"/>
      <c r="E26" s="907"/>
    </row>
    <row r="27" spans="1:17">
      <c r="A27" s="906" t="s">
        <v>731</v>
      </c>
      <c r="B27" s="903"/>
      <c r="D27" s="908"/>
      <c r="E27" s="908">
        <f>3/12</f>
        <v>0.25</v>
      </c>
    </row>
    <row r="28" spans="1:17">
      <c r="A28" s="895" t="s">
        <v>732</v>
      </c>
      <c r="B28" s="903" t="s">
        <v>635</v>
      </c>
      <c r="D28" s="899">
        <f>507.86+87</f>
        <v>594.86</v>
      </c>
      <c r="E28" s="899">
        <v>539</v>
      </c>
      <c r="F28" s="899">
        <f>539*0.25+640*0.75</f>
        <v>614.75</v>
      </c>
      <c r="G28" s="899">
        <f>F28*(1+G29)+59</f>
        <v>704.48750000000007</v>
      </c>
      <c r="H28" s="899">
        <f t="shared" ref="H28:Q28" si="11">G28*(1+H29)</f>
        <v>739.71187500000008</v>
      </c>
      <c r="I28" s="899">
        <f t="shared" si="11"/>
        <v>776.6974687500001</v>
      </c>
      <c r="J28" s="899">
        <f t="shared" si="11"/>
        <v>815.53234218750015</v>
      </c>
      <c r="K28" s="899">
        <f t="shared" si="11"/>
        <v>856.30895929687517</v>
      </c>
      <c r="L28" s="899">
        <f t="shared" si="11"/>
        <v>899.12440726171894</v>
      </c>
      <c r="M28" s="899">
        <f t="shared" si="11"/>
        <v>944.08062762480495</v>
      </c>
      <c r="N28" s="899">
        <f t="shared" si="11"/>
        <v>991.28465900604522</v>
      </c>
      <c r="O28" s="899">
        <f t="shared" si="11"/>
        <v>1040.8488919563474</v>
      </c>
      <c r="P28" s="899">
        <f t="shared" si="11"/>
        <v>1092.8913365541648</v>
      </c>
      <c r="Q28" s="899">
        <f t="shared" si="11"/>
        <v>1147.5359033818731</v>
      </c>
    </row>
    <row r="29" spans="1:17">
      <c r="A29" s="895" t="s">
        <v>733</v>
      </c>
      <c r="B29" s="903" t="s">
        <v>50</v>
      </c>
      <c r="D29" s="899"/>
      <c r="E29" s="899"/>
      <c r="F29" s="909">
        <v>0.05</v>
      </c>
      <c r="G29" s="909">
        <f>F29</f>
        <v>0.05</v>
      </c>
      <c r="H29" s="909">
        <f t="shared" ref="H29:Q29" si="12">G29</f>
        <v>0.05</v>
      </c>
      <c r="I29" s="909">
        <f t="shared" si="12"/>
        <v>0.05</v>
      </c>
      <c r="J29" s="909">
        <f t="shared" si="12"/>
        <v>0.05</v>
      </c>
      <c r="K29" s="909">
        <f t="shared" si="12"/>
        <v>0.05</v>
      </c>
      <c r="L29" s="909">
        <f t="shared" si="12"/>
        <v>0.05</v>
      </c>
      <c r="M29" s="909">
        <f t="shared" si="12"/>
        <v>0.05</v>
      </c>
      <c r="N29" s="909">
        <f t="shared" si="12"/>
        <v>0.05</v>
      </c>
      <c r="O29" s="909">
        <f t="shared" si="12"/>
        <v>0.05</v>
      </c>
      <c r="P29" s="909">
        <f t="shared" si="12"/>
        <v>0.05</v>
      </c>
      <c r="Q29" s="909">
        <f t="shared" si="12"/>
        <v>0.05</v>
      </c>
    </row>
    <row r="30" spans="1:17">
      <c r="A30" s="895" t="s">
        <v>734</v>
      </c>
      <c r="B30" s="903" t="s">
        <v>735</v>
      </c>
    </row>
    <row r="31" spans="1:17">
      <c r="A31" s="895" t="s">
        <v>736</v>
      </c>
      <c r="B31" s="903" t="s">
        <v>735</v>
      </c>
      <c r="D31" s="895">
        <v>0.3</v>
      </c>
      <c r="E31" s="895">
        <v>0.3</v>
      </c>
      <c r="F31" s="895">
        <f>E31</f>
        <v>0.3</v>
      </c>
      <c r="G31" s="895">
        <f>F31</f>
        <v>0.3</v>
      </c>
      <c r="H31" s="895">
        <f t="shared" ref="H31:Q31" si="13">G31</f>
        <v>0.3</v>
      </c>
      <c r="I31" s="895">
        <f t="shared" si="13"/>
        <v>0.3</v>
      </c>
      <c r="J31" s="895">
        <f t="shared" si="13"/>
        <v>0.3</v>
      </c>
      <c r="K31" s="895">
        <f t="shared" si="13"/>
        <v>0.3</v>
      </c>
      <c r="L31" s="895">
        <f t="shared" si="13"/>
        <v>0.3</v>
      </c>
      <c r="M31" s="895">
        <f t="shared" si="13"/>
        <v>0.3</v>
      </c>
      <c r="N31" s="895">
        <f t="shared" si="13"/>
        <v>0.3</v>
      </c>
      <c r="O31" s="895">
        <f t="shared" si="13"/>
        <v>0.3</v>
      </c>
      <c r="P31" s="895">
        <f t="shared" si="13"/>
        <v>0.3</v>
      </c>
      <c r="Q31" s="895">
        <f t="shared" si="13"/>
        <v>0.3</v>
      </c>
    </row>
    <row r="32" spans="1:17">
      <c r="A32" s="895" t="s">
        <v>737</v>
      </c>
      <c r="B32" s="903" t="s">
        <v>738</v>
      </c>
      <c r="D32" s="899">
        <f>D31*35.49391*933.07/$D$1</f>
        <v>9.9354907811099995E-3</v>
      </c>
      <c r="E32" s="899">
        <f>E31*35.49391*933.07/$D$1</f>
        <v>9.9354907811099995E-3</v>
      </c>
      <c r="F32" s="907">
        <f t="shared" ref="F32:Q32" si="14">F31*35.49391*933.07/$D$1</f>
        <v>9.9354907811099995E-3</v>
      </c>
      <c r="G32" s="907">
        <f t="shared" si="14"/>
        <v>9.9354907811099995E-3</v>
      </c>
      <c r="H32" s="907">
        <f t="shared" si="14"/>
        <v>9.9354907811099995E-3</v>
      </c>
      <c r="I32" s="907">
        <f t="shared" si="14"/>
        <v>9.9354907811099995E-3</v>
      </c>
      <c r="J32" s="907">
        <f t="shared" si="14"/>
        <v>9.9354907811099995E-3</v>
      </c>
      <c r="K32" s="907">
        <f t="shared" si="14"/>
        <v>9.9354907811099995E-3</v>
      </c>
      <c r="L32" s="907">
        <f t="shared" si="14"/>
        <v>9.9354907811099995E-3</v>
      </c>
      <c r="M32" s="907">
        <f t="shared" si="14"/>
        <v>9.9354907811099995E-3</v>
      </c>
      <c r="N32" s="907">
        <f t="shared" si="14"/>
        <v>9.9354907811099995E-3</v>
      </c>
      <c r="O32" s="907">
        <f t="shared" si="14"/>
        <v>9.9354907811099995E-3</v>
      </c>
      <c r="P32" s="907">
        <f t="shared" si="14"/>
        <v>9.9354907811099995E-3</v>
      </c>
      <c r="Q32" s="907">
        <f t="shared" si="14"/>
        <v>9.9354907811099995E-3</v>
      </c>
    </row>
    <row r="33" spans="1:17">
      <c r="B33" s="903"/>
    </row>
    <row r="34" spans="1:17">
      <c r="B34" s="903"/>
    </row>
    <row r="35" spans="1:17">
      <c r="B35" s="903"/>
    </row>
    <row r="36" spans="1:17">
      <c r="A36" s="895" t="s">
        <v>739</v>
      </c>
      <c r="B36" s="903" t="s">
        <v>738</v>
      </c>
      <c r="D36" s="904">
        <f>D37*D32</f>
        <v>1126561.5240406236</v>
      </c>
      <c r="E36" s="904">
        <f>E37*E32</f>
        <v>1126561.5240406236</v>
      </c>
      <c r="F36" s="904">
        <f t="shared" ref="F36:Q36" si="15">F37*F32</f>
        <v>1484104.3297958188</v>
      </c>
      <c r="G36" s="904">
        <f t="shared" si="15"/>
        <v>1535420.499000065</v>
      </c>
      <c r="H36" s="904">
        <f t="shared" si="15"/>
        <v>1588276.1532804377</v>
      </c>
      <c r="I36" s="904">
        <f t="shared" si="15"/>
        <v>1588276.1532804377</v>
      </c>
      <c r="J36" s="904">
        <f t="shared" si="15"/>
        <v>1588276.1532804377</v>
      </c>
      <c r="K36" s="904">
        <f t="shared" si="15"/>
        <v>1588276.1532804377</v>
      </c>
      <c r="L36" s="904">
        <f t="shared" si="15"/>
        <v>1588276.1532804377</v>
      </c>
      <c r="M36" s="904">
        <f t="shared" si="15"/>
        <v>1588276.1532804377</v>
      </c>
      <c r="N36" s="904">
        <f t="shared" si="15"/>
        <v>1588276.1532804377</v>
      </c>
      <c r="O36" s="904">
        <f t="shared" si="15"/>
        <v>1588276.1532804377</v>
      </c>
      <c r="P36" s="904">
        <f t="shared" si="15"/>
        <v>1588276.1532804377</v>
      </c>
      <c r="Q36" s="904">
        <f t="shared" si="15"/>
        <v>1588276.1532804377</v>
      </c>
    </row>
    <row r="37" spans="1:17">
      <c r="A37" s="895" t="s">
        <v>740</v>
      </c>
      <c r="B37" s="903" t="s">
        <v>633</v>
      </c>
      <c r="D37" s="904">
        <f>D24</f>
        <v>113387607</v>
      </c>
      <c r="E37" s="904">
        <f>E24</f>
        <v>113387607</v>
      </c>
      <c r="F37" s="904">
        <f t="shared" ref="F37:Q37" si="16">F24</f>
        <v>149374033.19999999</v>
      </c>
      <c r="G37" s="904">
        <f t="shared" si="16"/>
        <v>154538968.71600005</v>
      </c>
      <c r="H37" s="904">
        <f t="shared" si="16"/>
        <v>159858852.29748002</v>
      </c>
      <c r="I37" s="904">
        <f t="shared" si="16"/>
        <v>159858852.29748002</v>
      </c>
      <c r="J37" s="904">
        <f t="shared" si="16"/>
        <v>159858852.29748002</v>
      </c>
      <c r="K37" s="904">
        <f t="shared" si="16"/>
        <v>159858852.29748002</v>
      </c>
      <c r="L37" s="904">
        <f t="shared" si="16"/>
        <v>159858852.29748002</v>
      </c>
      <c r="M37" s="904">
        <f t="shared" si="16"/>
        <v>159858852.29748002</v>
      </c>
      <c r="N37" s="904">
        <f t="shared" si="16"/>
        <v>159858852.29748002</v>
      </c>
      <c r="O37" s="904">
        <f t="shared" si="16"/>
        <v>159858852.29748002</v>
      </c>
      <c r="P37" s="904">
        <f t="shared" si="16"/>
        <v>159858852.29748002</v>
      </c>
      <c r="Q37" s="904">
        <f t="shared" si="16"/>
        <v>159858852.29748002</v>
      </c>
    </row>
    <row r="38" spans="1:17">
      <c r="A38" s="895" t="s">
        <v>741</v>
      </c>
      <c r="B38" s="903" t="s">
        <v>633</v>
      </c>
      <c r="D38" s="904">
        <f>D37</f>
        <v>113387607</v>
      </c>
      <c r="E38" s="904">
        <f>E37</f>
        <v>113387607</v>
      </c>
      <c r="F38" s="904">
        <f t="shared" ref="F38:Q38" si="17">F37</f>
        <v>149374033.19999999</v>
      </c>
      <c r="G38" s="904">
        <f t="shared" si="17"/>
        <v>154538968.71600005</v>
      </c>
      <c r="H38" s="904">
        <f t="shared" si="17"/>
        <v>159858852.29748002</v>
      </c>
      <c r="I38" s="904">
        <f t="shared" si="17"/>
        <v>159858852.29748002</v>
      </c>
      <c r="J38" s="904">
        <f t="shared" si="17"/>
        <v>159858852.29748002</v>
      </c>
      <c r="K38" s="904">
        <f t="shared" si="17"/>
        <v>159858852.29748002</v>
      </c>
      <c r="L38" s="904">
        <f t="shared" si="17"/>
        <v>159858852.29748002</v>
      </c>
      <c r="M38" s="904">
        <f t="shared" si="17"/>
        <v>159858852.29748002</v>
      </c>
      <c r="N38" s="904">
        <f t="shared" si="17"/>
        <v>159858852.29748002</v>
      </c>
      <c r="O38" s="904">
        <f t="shared" si="17"/>
        <v>159858852.29748002</v>
      </c>
      <c r="P38" s="904">
        <f t="shared" si="17"/>
        <v>159858852.29748002</v>
      </c>
      <c r="Q38" s="904">
        <f t="shared" si="17"/>
        <v>159858852.29748002</v>
      </c>
    </row>
    <row r="39" spans="1:17">
      <c r="A39" s="895" t="s">
        <v>742</v>
      </c>
      <c r="B39" s="903" t="s">
        <v>635</v>
      </c>
      <c r="D39" s="899">
        <f>D32*D28</f>
        <v>5.9102260460510943</v>
      </c>
      <c r="E39" s="899">
        <f>E32*E28</f>
        <v>5.3552295310182894</v>
      </c>
      <c r="F39" s="899">
        <f t="shared" ref="F39:Q39" si="18">F32*F28</f>
        <v>6.1078429576873718</v>
      </c>
      <c r="G39" s="899">
        <f t="shared" si="18"/>
        <v>6.9994290616572314</v>
      </c>
      <c r="H39" s="899">
        <f t="shared" si="18"/>
        <v>7.3494005147400934</v>
      </c>
      <c r="I39" s="899">
        <f t="shared" si="18"/>
        <v>7.7168705404770979</v>
      </c>
      <c r="J39" s="899">
        <f t="shared" si="18"/>
        <v>8.102714067500953</v>
      </c>
      <c r="K39" s="899">
        <f t="shared" si="18"/>
        <v>8.5078497708760015</v>
      </c>
      <c r="L39" s="899">
        <f t="shared" si="18"/>
        <v>8.9332422594198011</v>
      </c>
      <c r="M39" s="899">
        <f t="shared" si="18"/>
        <v>9.3799043723907918</v>
      </c>
      <c r="N39" s="899">
        <f t="shared" si="18"/>
        <v>9.8488995910103316</v>
      </c>
      <c r="O39" s="899">
        <f t="shared" si="18"/>
        <v>10.341344570560848</v>
      </c>
      <c r="P39" s="899">
        <f t="shared" si="18"/>
        <v>10.85841179908889</v>
      </c>
      <c r="Q39" s="899">
        <f t="shared" si="18"/>
        <v>11.401332389043336</v>
      </c>
    </row>
    <row r="40" spans="1:17">
      <c r="A40" s="895" t="s">
        <v>743</v>
      </c>
      <c r="B40" s="903" t="s">
        <v>635</v>
      </c>
      <c r="D40" s="910">
        <f>D16</f>
        <v>0.5</v>
      </c>
      <c r="E40" s="910">
        <f>E16</f>
        <v>0.5</v>
      </c>
      <c r="F40" s="910">
        <f t="shared" ref="F40:Q40" si="19">F16</f>
        <v>0.51500000000000001</v>
      </c>
      <c r="G40" s="910">
        <f t="shared" si="19"/>
        <v>0.52529999999999999</v>
      </c>
      <c r="H40" s="910">
        <f t="shared" si="19"/>
        <v>0.535806</v>
      </c>
      <c r="I40" s="910">
        <f t="shared" si="19"/>
        <v>0.54652212</v>
      </c>
      <c r="J40" s="910">
        <f t="shared" si="19"/>
        <v>0.55745256239999996</v>
      </c>
      <c r="K40" s="910">
        <f t="shared" si="19"/>
        <v>0.56860161364799999</v>
      </c>
      <c r="L40" s="910">
        <f t="shared" si="19"/>
        <v>0.57997364592096001</v>
      </c>
      <c r="M40" s="910">
        <f t="shared" si="19"/>
        <v>0.59157311883937924</v>
      </c>
      <c r="N40" s="910">
        <f t="shared" si="19"/>
        <v>0.6034045812161668</v>
      </c>
      <c r="O40" s="910">
        <f t="shared" si="19"/>
        <v>0.61547267284049012</v>
      </c>
      <c r="P40" s="910">
        <f t="shared" si="19"/>
        <v>0.6277821262972999</v>
      </c>
      <c r="Q40" s="910">
        <f t="shared" si="19"/>
        <v>0.64033776882324589</v>
      </c>
    </row>
    <row r="41" spans="1:17">
      <c r="A41" s="895" t="s">
        <v>744</v>
      </c>
      <c r="B41" s="903" t="s">
        <v>635</v>
      </c>
      <c r="D41" s="910">
        <f>D40+D39</f>
        <v>6.4102260460510943</v>
      </c>
      <c r="E41" s="910">
        <f>E40+E39</f>
        <v>5.8552295310182894</v>
      </c>
      <c r="F41" s="910">
        <f t="shared" ref="F41:Q41" si="20">F40+F39</f>
        <v>6.6228429576873715</v>
      </c>
      <c r="G41" s="910">
        <f t="shared" si="20"/>
        <v>7.5247290616572311</v>
      </c>
      <c r="H41" s="910">
        <f t="shared" si="20"/>
        <v>7.8852065147400934</v>
      </c>
      <c r="I41" s="910">
        <f t="shared" si="20"/>
        <v>8.2633926604770984</v>
      </c>
      <c r="J41" s="910">
        <f t="shared" si="20"/>
        <v>8.660166629900953</v>
      </c>
      <c r="K41" s="910">
        <f t="shared" si="20"/>
        <v>9.0764513845240007</v>
      </c>
      <c r="L41" s="910">
        <f t="shared" si="20"/>
        <v>9.5132159053407612</v>
      </c>
      <c r="M41" s="910">
        <f t="shared" si="20"/>
        <v>9.9714774912301714</v>
      </c>
      <c r="N41" s="910">
        <f t="shared" si="20"/>
        <v>10.452304172226498</v>
      </c>
      <c r="O41" s="910">
        <f t="shared" si="20"/>
        <v>10.956817243401337</v>
      </c>
      <c r="P41" s="910">
        <f t="shared" si="20"/>
        <v>11.486193925386189</v>
      </c>
      <c r="Q41" s="910">
        <f t="shared" si="20"/>
        <v>12.041670157866582</v>
      </c>
    </row>
    <row r="42" spans="1:17">
      <c r="A42" s="895" t="s">
        <v>745</v>
      </c>
      <c r="B42" s="903"/>
      <c r="D42" s="907">
        <f>D41*D37/$D$1</f>
        <v>726.84019169080545</v>
      </c>
      <c r="E42" s="907">
        <f>E41*E37/$D$1</f>
        <v>663.91046495789612</v>
      </c>
      <c r="F42" s="907">
        <f t="shared" ref="F42:Q42" si="21">F41*F37/$D$1</f>
        <v>989.2807638399795</v>
      </c>
      <c r="G42" s="907">
        <f t="shared" si="21"/>
        <v>1162.8638690558232</v>
      </c>
      <c r="H42" s="907">
        <f t="shared" si="21"/>
        <v>1260.5200635749638</v>
      </c>
      <c r="I42" s="907">
        <f t="shared" si="21"/>
        <v>1320.9764667872889</v>
      </c>
      <c r="J42" s="907">
        <f t="shared" si="21"/>
        <v>1384.4042981609018</v>
      </c>
      <c r="K42" s="907">
        <f t="shared" si="21"/>
        <v>1450.9511012638802</v>
      </c>
      <c r="L42" s="907">
        <f t="shared" si="21"/>
        <v>1520.7717762859063</v>
      </c>
      <c r="M42" s="907">
        <f t="shared" si="21"/>
        <v>1594.0289474582105</v>
      </c>
      <c r="N42" s="907">
        <f t="shared" si="21"/>
        <v>1670.89334883629</v>
      </c>
      <c r="O42" s="907">
        <f t="shared" si="21"/>
        <v>1751.5442293633766</v>
      </c>
      <c r="P42" s="907">
        <f t="shared" si="21"/>
        <v>1836.1697781785231</v>
      </c>
      <c r="Q42" s="907">
        <f t="shared" si="21"/>
        <v>1924.9675711813668</v>
      </c>
    </row>
    <row r="43" spans="1:17">
      <c r="B43" s="903"/>
      <c r="D43" s="899"/>
      <c r="E43" s="899"/>
    </row>
    <row r="44" spans="1:17" ht="12.75" thickBot="1">
      <c r="A44" s="895" t="s">
        <v>817</v>
      </c>
      <c r="B44" s="895" t="s">
        <v>818</v>
      </c>
      <c r="D44" s="912" t="e">
        <f>D42+D17</f>
        <v>#VALUE!</v>
      </c>
      <c r="E44" s="912">
        <f t="shared" ref="E44:Q44" si="22">E42+E17</f>
        <v>716.83046495789608</v>
      </c>
      <c r="F44" s="912">
        <f t="shared" si="22"/>
        <v>1059.7327638399795</v>
      </c>
      <c r="G44" s="912">
        <f t="shared" si="22"/>
        <v>1234.7249090558232</v>
      </c>
      <c r="H44" s="912">
        <f t="shared" si="22"/>
        <v>1333.8183243749638</v>
      </c>
      <c r="I44" s="912">
        <f t="shared" si="22"/>
        <v>1395.740692803289</v>
      </c>
      <c r="J44" s="912">
        <f t="shared" si="22"/>
        <v>1460.6638086972218</v>
      </c>
      <c r="K44" s="912">
        <f t="shared" si="22"/>
        <v>1528.7358020109266</v>
      </c>
      <c r="L44" s="912">
        <f t="shared" si="22"/>
        <v>1600.1121710478935</v>
      </c>
      <c r="M44" s="912">
        <f t="shared" si="22"/>
        <v>1674.9561501154376</v>
      </c>
      <c r="N44" s="912">
        <f t="shared" si="22"/>
        <v>1753.4390955466615</v>
      </c>
      <c r="O44" s="912">
        <f t="shared" si="22"/>
        <v>1835.7408910079557</v>
      </c>
      <c r="P44" s="912">
        <f t="shared" si="22"/>
        <v>1922.0503730559938</v>
      </c>
      <c r="Q44" s="912">
        <f t="shared" si="22"/>
        <v>2012.5657779563869</v>
      </c>
    </row>
    <row r="45" spans="1:17" ht="12.75" thickTop="1">
      <c r="D45" s="907"/>
      <c r="E45" s="907"/>
      <c r="F45" s="907"/>
      <c r="G45" s="907">
        <v>1144.1350996148194</v>
      </c>
      <c r="H45" s="907">
        <f>G44-G45</f>
        <v>90.589809441003808</v>
      </c>
      <c r="I45" s="907">
        <f>H45*D1/G9</f>
        <v>22.396783660482473</v>
      </c>
      <c r="J45" s="907">
        <f>I45/20</f>
        <v>1.1198391830241237</v>
      </c>
      <c r="K45" s="907"/>
      <c r="L45" s="907"/>
      <c r="M45" s="907"/>
      <c r="N45" s="907"/>
      <c r="O45" s="907"/>
      <c r="P45" s="907"/>
      <c r="Q45" s="907"/>
    </row>
    <row r="46" spans="1:17">
      <c r="A46" s="895" t="s">
        <v>810</v>
      </c>
      <c r="D46" s="907"/>
      <c r="E46" s="907"/>
      <c r="F46" s="907"/>
      <c r="G46" s="907"/>
      <c r="H46" s="907"/>
      <c r="I46" s="907"/>
      <c r="J46" s="907"/>
      <c r="K46" s="907"/>
      <c r="L46" s="907"/>
      <c r="M46" s="907"/>
      <c r="N46" s="907"/>
      <c r="O46" s="907"/>
      <c r="P46" s="907"/>
      <c r="Q46" s="907"/>
    </row>
    <row r="47" spans="1:17">
      <c r="A47" s="895" t="s">
        <v>811</v>
      </c>
      <c r="B47" s="895" t="s">
        <v>633</v>
      </c>
      <c r="D47" s="896">
        <f>D25</f>
        <v>170081410.5</v>
      </c>
      <c r="E47" s="896">
        <f>E25</f>
        <v>170081410.5</v>
      </c>
      <c r="F47" s="896">
        <f>F25</f>
        <v>99582688.800000012</v>
      </c>
      <c r="G47" s="896">
        <f>G25</f>
        <v>103025979.14400004</v>
      </c>
      <c r="H47" s="896">
        <f t="shared" ref="H47:Q47" si="23">H25</f>
        <v>106572568.19832002</v>
      </c>
      <c r="I47" s="896">
        <f t="shared" si="23"/>
        <v>106572568.19832002</v>
      </c>
      <c r="J47" s="896">
        <f t="shared" si="23"/>
        <v>106572568.19832002</v>
      </c>
      <c r="K47" s="896">
        <f t="shared" si="23"/>
        <v>106572568.19832002</v>
      </c>
      <c r="L47" s="896">
        <f t="shared" si="23"/>
        <v>106572568.19832002</v>
      </c>
      <c r="M47" s="896">
        <f t="shared" si="23"/>
        <v>106572568.19832002</v>
      </c>
      <c r="N47" s="896">
        <f t="shared" si="23"/>
        <v>106572568.19832002</v>
      </c>
      <c r="O47" s="896">
        <f t="shared" si="23"/>
        <v>106572568.19832002</v>
      </c>
      <c r="P47" s="896">
        <f t="shared" si="23"/>
        <v>106572568.19832002</v>
      </c>
      <c r="Q47" s="896">
        <f t="shared" si="23"/>
        <v>106572568.19832002</v>
      </c>
    </row>
    <row r="48" spans="1:17">
      <c r="A48" s="895" t="s">
        <v>768</v>
      </c>
      <c r="D48" s="907"/>
      <c r="E48" s="907"/>
      <c r="F48" s="907"/>
      <c r="G48" s="907"/>
      <c r="H48" s="907"/>
      <c r="I48" s="907"/>
      <c r="J48" s="907"/>
      <c r="K48" s="907"/>
      <c r="L48" s="907"/>
      <c r="M48" s="907"/>
      <c r="N48" s="907"/>
      <c r="O48" s="907"/>
      <c r="P48" s="907"/>
      <c r="Q48" s="907"/>
    </row>
    <row r="49" spans="1:17">
      <c r="A49" s="895" t="s">
        <v>812</v>
      </c>
      <c r="B49" s="895" t="s">
        <v>769</v>
      </c>
      <c r="D49" s="907">
        <v>12.37</v>
      </c>
      <c r="E49" s="907">
        <v>12.37</v>
      </c>
      <c r="F49" s="907">
        <v>18</v>
      </c>
      <c r="G49" s="907">
        <f>F49*(1+$F$52)</f>
        <v>18.900000000000002</v>
      </c>
      <c r="H49" s="907">
        <f t="shared" ref="H49:Q49" si="24">G49*(1+$F$52)</f>
        <v>19.845000000000002</v>
      </c>
      <c r="I49" s="907">
        <f t="shared" si="24"/>
        <v>20.837250000000004</v>
      </c>
      <c r="J49" s="907">
        <f t="shared" si="24"/>
        <v>21.879112500000005</v>
      </c>
      <c r="K49" s="907">
        <f t="shared" si="24"/>
        <v>22.973068125000005</v>
      </c>
      <c r="L49" s="907">
        <f t="shared" si="24"/>
        <v>24.121721531250007</v>
      </c>
      <c r="M49" s="907">
        <f t="shared" si="24"/>
        <v>25.32780760781251</v>
      </c>
      <c r="N49" s="907">
        <f t="shared" si="24"/>
        <v>26.594197988203135</v>
      </c>
      <c r="O49" s="907">
        <f t="shared" si="24"/>
        <v>27.923907887613293</v>
      </c>
      <c r="P49" s="907">
        <f t="shared" si="24"/>
        <v>29.320103281993958</v>
      </c>
      <c r="Q49" s="907">
        <f t="shared" si="24"/>
        <v>30.786108446093657</v>
      </c>
    </row>
    <row r="50" spans="1:17">
      <c r="A50" s="895" t="s">
        <v>813</v>
      </c>
      <c r="B50" s="895" t="s">
        <v>769</v>
      </c>
      <c r="D50" s="907">
        <v>7.46</v>
      </c>
      <c r="E50" s="907">
        <v>7.46</v>
      </c>
      <c r="F50" s="907">
        <v>12.1</v>
      </c>
      <c r="G50" s="907">
        <f>F50*(1+$F$52)</f>
        <v>12.705</v>
      </c>
      <c r="H50" s="907">
        <f t="shared" ref="H50:Q50" si="25">G50*(1+$F$52)</f>
        <v>13.340250000000001</v>
      </c>
      <c r="I50" s="907">
        <f t="shared" si="25"/>
        <v>14.007262500000001</v>
      </c>
      <c r="J50" s="907">
        <f t="shared" si="25"/>
        <v>14.707625625000002</v>
      </c>
      <c r="K50" s="907">
        <f t="shared" si="25"/>
        <v>15.443006906250003</v>
      </c>
      <c r="L50" s="907">
        <f t="shared" si="25"/>
        <v>16.215157251562506</v>
      </c>
      <c r="M50" s="907">
        <f t="shared" si="25"/>
        <v>17.025915114140631</v>
      </c>
      <c r="N50" s="907">
        <f t="shared" si="25"/>
        <v>17.877210869847662</v>
      </c>
      <c r="O50" s="907">
        <f t="shared" si="25"/>
        <v>18.771071413340046</v>
      </c>
      <c r="P50" s="907">
        <f t="shared" si="25"/>
        <v>19.70962498400705</v>
      </c>
      <c r="Q50" s="907">
        <f t="shared" si="25"/>
        <v>20.695106233207405</v>
      </c>
    </row>
    <row r="51" spans="1:17">
      <c r="A51" s="895" t="s">
        <v>768</v>
      </c>
      <c r="B51" s="895" t="s">
        <v>769</v>
      </c>
      <c r="D51" s="907">
        <f>D50*0.7+D49*0.3</f>
        <v>8.9329999999999998</v>
      </c>
      <c r="E51" s="907">
        <f>E50*0.7+E49*0.3</f>
        <v>8.9329999999999998</v>
      </c>
      <c r="F51" s="907">
        <f>F50*0.8+F49*0.2</f>
        <v>13.28</v>
      </c>
      <c r="G51" s="907">
        <f t="shared" ref="G51:Q51" si="26">G50*0.7+G49*0.3</f>
        <v>14.563500000000001</v>
      </c>
      <c r="H51" s="907">
        <f t="shared" si="26"/>
        <v>15.291675000000001</v>
      </c>
      <c r="I51" s="907">
        <f t="shared" si="26"/>
        <v>16.056258750000001</v>
      </c>
      <c r="J51" s="907">
        <f t="shared" si="26"/>
        <v>16.859071687500002</v>
      </c>
      <c r="K51" s="907">
        <f t="shared" si="26"/>
        <v>17.702025271875002</v>
      </c>
      <c r="L51" s="907">
        <f t="shared" si="26"/>
        <v>18.587126535468755</v>
      </c>
      <c r="M51" s="907">
        <f t="shared" si="26"/>
        <v>19.516482862242192</v>
      </c>
      <c r="N51" s="907">
        <f t="shared" si="26"/>
        <v>20.492307005354302</v>
      </c>
      <c r="O51" s="907">
        <f t="shared" si="26"/>
        <v>21.516922355622022</v>
      </c>
      <c r="P51" s="907">
        <f t="shared" si="26"/>
        <v>22.592768473403122</v>
      </c>
      <c r="Q51" s="907">
        <f t="shared" si="26"/>
        <v>23.722406897073277</v>
      </c>
    </row>
    <row r="52" spans="1:17">
      <c r="A52" s="895" t="s">
        <v>820</v>
      </c>
      <c r="B52" s="895" t="s">
        <v>50</v>
      </c>
      <c r="D52" s="907"/>
      <c r="E52" s="905">
        <f>E50/D50-1</f>
        <v>0</v>
      </c>
      <c r="F52" s="916">
        <v>0.05</v>
      </c>
      <c r="G52" s="916">
        <v>0.02</v>
      </c>
      <c r="H52" s="916">
        <f t="shared" ref="H52:Q52" si="27">G52</f>
        <v>0.02</v>
      </c>
      <c r="I52" s="916">
        <f t="shared" si="27"/>
        <v>0.02</v>
      </c>
      <c r="J52" s="916">
        <f t="shared" si="27"/>
        <v>0.02</v>
      </c>
      <c r="K52" s="916">
        <f t="shared" si="27"/>
        <v>0.02</v>
      </c>
      <c r="L52" s="916">
        <f t="shared" si="27"/>
        <v>0.02</v>
      </c>
      <c r="M52" s="916">
        <f t="shared" si="27"/>
        <v>0.02</v>
      </c>
      <c r="N52" s="916">
        <f t="shared" si="27"/>
        <v>0.02</v>
      </c>
      <c r="O52" s="916">
        <f t="shared" si="27"/>
        <v>0.02</v>
      </c>
      <c r="P52" s="916">
        <f t="shared" si="27"/>
        <v>0.02</v>
      </c>
      <c r="Q52" s="916">
        <f t="shared" si="27"/>
        <v>0.02</v>
      </c>
    </row>
    <row r="53" spans="1:17">
      <c r="A53" s="895" t="s">
        <v>819</v>
      </c>
      <c r="B53" s="895" t="s">
        <v>612</v>
      </c>
      <c r="D53" s="907">
        <f>D51*D47/$D$1</f>
        <v>1519.3372399965001</v>
      </c>
      <c r="E53" s="907">
        <f>E51*E47/$D$1</f>
        <v>1519.3372399965001</v>
      </c>
      <c r="F53" s="907">
        <f>F51*F47/$D$1</f>
        <v>1322.4581072640001</v>
      </c>
      <c r="G53" s="907">
        <f>G51*G47/$D$1</f>
        <v>1500.4188472636447</v>
      </c>
      <c r="H53" s="907">
        <f t="shared" ref="H53:Q53" si="28">H51*H47/$D$1</f>
        <v>1629.6730768040454</v>
      </c>
      <c r="I53" s="907">
        <f t="shared" si="28"/>
        <v>1711.1567306442475</v>
      </c>
      <c r="J53" s="907">
        <f t="shared" si="28"/>
        <v>1796.7145671764599</v>
      </c>
      <c r="K53" s="907">
        <f t="shared" si="28"/>
        <v>1886.5502955352831</v>
      </c>
      <c r="L53" s="907">
        <f t="shared" si="28"/>
        <v>1980.8778103120476</v>
      </c>
      <c r="M53" s="907">
        <f t="shared" si="28"/>
        <v>2079.9217008276501</v>
      </c>
      <c r="N53" s="907">
        <f t="shared" si="28"/>
        <v>2183.9177858690323</v>
      </c>
      <c r="O53" s="907">
        <f t="shared" si="28"/>
        <v>2293.1136751624845</v>
      </c>
      <c r="P53" s="907">
        <f t="shared" si="28"/>
        <v>2407.7693589206087</v>
      </c>
      <c r="Q53" s="907">
        <f t="shared" si="28"/>
        <v>2528.157826866639</v>
      </c>
    </row>
    <row r="54" spans="1:17">
      <c r="D54" s="907"/>
      <c r="E54" s="907"/>
      <c r="F54" s="907"/>
      <c r="G54" s="907"/>
      <c r="H54" s="907"/>
      <c r="I54" s="907"/>
      <c r="J54" s="907"/>
      <c r="K54" s="907"/>
      <c r="L54" s="907"/>
      <c r="M54" s="907"/>
      <c r="N54" s="907"/>
      <c r="O54" s="907"/>
      <c r="P54" s="907"/>
      <c r="Q54" s="907"/>
    </row>
    <row r="55" spans="1:17" ht="12.75" thickBot="1">
      <c r="A55" s="895" t="s">
        <v>821</v>
      </c>
      <c r="B55" s="895" t="s">
        <v>612</v>
      </c>
      <c r="D55" s="912" t="e">
        <f>D53+D44</f>
        <v>#VALUE!</v>
      </c>
      <c r="E55" s="912">
        <f>E53+E44</f>
        <v>2236.167704954396</v>
      </c>
      <c r="F55" s="912">
        <f>F53+F44</f>
        <v>2382.1908711039796</v>
      </c>
      <c r="G55" s="912">
        <f t="shared" ref="G55:Q55" si="29">G53+G44</f>
        <v>2735.1437563194677</v>
      </c>
      <c r="H55" s="912">
        <f t="shared" si="29"/>
        <v>2963.4914011790092</v>
      </c>
      <c r="I55" s="912">
        <f t="shared" si="29"/>
        <v>3106.8974234475363</v>
      </c>
      <c r="J55" s="912">
        <f t="shared" si="29"/>
        <v>3257.3783758736818</v>
      </c>
      <c r="K55" s="912">
        <f t="shared" si="29"/>
        <v>3415.2860975462099</v>
      </c>
      <c r="L55" s="912">
        <f t="shared" si="29"/>
        <v>3580.9899813599413</v>
      </c>
      <c r="M55" s="912">
        <f t="shared" si="29"/>
        <v>3754.8778509430877</v>
      </c>
      <c r="N55" s="912">
        <f t="shared" si="29"/>
        <v>3937.3568814156938</v>
      </c>
      <c r="O55" s="912">
        <f t="shared" si="29"/>
        <v>4128.8545661704402</v>
      </c>
      <c r="P55" s="912">
        <f t="shared" si="29"/>
        <v>4329.8197319766023</v>
      </c>
      <c r="Q55" s="912">
        <f t="shared" si="29"/>
        <v>4540.7236048230261</v>
      </c>
    </row>
    <row r="56" spans="1:17" ht="12.75" thickTop="1">
      <c r="E56" s="907"/>
      <c r="F56" s="907"/>
      <c r="G56" s="907"/>
      <c r="H56" s="907"/>
      <c r="I56" s="907"/>
      <c r="J56" s="907"/>
      <c r="K56" s="907"/>
      <c r="L56" s="907"/>
      <c r="M56" s="907"/>
      <c r="N56" s="907"/>
      <c r="O56" s="907"/>
      <c r="P56" s="907"/>
      <c r="Q56" s="907"/>
    </row>
    <row r="57" spans="1:17">
      <c r="E57" s="907"/>
      <c r="F57" s="907"/>
      <c r="G57" s="907"/>
      <c r="H57" s="907"/>
      <c r="I57" s="907"/>
      <c r="J57" s="907"/>
      <c r="K57" s="907"/>
      <c r="L57" s="907"/>
      <c r="M57" s="907"/>
      <c r="N57" s="907"/>
      <c r="O57" s="907"/>
      <c r="P57" s="907"/>
      <c r="Q57" s="907"/>
    </row>
    <row r="58" spans="1:17">
      <c r="D58" s="899">
        <f>12.37*0.2+7.46*0.8</f>
        <v>8.4420000000000002</v>
      </c>
      <c r="E58" s="899">
        <f>F51</f>
        <v>13.28</v>
      </c>
      <c r="F58" s="907">
        <f>0.67*D58+0.33*E58</f>
        <v>10.038540000000001</v>
      </c>
      <c r="G58" s="907"/>
      <c r="H58" s="907"/>
      <c r="I58" s="907"/>
      <c r="J58" s="907"/>
      <c r="K58" s="907"/>
      <c r="L58" s="907"/>
      <c r="M58" s="907"/>
      <c r="N58" s="907"/>
      <c r="O58" s="907"/>
      <c r="P58" s="907"/>
      <c r="Q58" s="907"/>
    </row>
    <row r="59" spans="1:17">
      <c r="E59" s="907"/>
      <c r="F59" s="907"/>
      <c r="G59" s="907"/>
      <c r="H59" s="907"/>
      <c r="I59" s="907"/>
      <c r="J59" s="907"/>
      <c r="K59" s="907"/>
      <c r="L59" s="907"/>
      <c r="M59" s="907"/>
      <c r="N59" s="907"/>
      <c r="O59" s="907"/>
      <c r="P59" s="907"/>
      <c r="Q59" s="907"/>
    </row>
    <row r="60" spans="1:17">
      <c r="E60" s="916">
        <v>1</v>
      </c>
      <c r="F60" s="907"/>
      <c r="G60" s="907"/>
      <c r="H60" s="907"/>
      <c r="I60" s="907"/>
      <c r="J60" s="907"/>
      <c r="K60" s="907"/>
      <c r="L60" s="907"/>
      <c r="M60" s="907"/>
      <c r="N60" s="907"/>
      <c r="O60" s="907"/>
      <c r="P60" s="907"/>
      <c r="Q60" s="907"/>
    </row>
    <row r="61" spans="1:17">
      <c r="E61" s="916">
        <f>1-E60</f>
        <v>0</v>
      </c>
      <c r="F61" s="907"/>
      <c r="G61" s="907"/>
      <c r="H61" s="907"/>
      <c r="I61" s="907"/>
      <c r="J61" s="907"/>
      <c r="K61" s="907"/>
      <c r="L61" s="907"/>
      <c r="M61" s="907"/>
      <c r="N61" s="907"/>
      <c r="O61" s="907"/>
      <c r="P61" s="907"/>
      <c r="Q61" s="907"/>
    </row>
    <row r="62" spans="1:17">
      <c r="E62" s="907">
        <f>F41*E60+E61*F58</f>
        <v>6.6228429576873715</v>
      </c>
      <c r="F62" s="907"/>
      <c r="G62" s="907"/>
      <c r="H62" s="907"/>
      <c r="I62" s="907"/>
      <c r="J62" s="907"/>
      <c r="K62" s="907"/>
      <c r="L62" s="907"/>
      <c r="M62" s="907"/>
      <c r="N62" s="907"/>
      <c r="O62" s="907"/>
      <c r="P62" s="907"/>
      <c r="Q62" s="907"/>
    </row>
    <row r="63" spans="1:17">
      <c r="E63" s="907">
        <v>95</v>
      </c>
      <c r="F63" s="907"/>
      <c r="G63" s="907"/>
      <c r="H63" s="907"/>
      <c r="I63" s="907"/>
      <c r="J63" s="907"/>
      <c r="K63" s="907"/>
      <c r="L63" s="907"/>
      <c r="M63" s="907"/>
      <c r="N63" s="907"/>
      <c r="O63" s="907"/>
      <c r="P63" s="907"/>
      <c r="Q63" s="907"/>
    </row>
    <row r="64" spans="1:17">
      <c r="E64" s="907">
        <f>897171</f>
        <v>897171</v>
      </c>
      <c r="F64" s="907"/>
      <c r="G64" s="907"/>
      <c r="H64" s="907"/>
      <c r="I64" s="907"/>
      <c r="J64" s="907"/>
      <c r="K64" s="907"/>
      <c r="L64" s="907"/>
      <c r="M64" s="907"/>
      <c r="N64" s="907"/>
      <c r="O64" s="907"/>
      <c r="P64" s="907"/>
      <c r="Q64" s="907"/>
    </row>
    <row r="65" spans="1:20">
      <c r="E65" s="907">
        <f>E64*E63*E62/$D$1</f>
        <v>564.4731507231769</v>
      </c>
      <c r="F65" s="907"/>
      <c r="G65" s="907"/>
      <c r="H65" s="907"/>
      <c r="I65" s="907"/>
      <c r="J65" s="907"/>
      <c r="K65" s="907"/>
      <c r="L65" s="907"/>
      <c r="M65" s="907"/>
      <c r="N65" s="907"/>
      <c r="O65" s="907"/>
      <c r="P65" s="907"/>
      <c r="Q65" s="907"/>
    </row>
    <row r="66" spans="1:20">
      <c r="E66" s="907"/>
      <c r="F66" s="907"/>
      <c r="G66" s="907"/>
      <c r="H66" s="907"/>
      <c r="I66" s="907"/>
      <c r="J66" s="907"/>
      <c r="K66" s="907"/>
      <c r="L66" s="907"/>
      <c r="M66" s="907"/>
      <c r="N66" s="907"/>
      <c r="O66" s="907"/>
      <c r="P66" s="907"/>
      <c r="Q66" s="907"/>
    </row>
    <row r="67" spans="1:20">
      <c r="E67" s="907"/>
      <c r="F67" s="907"/>
      <c r="G67" s="907"/>
      <c r="H67" s="907"/>
      <c r="I67" s="907"/>
      <c r="J67" s="907"/>
      <c r="K67" s="907"/>
      <c r="L67" s="907"/>
      <c r="M67" s="907"/>
      <c r="N67" s="907"/>
      <c r="O67" s="907"/>
      <c r="P67" s="907"/>
      <c r="Q67" s="907"/>
    </row>
    <row r="68" spans="1:20">
      <c r="E68" s="907"/>
      <c r="F68" s="907"/>
      <c r="G68" s="907"/>
      <c r="H68" s="907"/>
      <c r="I68" s="907"/>
      <c r="J68" s="907"/>
      <c r="K68" s="907"/>
      <c r="L68" s="907"/>
      <c r="M68" s="907"/>
      <c r="N68" s="907"/>
      <c r="O68" s="907"/>
      <c r="P68" s="907"/>
      <c r="Q68" s="907"/>
    </row>
    <row r="69" spans="1:20">
      <c r="A69" s="906" t="s">
        <v>747</v>
      </c>
    </row>
    <row r="70" spans="1:20">
      <c r="A70" s="895" t="s">
        <v>748</v>
      </c>
      <c r="B70" s="903" t="s">
        <v>749</v>
      </c>
      <c r="E70" s="899">
        <f>75722.48</f>
        <v>75722.48</v>
      </c>
    </row>
    <row r="71" spans="1:20">
      <c r="A71" s="895" t="s">
        <v>750</v>
      </c>
      <c r="B71" s="903" t="s">
        <v>532</v>
      </c>
      <c r="E71" s="899">
        <f>220/$D$1</f>
        <v>2.2000000000000001E-4</v>
      </c>
      <c r="F71" s="895">
        <f>E71*E70</f>
        <v>16.658945599999999</v>
      </c>
    </row>
    <row r="72" spans="1:20">
      <c r="A72" s="895" t="s">
        <v>751</v>
      </c>
      <c r="B72" s="903" t="s">
        <v>723</v>
      </c>
      <c r="E72" s="899">
        <f>(E11*0.5)*0.3</f>
        <v>58396352.625</v>
      </c>
      <c r="F72" s="895">
        <f>+F71+0.8</f>
        <v>17.4589456</v>
      </c>
    </row>
    <row r="73" spans="1:20">
      <c r="A73" s="895" t="s">
        <v>752</v>
      </c>
      <c r="E73" s="899">
        <f>E72*E71</f>
        <v>12847.197577500001</v>
      </c>
    </row>
    <row r="74" spans="1:20">
      <c r="A74" s="895" t="s">
        <v>753</v>
      </c>
      <c r="E74" s="899">
        <f>E73*E70/$D$1</f>
        <v>972.82166161829218</v>
      </c>
    </row>
    <row r="76" spans="1:20">
      <c r="A76" s="906" t="s">
        <v>754</v>
      </c>
      <c r="B76" s="903" t="s">
        <v>635</v>
      </c>
      <c r="E76" s="907">
        <f t="shared" ref="E76:Q76" si="30">E44*$D$1/E9</f>
        <v>179.52569088229473</v>
      </c>
      <c r="F76" s="907">
        <f t="shared" si="30"/>
        <v>267.8474245081282</v>
      </c>
      <c r="G76" s="907">
        <f t="shared" si="30"/>
        <v>305.26465216092129</v>
      </c>
      <c r="H76" s="907">
        <f t="shared" si="30"/>
        <v>322.51278054338405</v>
      </c>
      <c r="I76" s="907">
        <f t="shared" si="30"/>
        <v>337.48540076811327</v>
      </c>
      <c r="J76" s="907">
        <f t="shared" si="30"/>
        <v>353.18359162803011</v>
      </c>
      <c r="K76" s="907">
        <f t="shared" si="30"/>
        <v>369.64317044737294</v>
      </c>
      <c r="L76" s="907">
        <f t="shared" si="30"/>
        <v>386.90173619244189</v>
      </c>
      <c r="M76" s="907">
        <f t="shared" si="30"/>
        <v>404.99875836921825</v>
      </c>
      <c r="N76" s="907">
        <f t="shared" si="30"/>
        <v>423.97567036217652</v>
      </c>
      <c r="O76" s="907">
        <f t="shared" si="30"/>
        <v>443.87596743627262</v>
      </c>
      <c r="P76" s="907">
        <f t="shared" si="30"/>
        <v>464.74530963519322</v>
      </c>
      <c r="Q76" s="907">
        <f t="shared" si="30"/>
        <v>486.63162982060209</v>
      </c>
    </row>
    <row r="77" spans="1:20">
      <c r="A77" s="895" t="s">
        <v>755</v>
      </c>
      <c r="B77" s="903" t="s">
        <v>635</v>
      </c>
      <c r="E77" s="907">
        <f t="shared" ref="E77:Q77" si="31">E11*E41/E9</f>
        <v>570.88487927428321</v>
      </c>
      <c r="F77" s="907">
        <f t="shared" si="31"/>
        <v>645.72718837451873</v>
      </c>
      <c r="G77" s="907">
        <f t="shared" si="31"/>
        <v>733.66108351158016</v>
      </c>
      <c r="H77" s="907">
        <f t="shared" si="31"/>
        <v>768.80763518715912</v>
      </c>
      <c r="I77" s="907">
        <f t="shared" si="31"/>
        <v>805.68078439651708</v>
      </c>
      <c r="J77" s="907">
        <f t="shared" si="31"/>
        <v>844.36624641534286</v>
      </c>
      <c r="K77" s="907">
        <f t="shared" si="31"/>
        <v>884.95400999109006</v>
      </c>
      <c r="L77" s="907">
        <f t="shared" si="31"/>
        <v>927.53855077072421</v>
      </c>
      <c r="M77" s="907">
        <f t="shared" si="31"/>
        <v>972.21905539494162</v>
      </c>
      <c r="N77" s="907">
        <f t="shared" si="31"/>
        <v>1019.0996567920835</v>
      </c>
      <c r="O77" s="907">
        <f t="shared" si="31"/>
        <v>1068.2896812316303</v>
      </c>
      <c r="P77" s="907">
        <f t="shared" si="31"/>
        <v>1119.9039077251534</v>
      </c>
      <c r="Q77" s="907">
        <f t="shared" si="31"/>
        <v>1174.0628403919916</v>
      </c>
    </row>
    <row r="78" spans="1:20">
      <c r="A78" s="895" t="s">
        <v>756</v>
      </c>
      <c r="B78" s="903" t="s">
        <v>635</v>
      </c>
      <c r="E78" s="907">
        <f>E77-E76</f>
        <v>391.35918839198848</v>
      </c>
      <c r="F78" s="907">
        <f t="shared" ref="F78:Q78" si="32">F77-F76</f>
        <v>377.87976386639053</v>
      </c>
      <c r="G78" s="907">
        <f t="shared" si="32"/>
        <v>428.39643135065887</v>
      </c>
      <c r="H78" s="907">
        <f t="shared" si="32"/>
        <v>446.29485464377507</v>
      </c>
      <c r="I78" s="907">
        <f t="shared" si="32"/>
        <v>468.19538362840382</v>
      </c>
      <c r="J78" s="907">
        <f t="shared" si="32"/>
        <v>491.18265478731274</v>
      </c>
      <c r="K78" s="907">
        <f t="shared" si="32"/>
        <v>515.31083954371707</v>
      </c>
      <c r="L78" s="907">
        <f t="shared" si="32"/>
        <v>540.63681457828238</v>
      </c>
      <c r="M78" s="907">
        <f t="shared" si="32"/>
        <v>567.22029702572331</v>
      </c>
      <c r="N78" s="907">
        <f t="shared" si="32"/>
        <v>595.12398642990695</v>
      </c>
      <c r="O78" s="907">
        <f t="shared" si="32"/>
        <v>624.41371379535769</v>
      </c>
      <c r="P78" s="907">
        <f t="shared" si="32"/>
        <v>655.15859808996015</v>
      </c>
      <c r="Q78" s="907">
        <f t="shared" si="32"/>
        <v>687.43121057138956</v>
      </c>
      <c r="T78" s="895">
        <v>1.0518000000000001</v>
      </c>
    </row>
    <row r="80" spans="1:20">
      <c r="F80" s="896"/>
      <c r="G80" s="896"/>
    </row>
    <row r="81" spans="1:33">
      <c r="A81" s="906" t="s">
        <v>757</v>
      </c>
      <c r="F81" s="899"/>
      <c r="G81" s="896"/>
      <c r="H81" s="904"/>
      <c r="I81" s="907"/>
      <c r="J81" s="907"/>
    </row>
    <row r="82" spans="1:33">
      <c r="A82" s="906"/>
      <c r="F82" s="913"/>
    </row>
    <row r="83" spans="1:33">
      <c r="A83" s="895" t="s">
        <v>758</v>
      </c>
      <c r="B83" s="903" t="s">
        <v>725</v>
      </c>
      <c r="E83" s="895">
        <v>40</v>
      </c>
      <c r="F83" s="895">
        <f>E83</f>
        <v>40</v>
      </c>
      <c r="G83" s="895">
        <f t="shared" ref="G83:Q83" si="33">F83</f>
        <v>40</v>
      </c>
      <c r="H83" s="895">
        <f t="shared" si="33"/>
        <v>40</v>
      </c>
      <c r="I83" s="895">
        <f t="shared" si="33"/>
        <v>40</v>
      </c>
      <c r="J83" s="895">
        <f t="shared" si="33"/>
        <v>40</v>
      </c>
      <c r="K83" s="895">
        <f t="shared" si="33"/>
        <v>40</v>
      </c>
      <c r="L83" s="895">
        <f t="shared" si="33"/>
        <v>40</v>
      </c>
      <c r="M83" s="895">
        <f t="shared" si="33"/>
        <v>40</v>
      </c>
      <c r="N83" s="895">
        <f t="shared" si="33"/>
        <v>40</v>
      </c>
      <c r="O83" s="895">
        <f t="shared" si="33"/>
        <v>40</v>
      </c>
      <c r="P83" s="895">
        <f t="shared" si="33"/>
        <v>40</v>
      </c>
      <c r="Q83" s="895">
        <f t="shared" si="33"/>
        <v>40</v>
      </c>
      <c r="S83" s="895" t="s">
        <v>759</v>
      </c>
      <c r="T83" s="895">
        <v>434.18</v>
      </c>
      <c r="U83" s="895" t="s">
        <v>760</v>
      </c>
      <c r="V83" s="895">
        <v>238.38</v>
      </c>
      <c r="W83" s="895">
        <v>238.38</v>
      </c>
      <c r="X83" s="895">
        <v>238.38</v>
      </c>
      <c r="Y83" s="895">
        <v>238.38</v>
      </c>
      <c r="Z83" s="895">
        <v>238.38</v>
      </c>
      <c r="AA83" s="895">
        <v>238.38</v>
      </c>
      <c r="AB83" s="895">
        <v>238.38</v>
      </c>
      <c r="AC83" s="895">
        <v>238.38</v>
      </c>
      <c r="AD83" s="895">
        <v>238.38</v>
      </c>
      <c r="AE83" s="895">
        <v>238.38</v>
      </c>
      <c r="AF83" s="895">
        <v>238.38</v>
      </c>
      <c r="AG83" s="895">
        <v>238.38</v>
      </c>
    </row>
    <row r="84" spans="1:33">
      <c r="A84" s="895" t="s">
        <v>761</v>
      </c>
      <c r="B84" s="903" t="s">
        <v>90</v>
      </c>
      <c r="E84" s="896" t="e">
        <f>#REF!</f>
        <v>#REF!</v>
      </c>
      <c r="F84" s="896" t="e">
        <f>#REF!</f>
        <v>#REF!</v>
      </c>
      <c r="G84" s="896" t="e">
        <f>#REF!</f>
        <v>#REF!</v>
      </c>
      <c r="H84" s="896" t="e">
        <f>#REF!</f>
        <v>#REF!</v>
      </c>
      <c r="I84" s="896" t="e">
        <f>#REF!</f>
        <v>#REF!</v>
      </c>
      <c r="J84" s="896" t="e">
        <f>#REF!</f>
        <v>#REF!</v>
      </c>
      <c r="K84" s="896" t="e">
        <f>#REF!</f>
        <v>#REF!</v>
      </c>
      <c r="L84" s="896" t="e">
        <f>#REF!</f>
        <v>#REF!</v>
      </c>
      <c r="M84" s="896" t="e">
        <f>#REF!</f>
        <v>#REF!</v>
      </c>
      <c r="N84" s="896" t="e">
        <f>#REF!</f>
        <v>#REF!</v>
      </c>
      <c r="O84" s="896" t="e">
        <f>#REF!</f>
        <v>#REF!</v>
      </c>
      <c r="P84" s="896" t="e">
        <f>#REF!</f>
        <v>#REF!</v>
      </c>
      <c r="Q84" s="896" t="e">
        <f>#REF!</f>
        <v>#REF!</v>
      </c>
      <c r="S84" s="895" t="s">
        <v>762</v>
      </c>
      <c r="T84" s="895">
        <v>507.86</v>
      </c>
      <c r="U84" s="895" t="s">
        <v>763</v>
      </c>
      <c r="V84" s="895">
        <v>594.86</v>
      </c>
      <c r="W84" s="907">
        <f>F28</f>
        <v>614.75</v>
      </c>
      <c r="X84" s="907">
        <f>G28</f>
        <v>704.48750000000007</v>
      </c>
      <c r="Y84" s="907">
        <f>H28</f>
        <v>739.71187500000008</v>
      </c>
      <c r="Z84" s="907">
        <f t="shared" ref="Z84:AG84" si="34">I28</f>
        <v>776.6974687500001</v>
      </c>
      <c r="AA84" s="907">
        <f t="shared" si="34"/>
        <v>815.53234218750015</v>
      </c>
      <c r="AB84" s="907">
        <f t="shared" si="34"/>
        <v>856.30895929687517</v>
      </c>
      <c r="AC84" s="907">
        <f t="shared" si="34"/>
        <v>899.12440726171894</v>
      </c>
      <c r="AD84" s="907">
        <f t="shared" si="34"/>
        <v>944.08062762480495</v>
      </c>
      <c r="AE84" s="907">
        <f t="shared" si="34"/>
        <v>991.28465900604522</v>
      </c>
      <c r="AF84" s="907">
        <f t="shared" si="34"/>
        <v>1040.8488919563474</v>
      </c>
      <c r="AG84" s="907">
        <f t="shared" si="34"/>
        <v>1092.8913365541648</v>
      </c>
    </row>
    <row r="85" spans="1:33">
      <c r="A85" s="895" t="s">
        <v>764</v>
      </c>
      <c r="B85" s="903" t="s">
        <v>635</v>
      </c>
      <c r="E85" s="907">
        <f>E100</f>
        <v>9.3322543231587307</v>
      </c>
      <c r="F85" s="907">
        <f t="shared" ref="F85:Q85" si="35">F100</f>
        <v>10.248879119038646</v>
      </c>
      <c r="G85" s="907">
        <f t="shared" si="35"/>
        <v>11.334761859900347</v>
      </c>
      <c r="H85" s="907">
        <f t="shared" si="35"/>
        <v>11.760999952895364</v>
      </c>
      <c r="I85" s="907">
        <f t="shared" si="35"/>
        <v>12.208549950540133</v>
      </c>
      <c r="J85" s="907">
        <f t="shared" si="35"/>
        <v>12.67847744806714</v>
      </c>
      <c r="K85" s="907">
        <f t="shared" si="35"/>
        <v>13.171901320470496</v>
      </c>
      <c r="L85" s="907">
        <f t="shared" si="35"/>
        <v>12.409996386494022</v>
      </c>
      <c r="M85" s="907">
        <f t="shared" si="35"/>
        <v>12.953996205818724</v>
      </c>
      <c r="N85" s="907">
        <f t="shared" si="35"/>
        <v>13.52519601610966</v>
      </c>
      <c r="O85" s="907">
        <f t="shared" si="35"/>
        <v>14.124955816915143</v>
      </c>
      <c r="P85" s="907">
        <f t="shared" si="35"/>
        <v>14.7547036077609</v>
      </c>
      <c r="Q85" s="907">
        <f t="shared" si="35"/>
        <v>15.415938788148948</v>
      </c>
      <c r="S85" s="895" t="s">
        <v>765</v>
      </c>
      <c r="T85" s="899" t="e">
        <f>#REF!/T83*T84</f>
        <v>#REF!</v>
      </c>
      <c r="V85" s="899" t="e">
        <f>#REF!/V83*V84+1.53</f>
        <v>#REF!</v>
      </c>
      <c r="W85" s="899" t="e">
        <f>#REF!/W83*W84+1.53</f>
        <v>#REF!</v>
      </c>
      <c r="X85" s="899" t="e">
        <f>#REF!/X83*X84+1.53</f>
        <v>#REF!</v>
      </c>
      <c r="Y85" s="899" t="e">
        <f>#REF!/Y83*Y84+1.53</f>
        <v>#REF!</v>
      </c>
      <c r="Z85" s="899" t="e">
        <f>#REF!/Z83*Z84+1.53</f>
        <v>#REF!</v>
      </c>
      <c r="AA85" s="899" t="e">
        <f>#REF!/AA83*AA84+1.53</f>
        <v>#REF!</v>
      </c>
      <c r="AB85" s="899" t="e">
        <f>#REF!/AB83*AB84+1.53</f>
        <v>#REF!</v>
      </c>
      <c r="AC85" s="899" t="e">
        <f>#REF!/AC83*AC84+1.53</f>
        <v>#REF!</v>
      </c>
      <c r="AD85" s="899" t="e">
        <f>#REF!/AD83*AD84+1.53</f>
        <v>#REF!</v>
      </c>
      <c r="AE85" s="899" t="e">
        <f>#REF!/AE83*AE84+1.53</f>
        <v>#REF!</v>
      </c>
      <c r="AF85" s="899" t="e">
        <f>#REF!/AF83*AF84+1.53</f>
        <v>#REF!</v>
      </c>
      <c r="AG85" s="899" t="e">
        <f>#REF!/AG83*AG84+1.53</f>
        <v>#REF!</v>
      </c>
    </row>
    <row r="86" spans="1:33" ht="12.75" thickBot="1">
      <c r="A86" s="895" t="s">
        <v>766</v>
      </c>
      <c r="B86" s="903" t="s">
        <v>612</v>
      </c>
      <c r="D86" s="911"/>
      <c r="E86" s="912" t="e">
        <f>E85*E84/$D$1</f>
        <v>#REF!</v>
      </c>
      <c r="F86" s="912" t="e">
        <f t="shared" ref="F86:Q86" si="36">F85*F84/$D$1</f>
        <v>#REF!</v>
      </c>
      <c r="G86" s="912" t="e">
        <f t="shared" si="36"/>
        <v>#REF!</v>
      </c>
      <c r="H86" s="912" t="e">
        <f t="shared" si="36"/>
        <v>#REF!</v>
      </c>
      <c r="I86" s="912" t="e">
        <f t="shared" si="36"/>
        <v>#REF!</v>
      </c>
      <c r="J86" s="912" t="e">
        <f t="shared" si="36"/>
        <v>#REF!</v>
      </c>
      <c r="K86" s="912" t="e">
        <f t="shared" si="36"/>
        <v>#REF!</v>
      </c>
      <c r="L86" s="912" t="e">
        <f t="shared" si="36"/>
        <v>#REF!</v>
      </c>
      <c r="M86" s="912" t="e">
        <f t="shared" si="36"/>
        <v>#REF!</v>
      </c>
      <c r="N86" s="912" t="e">
        <f t="shared" si="36"/>
        <v>#REF!</v>
      </c>
      <c r="O86" s="912" t="e">
        <f t="shared" si="36"/>
        <v>#REF!</v>
      </c>
      <c r="P86" s="912" t="e">
        <f t="shared" si="36"/>
        <v>#REF!</v>
      </c>
      <c r="Q86" s="912" t="e">
        <f t="shared" si="36"/>
        <v>#REF!</v>
      </c>
    </row>
    <row r="87" spans="1:33" ht="12.75" thickTop="1">
      <c r="E87" s="907"/>
    </row>
    <row r="88" spans="1:33">
      <c r="A88" s="895" t="s">
        <v>767</v>
      </c>
      <c r="E88" s="907"/>
    </row>
    <row r="89" spans="1:33">
      <c r="A89" s="895" t="s">
        <v>761</v>
      </c>
      <c r="B89" s="903" t="s">
        <v>723</v>
      </c>
      <c r="E89" s="904" t="e">
        <f>E84</f>
        <v>#REF!</v>
      </c>
      <c r="F89" s="904" t="e">
        <f t="shared" ref="F89:Q89" si="37">F84</f>
        <v>#REF!</v>
      </c>
      <c r="G89" s="904" t="e">
        <f t="shared" si="37"/>
        <v>#REF!</v>
      </c>
      <c r="H89" s="904" t="e">
        <f t="shared" si="37"/>
        <v>#REF!</v>
      </c>
      <c r="I89" s="904" t="e">
        <f t="shared" si="37"/>
        <v>#REF!</v>
      </c>
      <c r="J89" s="904" t="e">
        <f t="shared" si="37"/>
        <v>#REF!</v>
      </c>
      <c r="K89" s="904" t="e">
        <f t="shared" si="37"/>
        <v>#REF!</v>
      </c>
      <c r="L89" s="904" t="e">
        <f t="shared" si="37"/>
        <v>#REF!</v>
      </c>
      <c r="M89" s="904" t="e">
        <f t="shared" si="37"/>
        <v>#REF!</v>
      </c>
      <c r="N89" s="904" t="e">
        <f t="shared" si="37"/>
        <v>#REF!</v>
      </c>
      <c r="O89" s="904" t="e">
        <f t="shared" si="37"/>
        <v>#REF!</v>
      </c>
      <c r="P89" s="904" t="e">
        <f t="shared" si="37"/>
        <v>#REF!</v>
      </c>
      <c r="Q89" s="904" t="e">
        <f t="shared" si="37"/>
        <v>#REF!</v>
      </c>
    </row>
    <row r="90" spans="1:33">
      <c r="A90" s="895" t="s">
        <v>768</v>
      </c>
      <c r="B90" s="903" t="s">
        <v>769</v>
      </c>
      <c r="E90" s="907">
        <f>E41</f>
        <v>5.8552295310182894</v>
      </c>
      <c r="F90" s="907">
        <f t="shared" ref="F90:Q90" si="38">F41</f>
        <v>6.6228429576873715</v>
      </c>
      <c r="G90" s="907">
        <f t="shared" si="38"/>
        <v>7.5247290616572311</v>
      </c>
      <c r="H90" s="907">
        <f>H41</f>
        <v>7.8852065147400934</v>
      </c>
      <c r="I90" s="907">
        <f t="shared" si="38"/>
        <v>8.2633926604770984</v>
      </c>
      <c r="J90" s="907">
        <f t="shared" si="38"/>
        <v>8.660166629900953</v>
      </c>
      <c r="K90" s="907">
        <f t="shared" si="38"/>
        <v>9.0764513845240007</v>
      </c>
      <c r="L90" s="907">
        <f t="shared" si="38"/>
        <v>9.5132159053407612</v>
      </c>
      <c r="M90" s="907">
        <f t="shared" si="38"/>
        <v>9.9714774912301714</v>
      </c>
      <c r="N90" s="907">
        <f t="shared" si="38"/>
        <v>10.452304172226498</v>
      </c>
      <c r="O90" s="907">
        <f t="shared" si="38"/>
        <v>10.956817243401337</v>
      </c>
      <c r="P90" s="907">
        <f t="shared" si="38"/>
        <v>11.486193925386189</v>
      </c>
      <c r="Q90" s="907">
        <f t="shared" si="38"/>
        <v>12.041670157866582</v>
      </c>
    </row>
    <row r="91" spans="1:33">
      <c r="A91" s="895" t="s">
        <v>770</v>
      </c>
      <c r="B91" s="903" t="s">
        <v>612</v>
      </c>
      <c r="E91" s="907" t="e">
        <f>E90*E89/$D$1</f>
        <v>#REF!</v>
      </c>
      <c r="F91" s="907" t="e">
        <f t="shared" ref="F91:Q91" si="39">F90*F89/$D$1</f>
        <v>#REF!</v>
      </c>
      <c r="G91" s="907" t="e">
        <f t="shared" si="39"/>
        <v>#REF!</v>
      </c>
      <c r="H91" s="907" t="e">
        <f t="shared" si="39"/>
        <v>#REF!</v>
      </c>
      <c r="I91" s="907" t="e">
        <f t="shared" si="39"/>
        <v>#REF!</v>
      </c>
      <c r="J91" s="907" t="e">
        <f t="shared" si="39"/>
        <v>#REF!</v>
      </c>
      <c r="K91" s="907" t="e">
        <f t="shared" si="39"/>
        <v>#REF!</v>
      </c>
      <c r="L91" s="907" t="e">
        <f t="shared" si="39"/>
        <v>#REF!</v>
      </c>
      <c r="M91" s="907" t="e">
        <f t="shared" si="39"/>
        <v>#REF!</v>
      </c>
      <c r="N91" s="907" t="e">
        <f t="shared" si="39"/>
        <v>#REF!</v>
      </c>
      <c r="O91" s="907" t="e">
        <f t="shared" si="39"/>
        <v>#REF!</v>
      </c>
      <c r="P91" s="907" t="e">
        <f t="shared" si="39"/>
        <v>#REF!</v>
      </c>
      <c r="Q91" s="907" t="e">
        <f t="shared" si="39"/>
        <v>#REF!</v>
      </c>
    </row>
    <row r="92" spans="1:33">
      <c r="E92" s="907"/>
    </row>
    <row r="93" spans="1:33">
      <c r="A93" s="895" t="s">
        <v>771</v>
      </c>
      <c r="B93" s="903" t="s">
        <v>612</v>
      </c>
      <c r="E93" s="914" t="e">
        <f>E86-E91</f>
        <v>#REF!</v>
      </c>
      <c r="F93" s="914" t="e">
        <f t="shared" ref="F93:Q93" si="40">F86-F91</f>
        <v>#REF!</v>
      </c>
      <c r="G93" s="914" t="e">
        <f t="shared" si="40"/>
        <v>#REF!</v>
      </c>
      <c r="H93" s="914" t="e">
        <f t="shared" si="40"/>
        <v>#REF!</v>
      </c>
      <c r="I93" s="914" t="e">
        <f t="shared" si="40"/>
        <v>#REF!</v>
      </c>
      <c r="J93" s="914" t="e">
        <f t="shared" si="40"/>
        <v>#REF!</v>
      </c>
      <c r="K93" s="914" t="e">
        <f t="shared" si="40"/>
        <v>#REF!</v>
      </c>
      <c r="L93" s="914" t="e">
        <f t="shared" si="40"/>
        <v>#REF!</v>
      </c>
      <c r="M93" s="914" t="e">
        <f t="shared" si="40"/>
        <v>#REF!</v>
      </c>
      <c r="N93" s="914" t="e">
        <f t="shared" si="40"/>
        <v>#REF!</v>
      </c>
      <c r="O93" s="914" t="e">
        <f t="shared" si="40"/>
        <v>#REF!</v>
      </c>
      <c r="P93" s="914" t="e">
        <f t="shared" si="40"/>
        <v>#REF!</v>
      </c>
      <c r="Q93" s="914" t="e">
        <f t="shared" si="40"/>
        <v>#REF!</v>
      </c>
    </row>
    <row r="94" spans="1:33">
      <c r="E94" s="905" t="e">
        <f>E93/E91</f>
        <v>#REF!</v>
      </c>
      <c r="F94" s="905" t="e">
        <f t="shared" ref="F94:Q94" si="41">F93/F91</f>
        <v>#REF!</v>
      </c>
      <c r="G94" s="905" t="e">
        <f t="shared" si="41"/>
        <v>#REF!</v>
      </c>
      <c r="H94" s="905" t="e">
        <f t="shared" si="41"/>
        <v>#REF!</v>
      </c>
      <c r="I94" s="905" t="e">
        <f t="shared" si="41"/>
        <v>#REF!</v>
      </c>
      <c r="J94" s="905" t="e">
        <f t="shared" si="41"/>
        <v>#REF!</v>
      </c>
      <c r="K94" s="905" t="e">
        <f t="shared" si="41"/>
        <v>#REF!</v>
      </c>
      <c r="L94" s="905" t="e">
        <f t="shared" si="41"/>
        <v>#REF!</v>
      </c>
      <c r="M94" s="905" t="e">
        <f t="shared" si="41"/>
        <v>#REF!</v>
      </c>
      <c r="N94" s="905" t="e">
        <f t="shared" si="41"/>
        <v>#REF!</v>
      </c>
      <c r="O94" s="905" t="e">
        <f t="shared" si="41"/>
        <v>#REF!</v>
      </c>
      <c r="P94" s="905" t="e">
        <f t="shared" si="41"/>
        <v>#REF!</v>
      </c>
      <c r="Q94" s="905" t="e">
        <f t="shared" si="41"/>
        <v>#REF!</v>
      </c>
    </row>
    <row r="95" spans="1:33">
      <c r="E95" s="907" t="e">
        <f>E93/([40]BS!Q6/10)</f>
        <v>#REF!</v>
      </c>
      <c r="F95" s="907" t="e">
        <f>F93/([40]BS!R6/10)</f>
        <v>#REF!</v>
      </c>
      <c r="G95" s="907" t="e">
        <f>G93/([40]BS!S6/10)</f>
        <v>#REF!</v>
      </c>
      <c r="H95" s="907" t="e">
        <f>H93/([40]BS!T6/10)</f>
        <v>#REF!</v>
      </c>
      <c r="I95" s="907" t="e">
        <f>I93/([40]BS!U6/10)</f>
        <v>#REF!</v>
      </c>
    </row>
    <row r="96" spans="1:33">
      <c r="A96" s="906" t="s">
        <v>772</v>
      </c>
      <c r="E96" s="899" t="e">
        <f>E95*0.8</f>
        <v>#REF!</v>
      </c>
      <c r="F96" s="899" t="e">
        <f>F95*0.8</f>
        <v>#REF!</v>
      </c>
    </row>
    <row r="97" spans="1:17">
      <c r="A97" s="895" t="s">
        <v>773</v>
      </c>
      <c r="B97" s="903" t="s">
        <v>769</v>
      </c>
      <c r="E97" s="907">
        <v>1.53</v>
      </c>
      <c r="F97" s="907">
        <f>E97</f>
        <v>1.53</v>
      </c>
      <c r="G97" s="907">
        <f t="shared" ref="G97:Q97" si="42">F97</f>
        <v>1.53</v>
      </c>
      <c r="H97" s="907">
        <f t="shared" si="42"/>
        <v>1.53</v>
      </c>
      <c r="I97" s="907">
        <f t="shared" si="42"/>
        <v>1.53</v>
      </c>
      <c r="J97" s="907">
        <f t="shared" si="42"/>
        <v>1.53</v>
      </c>
      <c r="K97" s="907">
        <f t="shared" si="42"/>
        <v>1.53</v>
      </c>
      <c r="L97" s="907">
        <f t="shared" si="42"/>
        <v>1.53</v>
      </c>
      <c r="M97" s="907">
        <f t="shared" si="42"/>
        <v>1.53</v>
      </c>
      <c r="N97" s="907">
        <f t="shared" si="42"/>
        <v>1.53</v>
      </c>
      <c r="O97" s="907">
        <f t="shared" si="42"/>
        <v>1.53</v>
      </c>
      <c r="P97" s="907">
        <f t="shared" si="42"/>
        <v>1.53</v>
      </c>
      <c r="Q97" s="907">
        <f t="shared" si="42"/>
        <v>1.53</v>
      </c>
    </row>
    <row r="98" spans="1:17">
      <c r="A98" s="895" t="s">
        <v>774</v>
      </c>
      <c r="B98" s="903" t="s">
        <v>775</v>
      </c>
      <c r="C98" s="895">
        <v>2.89</v>
      </c>
      <c r="E98" s="907">
        <f>$C$98/238.83*E28</f>
        <v>6.522254323158732</v>
      </c>
      <c r="F98" s="907">
        <f>$C$98/238.83*F28</f>
        <v>7.4388791190386465</v>
      </c>
      <c r="G98" s="907">
        <f t="shared" ref="G98:Q98" si="43">$C$98/238.83*G28</f>
        <v>8.5247618599003481</v>
      </c>
      <c r="H98" s="907">
        <f t="shared" si="43"/>
        <v>8.9509999528953657</v>
      </c>
      <c r="I98" s="907">
        <f t="shared" si="43"/>
        <v>9.3985499505401346</v>
      </c>
      <c r="J98" s="907">
        <f t="shared" si="43"/>
        <v>9.8684774480671411</v>
      </c>
      <c r="K98" s="907">
        <f t="shared" si="43"/>
        <v>10.361901320470498</v>
      </c>
      <c r="L98" s="907">
        <f t="shared" si="43"/>
        <v>10.879996386494023</v>
      </c>
      <c r="M98" s="907">
        <f t="shared" si="43"/>
        <v>11.423996205818725</v>
      </c>
      <c r="N98" s="907">
        <f t="shared" si="43"/>
        <v>11.995196016109661</v>
      </c>
      <c r="O98" s="907">
        <f t="shared" si="43"/>
        <v>12.594955816915144</v>
      </c>
      <c r="P98" s="907">
        <f t="shared" si="43"/>
        <v>13.224703607760901</v>
      </c>
      <c r="Q98" s="907">
        <f t="shared" si="43"/>
        <v>13.885938788148948</v>
      </c>
    </row>
    <row r="99" spans="1:17">
      <c r="A99" s="895" t="s">
        <v>776</v>
      </c>
      <c r="B99" s="903"/>
      <c r="E99" s="907">
        <v>1.28</v>
      </c>
      <c r="F99" s="907">
        <f t="shared" ref="F99:K99" si="44">E99</f>
        <v>1.28</v>
      </c>
      <c r="G99" s="907">
        <f t="shared" si="44"/>
        <v>1.28</v>
      </c>
      <c r="H99" s="907">
        <f t="shared" si="44"/>
        <v>1.28</v>
      </c>
      <c r="I99" s="907">
        <f t="shared" si="44"/>
        <v>1.28</v>
      </c>
      <c r="J99" s="907">
        <f t="shared" si="44"/>
        <v>1.28</v>
      </c>
      <c r="K99" s="907">
        <f t="shared" si="44"/>
        <v>1.28</v>
      </c>
      <c r="L99" s="907"/>
      <c r="M99" s="907"/>
      <c r="N99" s="907"/>
      <c r="O99" s="907"/>
      <c r="P99" s="907"/>
      <c r="Q99" s="907"/>
    </row>
    <row r="100" spans="1:17">
      <c r="A100" s="895" t="s">
        <v>777</v>
      </c>
      <c r="B100" s="903" t="s">
        <v>769</v>
      </c>
      <c r="E100" s="907">
        <f>SUM(E97:E99)</f>
        <v>9.3322543231587307</v>
      </c>
      <c r="F100" s="907">
        <f t="shared" ref="F100:Q100" si="45">SUM(F97:F99)</f>
        <v>10.248879119038646</v>
      </c>
      <c r="G100" s="907">
        <f t="shared" si="45"/>
        <v>11.334761859900347</v>
      </c>
      <c r="H100" s="907">
        <f t="shared" si="45"/>
        <v>11.760999952895364</v>
      </c>
      <c r="I100" s="907">
        <f t="shared" si="45"/>
        <v>12.208549950540133</v>
      </c>
      <c r="J100" s="907">
        <f t="shared" si="45"/>
        <v>12.67847744806714</v>
      </c>
      <c r="K100" s="907">
        <f t="shared" si="45"/>
        <v>13.171901320470496</v>
      </c>
      <c r="L100" s="907">
        <f t="shared" si="45"/>
        <v>12.409996386494022</v>
      </c>
      <c r="M100" s="907">
        <f t="shared" si="45"/>
        <v>12.953996205818724</v>
      </c>
      <c r="N100" s="907">
        <f t="shared" si="45"/>
        <v>13.52519601610966</v>
      </c>
      <c r="O100" s="907">
        <f t="shared" si="45"/>
        <v>14.124955816915143</v>
      </c>
      <c r="P100" s="907">
        <f t="shared" si="45"/>
        <v>14.7547036077609</v>
      </c>
      <c r="Q100" s="907">
        <f t="shared" si="45"/>
        <v>15.415938788148948</v>
      </c>
    </row>
    <row r="101" spans="1:17">
      <c r="E101" s="907"/>
      <c r="F101" s="907"/>
    </row>
    <row r="102" spans="1:17">
      <c r="E102" s="907"/>
      <c r="F102" s="907"/>
    </row>
    <row r="103" spans="1:17">
      <c r="E103" s="907"/>
      <c r="F103" s="907"/>
    </row>
    <row r="104" spans="1:17">
      <c r="E104" s="907"/>
      <c r="F104" s="907"/>
    </row>
    <row r="105" spans="1:17">
      <c r="E105" s="907"/>
      <c r="F105" s="907"/>
    </row>
    <row r="106" spans="1:17">
      <c r="E106" s="907"/>
      <c r="F106" s="907"/>
    </row>
    <row r="107" spans="1:17">
      <c r="E107" s="907"/>
      <c r="F107" s="907"/>
    </row>
    <row r="108" spans="1:17">
      <c r="E108" s="907"/>
      <c r="F108" s="907"/>
    </row>
    <row r="109" spans="1:17">
      <c r="A109" s="906" t="s">
        <v>778</v>
      </c>
    </row>
    <row r="110" spans="1:17">
      <c r="A110" s="895" t="s">
        <v>779</v>
      </c>
      <c r="C110" s="896"/>
      <c r="E110" s="896">
        <v>29918</v>
      </c>
      <c r="F110" s="904">
        <f>E110</f>
        <v>29918</v>
      </c>
      <c r="G110" s="904">
        <f t="shared" ref="G110:Q112" si="46">F110</f>
        <v>29918</v>
      </c>
      <c r="H110" s="904">
        <f t="shared" si="46"/>
        <v>29918</v>
      </c>
      <c r="I110" s="904">
        <f t="shared" si="46"/>
        <v>29918</v>
      </c>
      <c r="J110" s="904">
        <f t="shared" si="46"/>
        <v>29918</v>
      </c>
      <c r="K110" s="904">
        <f t="shared" si="46"/>
        <v>29918</v>
      </c>
      <c r="L110" s="904">
        <f t="shared" si="46"/>
        <v>29918</v>
      </c>
      <c r="M110" s="904">
        <f t="shared" si="46"/>
        <v>29918</v>
      </c>
      <c r="N110" s="904">
        <f t="shared" si="46"/>
        <v>29918</v>
      </c>
      <c r="O110" s="904">
        <f t="shared" si="46"/>
        <v>29918</v>
      </c>
      <c r="P110" s="904">
        <f t="shared" si="46"/>
        <v>29918</v>
      </c>
      <c r="Q110" s="904">
        <f t="shared" si="46"/>
        <v>29918</v>
      </c>
    </row>
    <row r="111" spans="1:17">
      <c r="A111" s="895" t="s">
        <v>780</v>
      </c>
      <c r="C111" s="896"/>
      <c r="E111" s="896">
        <v>50000</v>
      </c>
      <c r="F111" s="904">
        <f t="shared" ref="F111:L112" si="47">E111</f>
        <v>50000</v>
      </c>
      <c r="G111" s="904">
        <f t="shared" si="47"/>
        <v>50000</v>
      </c>
      <c r="H111" s="904">
        <f t="shared" si="47"/>
        <v>50000</v>
      </c>
      <c r="I111" s="904">
        <f t="shared" si="47"/>
        <v>50000</v>
      </c>
      <c r="J111" s="904">
        <f t="shared" si="47"/>
        <v>50000</v>
      </c>
      <c r="K111" s="904">
        <f t="shared" si="47"/>
        <v>50000</v>
      </c>
      <c r="L111" s="904">
        <f t="shared" si="47"/>
        <v>50000</v>
      </c>
      <c r="M111" s="904">
        <f t="shared" si="46"/>
        <v>50000</v>
      </c>
      <c r="N111" s="904">
        <f t="shared" si="46"/>
        <v>50000</v>
      </c>
      <c r="O111" s="904">
        <f t="shared" si="46"/>
        <v>50000</v>
      </c>
      <c r="P111" s="904">
        <f t="shared" si="46"/>
        <v>50000</v>
      </c>
      <c r="Q111" s="904">
        <f t="shared" si="46"/>
        <v>50000</v>
      </c>
    </row>
    <row r="112" spans="1:17">
      <c r="A112" s="895" t="s">
        <v>781</v>
      </c>
      <c r="B112" s="895" t="s">
        <v>36</v>
      </c>
      <c r="C112" s="896"/>
      <c r="E112" s="896">
        <f>SUM(E110:E111)</f>
        <v>79918</v>
      </c>
      <c r="F112" s="904">
        <f t="shared" si="47"/>
        <v>79918</v>
      </c>
      <c r="G112" s="904">
        <f t="shared" si="47"/>
        <v>79918</v>
      </c>
      <c r="H112" s="904">
        <f t="shared" si="47"/>
        <v>79918</v>
      </c>
      <c r="I112" s="904">
        <f t="shared" si="47"/>
        <v>79918</v>
      </c>
      <c r="J112" s="904">
        <f t="shared" si="47"/>
        <v>79918</v>
      </c>
      <c r="K112" s="904">
        <f t="shared" si="47"/>
        <v>79918</v>
      </c>
      <c r="L112" s="904">
        <f t="shared" si="47"/>
        <v>79918</v>
      </c>
      <c r="M112" s="904">
        <f t="shared" si="46"/>
        <v>79918</v>
      </c>
      <c r="N112" s="904">
        <f t="shared" si="46"/>
        <v>79918</v>
      </c>
      <c r="O112" s="904">
        <f t="shared" si="46"/>
        <v>79918</v>
      </c>
      <c r="P112" s="904">
        <f t="shared" si="46"/>
        <v>79918</v>
      </c>
      <c r="Q112" s="904">
        <f t="shared" si="46"/>
        <v>79918</v>
      </c>
    </row>
    <row r="113" spans="1:17">
      <c r="A113" s="895" t="s">
        <v>60</v>
      </c>
      <c r="B113" s="895" t="s">
        <v>782</v>
      </c>
      <c r="C113" s="896"/>
      <c r="E113" s="899">
        <v>4</v>
      </c>
      <c r="F113" s="907">
        <f>E113*1.04</f>
        <v>4.16</v>
      </c>
      <c r="G113" s="907">
        <f t="shared" ref="G113:Q113" si="48">F113*1.04</f>
        <v>4.3264000000000005</v>
      </c>
      <c r="H113" s="907">
        <f t="shared" si="48"/>
        <v>4.4994560000000003</v>
      </c>
      <c r="I113" s="907">
        <f t="shared" si="48"/>
        <v>4.6794342400000009</v>
      </c>
      <c r="J113" s="907">
        <f t="shared" si="48"/>
        <v>4.8666116096000014</v>
      </c>
      <c r="K113" s="907">
        <f t="shared" si="48"/>
        <v>5.0612760739840015</v>
      </c>
      <c r="L113" s="907">
        <f t="shared" si="48"/>
        <v>5.2637271169433619</v>
      </c>
      <c r="M113" s="907">
        <f t="shared" si="48"/>
        <v>5.4742762016210964</v>
      </c>
      <c r="N113" s="907">
        <f t="shared" si="48"/>
        <v>5.6932472496859408</v>
      </c>
      <c r="O113" s="907">
        <f t="shared" si="48"/>
        <v>5.9209771396733784</v>
      </c>
      <c r="P113" s="907">
        <f t="shared" si="48"/>
        <v>6.1578162252603139</v>
      </c>
      <c r="Q113" s="907">
        <f t="shared" si="48"/>
        <v>6.404128874270727</v>
      </c>
    </row>
    <row r="114" spans="1:17">
      <c r="A114" s="895" t="s">
        <v>783</v>
      </c>
      <c r="B114" s="895" t="s">
        <v>784</v>
      </c>
      <c r="C114" s="896"/>
      <c r="E114" s="907">
        <f>E113*0.03</f>
        <v>0.12</v>
      </c>
      <c r="F114" s="907">
        <f t="shared" ref="F114:Q114" si="49">F113*0.03</f>
        <v>0.12479999999999999</v>
      </c>
      <c r="G114" s="907">
        <f t="shared" si="49"/>
        <v>0.12979200000000002</v>
      </c>
      <c r="H114" s="907">
        <f t="shared" si="49"/>
        <v>0.13498367999999999</v>
      </c>
      <c r="I114" s="907">
        <f t="shared" si="49"/>
        <v>0.14038302720000001</v>
      </c>
      <c r="J114" s="907">
        <f t="shared" si="49"/>
        <v>0.14599834828800004</v>
      </c>
      <c r="K114" s="907">
        <f t="shared" si="49"/>
        <v>0.15183828221952003</v>
      </c>
      <c r="L114" s="907">
        <f t="shared" si="49"/>
        <v>0.15791181350830086</v>
      </c>
      <c r="M114" s="907">
        <f t="shared" si="49"/>
        <v>0.16422828604863288</v>
      </c>
      <c r="N114" s="907">
        <f t="shared" si="49"/>
        <v>0.17079741749057822</v>
      </c>
      <c r="O114" s="907">
        <f t="shared" si="49"/>
        <v>0.17762931419020134</v>
      </c>
      <c r="P114" s="907">
        <f t="shared" si="49"/>
        <v>0.1847344867578094</v>
      </c>
      <c r="Q114" s="907">
        <f t="shared" si="49"/>
        <v>0.1921238662281218</v>
      </c>
    </row>
    <row r="115" spans="1:17">
      <c r="A115" s="895" t="s">
        <v>203</v>
      </c>
      <c r="B115" s="895" t="s">
        <v>784</v>
      </c>
      <c r="C115" s="896"/>
      <c r="E115" s="907">
        <f>E113*0.15</f>
        <v>0.6</v>
      </c>
      <c r="F115" s="907">
        <f t="shared" ref="F115:Q115" si="50">F113*0.15</f>
        <v>0.624</v>
      </c>
      <c r="G115" s="907">
        <f t="shared" si="50"/>
        <v>0.64896000000000009</v>
      </c>
      <c r="H115" s="907">
        <f t="shared" si="50"/>
        <v>0.67491840000000003</v>
      </c>
      <c r="I115" s="907">
        <f t="shared" si="50"/>
        <v>0.70191513600000011</v>
      </c>
      <c r="J115" s="907">
        <f t="shared" si="50"/>
        <v>0.72999174144000023</v>
      </c>
      <c r="K115" s="907">
        <f t="shared" si="50"/>
        <v>0.75919141109760024</v>
      </c>
      <c r="L115" s="907">
        <f t="shared" si="50"/>
        <v>0.78955906754150429</v>
      </c>
      <c r="M115" s="907">
        <f t="shared" si="50"/>
        <v>0.82114143024316444</v>
      </c>
      <c r="N115" s="907">
        <f t="shared" si="50"/>
        <v>0.85398708745289109</v>
      </c>
      <c r="O115" s="907">
        <f t="shared" si="50"/>
        <v>0.88814657095100669</v>
      </c>
      <c r="P115" s="907">
        <f t="shared" si="50"/>
        <v>0.92367243378904706</v>
      </c>
      <c r="Q115" s="907">
        <f t="shared" si="50"/>
        <v>0.96061933114060905</v>
      </c>
    </row>
    <row r="116" spans="1:17">
      <c r="A116" s="895" t="s">
        <v>785</v>
      </c>
      <c r="C116" s="896"/>
      <c r="E116" s="907">
        <f>E113-E114-E115</f>
        <v>3.28</v>
      </c>
      <c r="F116" s="907">
        <f t="shared" ref="F116:Q116" si="51">F113-F114-F115</f>
        <v>3.4112000000000005</v>
      </c>
      <c r="G116" s="907">
        <f t="shared" si="51"/>
        <v>3.5476480000000001</v>
      </c>
      <c r="H116" s="907">
        <f t="shared" si="51"/>
        <v>3.6895539199999998</v>
      </c>
      <c r="I116" s="907">
        <f t="shared" si="51"/>
        <v>3.8371360768000002</v>
      </c>
      <c r="J116" s="907">
        <f t="shared" si="51"/>
        <v>3.9906215198720014</v>
      </c>
      <c r="K116" s="907">
        <f t="shared" si="51"/>
        <v>4.1502463806668812</v>
      </c>
      <c r="L116" s="907">
        <f t="shared" si="51"/>
        <v>4.3162562358935563</v>
      </c>
      <c r="M116" s="907">
        <f t="shared" si="51"/>
        <v>4.4889064853292986</v>
      </c>
      <c r="N116" s="907">
        <f t="shared" si="51"/>
        <v>4.6684627447424711</v>
      </c>
      <c r="O116" s="907">
        <f t="shared" si="51"/>
        <v>4.8552012545321706</v>
      </c>
      <c r="P116" s="907">
        <f t="shared" si="51"/>
        <v>5.0494093047134569</v>
      </c>
      <c r="Q116" s="907">
        <f t="shared" si="51"/>
        <v>5.2513856769019966</v>
      </c>
    </row>
    <row r="117" spans="1:17">
      <c r="A117" s="895" t="s">
        <v>786</v>
      </c>
      <c r="C117" s="896"/>
      <c r="E117" s="899">
        <f>117*1.025</f>
        <v>119.92499999999998</v>
      </c>
      <c r="F117" s="899">
        <f>E117*1.025</f>
        <v>122.92312499999997</v>
      </c>
      <c r="G117" s="899">
        <f t="shared" ref="G117:Q117" si="52">F117*1.025</f>
        <v>125.99620312499997</v>
      </c>
      <c r="H117" s="899">
        <f t="shared" si="52"/>
        <v>129.14610820312495</v>
      </c>
      <c r="I117" s="899">
        <f t="shared" si="52"/>
        <v>132.37476090820306</v>
      </c>
      <c r="J117" s="899">
        <f t="shared" si="52"/>
        <v>135.68412993090811</v>
      </c>
      <c r="K117" s="899">
        <f t="shared" si="52"/>
        <v>139.0762331791808</v>
      </c>
      <c r="L117" s="899">
        <f t="shared" si="52"/>
        <v>142.55313900866031</v>
      </c>
      <c r="M117" s="899">
        <f t="shared" si="52"/>
        <v>146.11696748387681</v>
      </c>
      <c r="N117" s="899">
        <f t="shared" si="52"/>
        <v>149.76989167097372</v>
      </c>
      <c r="O117" s="899">
        <f t="shared" si="52"/>
        <v>153.51413896274806</v>
      </c>
      <c r="P117" s="899">
        <f t="shared" si="52"/>
        <v>157.35199243681674</v>
      </c>
      <c r="Q117" s="899">
        <f t="shared" si="52"/>
        <v>161.28579224773713</v>
      </c>
    </row>
    <row r="118" spans="1:17" ht="12.75" thickBot="1">
      <c r="A118" s="895" t="s">
        <v>787</v>
      </c>
      <c r="B118" s="895" t="s">
        <v>612</v>
      </c>
      <c r="C118" s="896"/>
      <c r="D118" s="911"/>
      <c r="E118" s="915">
        <f>E112*E116*E117/$D$1</f>
        <v>31.436064971999993</v>
      </c>
      <c r="F118" s="915">
        <f t="shared" ref="F118:Q118" si="53">F112*F116*F117/$D$1</f>
        <v>33.510845260151996</v>
      </c>
      <c r="G118" s="915">
        <f t="shared" si="53"/>
        <v>35.722561047322024</v>
      </c>
      <c r="H118" s="915">
        <f t="shared" si="53"/>
        <v>38.080250076445274</v>
      </c>
      <c r="I118" s="915">
        <f t="shared" si="53"/>
        <v>40.593546581490656</v>
      </c>
      <c r="J118" s="915">
        <f t="shared" si="53"/>
        <v>43.272720655869044</v>
      </c>
      <c r="K118" s="915">
        <f t="shared" si="53"/>
        <v>46.128720219156392</v>
      </c>
      <c r="L118" s="915">
        <f t="shared" si="53"/>
        <v>49.173215753620717</v>
      </c>
      <c r="M118" s="915">
        <f t="shared" si="53"/>
        <v>52.418647993359677</v>
      </c>
      <c r="N118" s="915">
        <f t="shared" si="53"/>
        <v>55.878278760921418</v>
      </c>
      <c r="O118" s="915">
        <f t="shared" si="53"/>
        <v>59.566245159142241</v>
      </c>
      <c r="P118" s="915">
        <f t="shared" si="53"/>
        <v>63.497617339645615</v>
      </c>
      <c r="Q118" s="915">
        <f t="shared" si="53"/>
        <v>67.688460084062228</v>
      </c>
    </row>
    <row r="119" spans="1:17" ht="12.75" thickTop="1"/>
    <row r="120" spans="1:17">
      <c r="A120" s="895" t="s">
        <v>788</v>
      </c>
      <c r="D120" s="899">
        <f>[40]BS!Q48</f>
        <v>-56.758109936814435</v>
      </c>
      <c r="E120" s="899">
        <f>[40]BS!R48</f>
        <v>2162.6951183356377</v>
      </c>
      <c r="F120" s="899">
        <f>[40]BS!S48</f>
        <v>9662.238282592516</v>
      </c>
      <c r="G120" s="899">
        <f>[40]BS!T48</f>
        <v>17066.855740113213</v>
      </c>
      <c r="H120" s="899">
        <f>[40]BS!U48</f>
        <v>24221.324312995162</v>
      </c>
      <c r="I120" s="899">
        <f>[40]BS!V48</f>
        <v>31765.021025937913</v>
      </c>
      <c r="J120" s="899">
        <f>[40]BS!W48</f>
        <v>39654.986735835366</v>
      </c>
      <c r="K120" s="899">
        <f>[40]BS!X48</f>
        <v>47802.083079027376</v>
      </c>
      <c r="L120" s="899">
        <f>[40]BS!Y48</f>
        <v>55898.451067111164</v>
      </c>
      <c r="M120" s="899">
        <f>[40]BS!Z48</f>
        <v>64185.279966941562</v>
      </c>
      <c r="N120" s="899">
        <f>[40]BS!AA48</f>
        <v>72629.355004615514</v>
      </c>
      <c r="O120" s="899">
        <f>[40]BS!AB48</f>
        <v>81193.219641168369</v>
      </c>
      <c r="P120" s="899">
        <f>[40]BS!AC48</f>
        <v>89834.764251363624</v>
      </c>
      <c r="Q120" s="899">
        <f>[40]BS!AD48</f>
        <v>98506.777384625122</v>
      </c>
    </row>
    <row r="121" spans="1:17">
      <c r="A121" s="895" t="s">
        <v>789</v>
      </c>
      <c r="D121" s="899"/>
      <c r="E121" s="899">
        <f>AVERAGE(D120:E120)</f>
        <v>1052.9685041994117</v>
      </c>
      <c r="F121" s="899">
        <f t="shared" ref="F121:Q121" si="54">AVERAGE(E120:F120)</f>
        <v>5912.4667004640769</v>
      </c>
      <c r="G121" s="899">
        <f t="shared" si="54"/>
        <v>13364.547011352865</v>
      </c>
      <c r="H121" s="899">
        <f t="shared" si="54"/>
        <v>20644.090026554186</v>
      </c>
      <c r="I121" s="899">
        <f t="shared" si="54"/>
        <v>27993.172669466538</v>
      </c>
      <c r="J121" s="899">
        <f t="shared" si="54"/>
        <v>35710.003880886637</v>
      </c>
      <c r="K121" s="899">
        <f t="shared" si="54"/>
        <v>43728.534907431371</v>
      </c>
      <c r="L121" s="899">
        <f t="shared" si="54"/>
        <v>51850.26707306927</v>
      </c>
      <c r="M121" s="899">
        <f t="shared" si="54"/>
        <v>60041.865517026366</v>
      </c>
      <c r="N121" s="899">
        <f t="shared" si="54"/>
        <v>68407.317485778534</v>
      </c>
      <c r="O121" s="899">
        <f t="shared" si="54"/>
        <v>76911.287322891934</v>
      </c>
      <c r="P121" s="899">
        <f t="shared" si="54"/>
        <v>85513.991946266004</v>
      </c>
      <c r="Q121" s="899">
        <f t="shared" si="54"/>
        <v>94170.770817994373</v>
      </c>
    </row>
    <row r="122" spans="1:17">
      <c r="D122" s="899"/>
      <c r="E122" s="899">
        <v>1448.4543194206717</v>
      </c>
      <c r="F122" s="899">
        <v>6465.6833480276455</v>
      </c>
      <c r="G122" s="899">
        <v>13692.231513219149</v>
      </c>
      <c r="H122" s="899">
        <v>20308.657253207286</v>
      </c>
      <c r="I122" s="899">
        <v>26734.692127316095</v>
      </c>
      <c r="J122" s="899">
        <v>33268.312205651135</v>
      </c>
      <c r="K122" s="899">
        <v>39840.545964496516</v>
      </c>
      <c r="L122" s="899">
        <v>46256.119800499138</v>
      </c>
      <c r="M122" s="899">
        <v>52489.688963328023</v>
      </c>
      <c r="N122" s="899">
        <v>58651.550440331455</v>
      </c>
      <c r="O122" s="899">
        <v>64711.114709576592</v>
      </c>
      <c r="P122" s="899">
        <v>70634.781265596685</v>
      </c>
      <c r="Q122" s="899">
        <v>76385.64898487975</v>
      </c>
    </row>
    <row r="123" spans="1:17">
      <c r="A123" s="895" t="s">
        <v>790</v>
      </c>
      <c r="E123" s="905">
        <v>0.06</v>
      </c>
      <c r="F123" s="916">
        <f>E123</f>
        <v>0.06</v>
      </c>
      <c r="G123" s="916">
        <f t="shared" ref="G123:Q123" si="55">F123</f>
        <v>0.06</v>
      </c>
      <c r="H123" s="916">
        <f t="shared" si="55"/>
        <v>0.06</v>
      </c>
      <c r="I123" s="916">
        <f t="shared" si="55"/>
        <v>0.06</v>
      </c>
      <c r="J123" s="916">
        <f t="shared" si="55"/>
        <v>0.06</v>
      </c>
      <c r="K123" s="916">
        <f t="shared" si="55"/>
        <v>0.06</v>
      </c>
      <c r="L123" s="916">
        <f t="shared" si="55"/>
        <v>0.06</v>
      </c>
      <c r="M123" s="916">
        <f t="shared" si="55"/>
        <v>0.06</v>
      </c>
      <c r="N123" s="916">
        <f t="shared" si="55"/>
        <v>0.06</v>
      </c>
      <c r="O123" s="916">
        <f t="shared" si="55"/>
        <v>0.06</v>
      </c>
      <c r="P123" s="916">
        <f t="shared" si="55"/>
        <v>0.06</v>
      </c>
      <c r="Q123" s="916">
        <f t="shared" si="55"/>
        <v>0.06</v>
      </c>
    </row>
    <row r="124" spans="1:17">
      <c r="E124" s="907">
        <f>E122*E123</f>
        <v>86.907259165240305</v>
      </c>
      <c r="F124" s="907">
        <f t="shared" ref="F124:Q124" si="56">F122*F123</f>
        <v>387.94100088165874</v>
      </c>
      <c r="G124" s="907">
        <f t="shared" si="56"/>
        <v>821.53389079314888</v>
      </c>
      <c r="H124" s="907">
        <f t="shared" si="56"/>
        <v>1218.5194351924372</v>
      </c>
      <c r="I124" s="907">
        <f t="shared" si="56"/>
        <v>1604.0815276389656</v>
      </c>
      <c r="J124" s="907">
        <f t="shared" si="56"/>
        <v>1996.098732339068</v>
      </c>
      <c r="K124" s="907">
        <f t="shared" si="56"/>
        <v>2390.4327578697907</v>
      </c>
      <c r="L124" s="907">
        <f t="shared" si="56"/>
        <v>2775.367188029948</v>
      </c>
      <c r="M124" s="907">
        <f t="shared" si="56"/>
        <v>3149.3813377996812</v>
      </c>
      <c r="N124" s="907">
        <f t="shared" si="56"/>
        <v>3519.0930264198873</v>
      </c>
      <c r="O124" s="907">
        <f t="shared" si="56"/>
        <v>3882.6668825745955</v>
      </c>
      <c r="P124" s="907">
        <f t="shared" si="56"/>
        <v>4238.0868759358009</v>
      </c>
      <c r="Q124" s="907">
        <f t="shared" si="56"/>
        <v>4583.1389390927852</v>
      </c>
    </row>
    <row r="125" spans="1:17">
      <c r="E125" s="907">
        <f>E124*0.9</f>
        <v>78.216533248716274</v>
      </c>
      <c r="F125" s="907">
        <f t="shared" ref="F125:Q125" si="57">F124*0.9</f>
        <v>349.14690079349288</v>
      </c>
      <c r="G125" s="907">
        <f t="shared" si="57"/>
        <v>739.38050171383406</v>
      </c>
      <c r="H125" s="907">
        <f t="shared" si="57"/>
        <v>1096.6674916731936</v>
      </c>
      <c r="I125" s="907">
        <f t="shared" si="57"/>
        <v>1443.6733748750689</v>
      </c>
      <c r="J125" s="907">
        <f t="shared" si="57"/>
        <v>1796.4888591051613</v>
      </c>
      <c r="K125" s="907">
        <f t="shared" si="57"/>
        <v>2151.3894820828118</v>
      </c>
      <c r="L125" s="907">
        <f t="shared" si="57"/>
        <v>2497.8304692269535</v>
      </c>
      <c r="M125" s="907">
        <f t="shared" si="57"/>
        <v>2834.443204019713</v>
      </c>
      <c r="N125" s="907">
        <f t="shared" si="57"/>
        <v>3167.1837237778986</v>
      </c>
      <c r="O125" s="907">
        <f t="shared" si="57"/>
        <v>3494.4001943171361</v>
      </c>
      <c r="P125" s="907">
        <f t="shared" si="57"/>
        <v>3814.2781883422208</v>
      </c>
      <c r="Q125" s="907">
        <f t="shared" si="57"/>
        <v>4124.8250451835065</v>
      </c>
    </row>
    <row r="126" spans="1:17">
      <c r="E126" s="907">
        <f>E125/323</f>
        <v>0.2421564496864281</v>
      </c>
      <c r="F126" s="907">
        <f t="shared" ref="F126:Q126" si="58">F125/323</f>
        <v>1.0809501572553959</v>
      </c>
      <c r="G126" s="907">
        <f t="shared" si="58"/>
        <v>2.2891037204762665</v>
      </c>
      <c r="H126" s="907">
        <f t="shared" si="58"/>
        <v>3.3952553921770701</v>
      </c>
      <c r="I126" s="907">
        <f t="shared" si="58"/>
        <v>4.4695770119971172</v>
      </c>
      <c r="J126" s="907">
        <f t="shared" si="58"/>
        <v>5.5618850127094772</v>
      </c>
      <c r="K126" s="907">
        <f t="shared" si="58"/>
        <v>6.6606485513399747</v>
      </c>
      <c r="L126" s="907">
        <f t="shared" si="58"/>
        <v>7.7332212669565124</v>
      </c>
      <c r="M126" s="907">
        <f t="shared" si="58"/>
        <v>8.7753659567173781</v>
      </c>
      <c r="N126" s="907">
        <f t="shared" si="58"/>
        <v>9.8055223646374579</v>
      </c>
      <c r="O126" s="907">
        <f t="shared" si="58"/>
        <v>10.818576452994229</v>
      </c>
      <c r="P126" s="907">
        <f t="shared" si="58"/>
        <v>11.808910799821117</v>
      </c>
      <c r="Q126" s="907">
        <f t="shared" si="58"/>
        <v>12.770356177038719</v>
      </c>
    </row>
    <row r="130" spans="1:5">
      <c r="A130" s="906" t="s">
        <v>791</v>
      </c>
      <c r="E130" s="907"/>
    </row>
    <row r="131" spans="1:5">
      <c r="E131" s="907"/>
    </row>
    <row r="132" spans="1:5">
      <c r="A132" s="895" t="s">
        <v>792</v>
      </c>
      <c r="E132" s="907">
        <v>2</v>
      </c>
    </row>
    <row r="133" spans="1:5">
      <c r="A133" s="895" t="s">
        <v>793</v>
      </c>
      <c r="E133" s="916">
        <v>0.95</v>
      </c>
    </row>
    <row r="134" spans="1:5">
      <c r="A134" s="895" t="s">
        <v>794</v>
      </c>
      <c r="E134" s="896">
        <f>[40]Assumptions!BF12</f>
        <v>11428.571427000001</v>
      </c>
    </row>
    <row r="135" spans="1:5">
      <c r="A135" s="895" t="s">
        <v>795</v>
      </c>
      <c r="E135" s="896">
        <f>E134*E133</f>
        <v>10857.14285565</v>
      </c>
    </row>
    <row r="136" spans="1:5">
      <c r="A136" s="895" t="s">
        <v>796</v>
      </c>
      <c r="E136" s="896">
        <f>E135*(E132*31)</f>
        <v>673142.85705029999</v>
      </c>
    </row>
    <row r="138" spans="1:5">
      <c r="A138" s="895" t="s">
        <v>797</v>
      </c>
      <c r="B138" s="895" t="s">
        <v>723</v>
      </c>
      <c r="E138" s="904">
        <f>E10</f>
        <v>97.5</v>
      </c>
    </row>
    <row r="139" spans="1:5">
      <c r="A139" s="895" t="s">
        <v>726</v>
      </c>
      <c r="B139" s="895" t="s">
        <v>723</v>
      </c>
      <c r="E139" s="896">
        <f>E138*E136</f>
        <v>65631428.562404253</v>
      </c>
    </row>
    <row r="141" spans="1:5">
      <c r="A141" s="895" t="s">
        <v>798</v>
      </c>
    </row>
    <row r="144" spans="1:5">
      <c r="A144" s="895" t="s">
        <v>799</v>
      </c>
    </row>
    <row r="145" spans="1:7">
      <c r="A145" s="895" t="s">
        <v>800</v>
      </c>
      <c r="E145" s="899">
        <v>12.37</v>
      </c>
    </row>
    <row r="146" spans="1:7">
      <c r="A146" s="895" t="s">
        <v>801</v>
      </c>
      <c r="E146" s="899">
        <v>7.46</v>
      </c>
    </row>
    <row r="147" spans="1:7">
      <c r="A147" s="895" t="s">
        <v>663</v>
      </c>
      <c r="E147" s="899">
        <f>E145*0.4+E146*0.6</f>
        <v>9.4239999999999995</v>
      </c>
    </row>
    <row r="149" spans="1:7">
      <c r="A149" s="895" t="s">
        <v>746</v>
      </c>
      <c r="E149" s="907">
        <f>E147*E139/$D$1</f>
        <v>618.51058277209756</v>
      </c>
    </row>
    <row r="151" spans="1:7">
      <c r="A151" s="895" t="s">
        <v>802</v>
      </c>
      <c r="E151" s="907">
        <f>E139*E41/$D$1</f>
        <v>384.28707868150661</v>
      </c>
    </row>
    <row r="152" spans="1:7">
      <c r="A152" s="895" t="s">
        <v>803</v>
      </c>
      <c r="E152" s="907">
        <f>E149-E151</f>
        <v>234.22350409059095</v>
      </c>
      <c r="F152" s="907">
        <f>(E152*0.8)/323</f>
        <v>0.58012013397050388</v>
      </c>
    </row>
    <row r="154" spans="1:7">
      <c r="A154" s="895" t="s">
        <v>746</v>
      </c>
      <c r="E154" s="907">
        <f>E44</f>
        <v>716.83046495789608</v>
      </c>
      <c r="F154" s="907">
        <f>E154+E152</f>
        <v>951.05396904848703</v>
      </c>
      <c r="G154" s="917">
        <f>F154/E154-1</f>
        <v>0.32674881375800391</v>
      </c>
    </row>
    <row r="156" spans="1:7">
      <c r="A156" s="895" t="s">
        <v>804</v>
      </c>
    </row>
    <row r="157" spans="1:7">
      <c r="A157" s="895" t="s">
        <v>805</v>
      </c>
      <c r="B157" s="895" t="s">
        <v>633</v>
      </c>
      <c r="E157" s="904">
        <f>20*24*(E132*31)*1000</f>
        <v>29760000</v>
      </c>
    </row>
    <row r="158" spans="1:7">
      <c r="A158" s="895" t="s">
        <v>806</v>
      </c>
      <c r="E158" s="907">
        <f>E100*E157/$D$1</f>
        <v>277.72788865720383</v>
      </c>
      <c r="F158" s="907">
        <f>F161/323*0.8</f>
        <v>0.58467836199926648</v>
      </c>
      <c r="G158" s="907">
        <f>F158+F152</f>
        <v>1.1647984959697704</v>
      </c>
    </row>
    <row r="160" spans="1:7">
      <c r="E160" s="895">
        <f>0.12+1.28</f>
        <v>1.4</v>
      </c>
    </row>
    <row r="161" spans="5:7">
      <c r="E161" s="904">
        <f>E160*E157/$D$1</f>
        <v>41.664000000000001</v>
      </c>
      <c r="F161" s="907">
        <f>E158-E161</f>
        <v>236.06388865720385</v>
      </c>
    </row>
    <row r="162" spans="5:7">
      <c r="E162" s="907" t="e">
        <f>E86</f>
        <v>#REF!</v>
      </c>
      <c r="F162" s="907" t="e">
        <f>E162-F161</f>
        <v>#REF!</v>
      </c>
      <c r="G162" s="917" t="e">
        <f>F162/E162-1</f>
        <v>#REF!</v>
      </c>
    </row>
  </sheetData>
  <pageMargins left="0.7" right="0.7" top="0.75" bottom="0.75" header="0.3" footer="0.3"/>
  <pageSetup orientation="portrait" r:id="rId1"/>
  <ignoredErrors>
    <ignoredError sqref="F51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1">
    <pageSetUpPr fitToPage="1"/>
  </sheetPr>
  <dimension ref="A1:G86"/>
  <sheetViews>
    <sheetView defaultGridColor="0" colorId="22" zoomScale="85" workbookViewId="0"/>
  </sheetViews>
  <sheetFormatPr defaultColWidth="12.5703125" defaultRowHeight="12.75"/>
  <cols>
    <col min="1" max="1" width="32.42578125" style="568" bestFit="1" customWidth="1"/>
    <col min="2" max="2" width="14.5703125" style="568" bestFit="1" customWidth="1"/>
    <col min="3" max="5" width="15.42578125" style="568" bestFit="1" customWidth="1"/>
    <col min="6" max="6" width="14.5703125" style="568" bestFit="1" customWidth="1"/>
    <col min="7" max="16384" width="12.5703125" style="568"/>
  </cols>
  <sheetData>
    <row r="1" spans="1:7" ht="13.5" thickBot="1">
      <c r="A1" s="461"/>
      <c r="B1" s="567">
        <v>2000</v>
      </c>
      <c r="C1" s="567">
        <v>2001</v>
      </c>
      <c r="D1" s="567">
        <v>2002</v>
      </c>
      <c r="E1" s="567">
        <v>2003</v>
      </c>
      <c r="F1" s="567">
        <v>2004</v>
      </c>
      <c r="G1" s="461"/>
    </row>
    <row r="2" spans="1:7">
      <c r="A2" s="461" t="s">
        <v>407</v>
      </c>
      <c r="B2" s="11">
        <v>100000</v>
      </c>
      <c r="C2" s="11">
        <v>100000</v>
      </c>
      <c r="D2" s="11">
        <f>+C2</f>
        <v>100000</v>
      </c>
      <c r="E2" s="11">
        <f>+D2</f>
        <v>100000</v>
      </c>
      <c r="F2" s="11">
        <f>+E2</f>
        <v>100000</v>
      </c>
      <c r="G2" s="461"/>
    </row>
    <row r="3" spans="1:7">
      <c r="A3" s="461"/>
      <c r="B3" s="11"/>
      <c r="C3" s="11"/>
      <c r="D3" s="11"/>
      <c r="E3" s="11"/>
      <c r="F3" s="11"/>
      <c r="G3" s="461"/>
    </row>
    <row r="4" spans="1:7">
      <c r="A4" s="461" t="s">
        <v>438</v>
      </c>
      <c r="B4" s="11">
        <v>80500</v>
      </c>
      <c r="C4" s="11">
        <v>-6500</v>
      </c>
      <c r="D4" s="11">
        <v>-1500</v>
      </c>
      <c r="E4" s="11">
        <v>244500</v>
      </c>
      <c r="F4" s="11">
        <v>185500</v>
      </c>
      <c r="G4" s="461"/>
    </row>
    <row r="5" spans="1:7">
      <c r="A5" s="461"/>
      <c r="B5" s="11"/>
      <c r="C5" s="11"/>
      <c r="D5" s="11"/>
      <c r="E5" s="11"/>
      <c r="F5" s="11"/>
      <c r="G5" s="461"/>
    </row>
    <row r="6" spans="1:7">
      <c r="A6" s="461" t="s">
        <v>439</v>
      </c>
      <c r="B6" s="11"/>
      <c r="C6" s="11"/>
      <c r="D6" s="11"/>
      <c r="E6" s="11"/>
      <c r="F6" s="11"/>
      <c r="G6" s="461"/>
    </row>
    <row r="7" spans="1:7">
      <c r="A7" s="461" t="s">
        <v>440</v>
      </c>
      <c r="B7" s="11"/>
      <c r="C7" s="11"/>
      <c r="D7" s="11"/>
      <c r="E7" s="11"/>
      <c r="F7" s="11"/>
      <c r="G7" s="461"/>
    </row>
    <row r="8" spans="1:7">
      <c r="A8" s="461" t="s">
        <v>441</v>
      </c>
      <c r="B8" s="11"/>
      <c r="C8" s="11"/>
      <c r="D8" s="11"/>
      <c r="E8" s="11"/>
      <c r="F8" s="11"/>
      <c r="G8" s="461"/>
    </row>
    <row r="9" spans="1:7" ht="13.5" thickBot="1">
      <c r="A9" s="519">
        <v>600000</v>
      </c>
      <c r="B9" s="569">
        <f>+B1</f>
        <v>2000</v>
      </c>
      <c r="C9" s="569">
        <f>+C1</f>
        <v>2001</v>
      </c>
      <c r="D9" s="569">
        <f>+D1</f>
        <v>2002</v>
      </c>
      <c r="E9" s="569">
        <f>+E1</f>
        <v>2003</v>
      </c>
      <c r="F9" s="569">
        <f>+F1</f>
        <v>2004</v>
      </c>
      <c r="G9" s="570" t="s">
        <v>215</v>
      </c>
    </row>
    <row r="10" spans="1:7">
      <c r="A10" s="461" t="s">
        <v>442</v>
      </c>
      <c r="B10" s="11">
        <f>+A9/5</f>
        <v>120000</v>
      </c>
      <c r="C10" s="11">
        <f>+B10</f>
        <v>120000</v>
      </c>
      <c r="D10" s="11">
        <f>+C10</f>
        <v>120000</v>
      </c>
      <c r="E10" s="11">
        <f>+D10</f>
        <v>120000</v>
      </c>
      <c r="F10" s="11">
        <f>+E10</f>
        <v>120000</v>
      </c>
      <c r="G10" s="470">
        <f>SUM(B10:F10)</f>
        <v>600000</v>
      </c>
    </row>
    <row r="11" spans="1:7">
      <c r="A11" s="461" t="s">
        <v>443</v>
      </c>
      <c r="B11" s="11">
        <f>0.25*A9</f>
        <v>150000</v>
      </c>
      <c r="C11" s="11">
        <f>0.38*A9</f>
        <v>228000</v>
      </c>
      <c r="D11" s="11">
        <f>0.37*A9</f>
        <v>222000</v>
      </c>
      <c r="E11" s="11"/>
      <c r="F11" s="11"/>
      <c r="G11" s="470">
        <f>SUM(B11:F11)</f>
        <v>600000</v>
      </c>
    </row>
    <row r="12" spans="1:7" ht="13.5" thickBot="1">
      <c r="A12" s="461" t="s">
        <v>389</v>
      </c>
      <c r="B12" s="571">
        <f t="shared" ref="B12:G12" si="0">+B10-B11</f>
        <v>-30000</v>
      </c>
      <c r="C12" s="571">
        <f t="shared" si="0"/>
        <v>-108000</v>
      </c>
      <c r="D12" s="571">
        <f t="shared" si="0"/>
        <v>-102000</v>
      </c>
      <c r="E12" s="571">
        <f t="shared" si="0"/>
        <v>120000</v>
      </c>
      <c r="F12" s="571">
        <f t="shared" si="0"/>
        <v>120000</v>
      </c>
      <c r="G12" s="571">
        <f t="shared" si="0"/>
        <v>0</v>
      </c>
    </row>
    <row r="13" spans="1:7" ht="13.5" thickTop="1">
      <c r="A13" s="461"/>
      <c r="B13" s="11"/>
      <c r="C13" s="11"/>
      <c r="D13" s="11"/>
      <c r="E13" s="11"/>
      <c r="F13" s="11"/>
      <c r="G13" s="461"/>
    </row>
    <row r="14" spans="1:7">
      <c r="A14" s="463" t="s">
        <v>444</v>
      </c>
      <c r="B14" s="11"/>
      <c r="C14" s="11"/>
      <c r="D14" s="11"/>
      <c r="E14" s="11"/>
      <c r="F14" s="11"/>
      <c r="G14" s="461"/>
    </row>
    <row r="15" spans="1:7">
      <c r="A15" s="461" t="s">
        <v>445</v>
      </c>
      <c r="B15" s="11">
        <v>500</v>
      </c>
      <c r="C15" s="11">
        <v>500</v>
      </c>
      <c r="D15" s="11">
        <v>500</v>
      </c>
      <c r="E15" s="11">
        <v>500</v>
      </c>
      <c r="F15" s="11">
        <v>500</v>
      </c>
      <c r="G15" s="461"/>
    </row>
    <row r="16" spans="1:7">
      <c r="A16" s="461" t="s">
        <v>446</v>
      </c>
      <c r="B16" s="11"/>
      <c r="C16" s="11"/>
      <c r="D16" s="11"/>
      <c r="E16" s="11">
        <v>25000</v>
      </c>
      <c r="F16" s="11">
        <v>25000</v>
      </c>
      <c r="G16" s="461"/>
    </row>
    <row r="17" spans="1:7">
      <c r="A17" s="461" t="s">
        <v>447</v>
      </c>
      <c r="B17" s="11">
        <f>+B10</f>
        <v>120000</v>
      </c>
      <c r="C17" s="11">
        <f>+C10</f>
        <v>120000</v>
      </c>
      <c r="D17" s="11">
        <f>+D10</f>
        <v>120000</v>
      </c>
      <c r="E17" s="11">
        <f>+E10</f>
        <v>120000</v>
      </c>
      <c r="F17" s="11">
        <f>+F10</f>
        <v>120000</v>
      </c>
      <c r="G17" s="461"/>
    </row>
    <row r="18" spans="1:7">
      <c r="A18" s="461" t="s">
        <v>448</v>
      </c>
      <c r="B18" s="11">
        <v>20000</v>
      </c>
      <c r="C18" s="11">
        <v>20000</v>
      </c>
      <c r="D18" s="11">
        <v>20000</v>
      </c>
      <c r="E18" s="11">
        <v>20000</v>
      </c>
      <c r="F18" s="11">
        <v>0</v>
      </c>
      <c r="G18" s="461"/>
    </row>
    <row r="19" spans="1:7">
      <c r="A19" s="461"/>
      <c r="B19" s="11"/>
      <c r="C19" s="11"/>
      <c r="D19" s="11"/>
      <c r="E19" s="11"/>
      <c r="F19" s="11"/>
      <c r="G19" s="461"/>
    </row>
    <row r="20" spans="1:7">
      <c r="A20" s="463" t="s">
        <v>449</v>
      </c>
      <c r="B20" s="11"/>
      <c r="C20" s="11"/>
      <c r="D20" s="11"/>
      <c r="E20" s="11"/>
      <c r="F20" s="11"/>
      <c r="G20" s="461"/>
    </row>
    <row r="21" spans="1:7">
      <c r="A21" s="461" t="s">
        <v>450</v>
      </c>
      <c r="B21" s="11">
        <f>+B11</f>
        <v>150000</v>
      </c>
      <c r="C21" s="11">
        <f>+C11</f>
        <v>228000</v>
      </c>
      <c r="D21" s="11">
        <f>+D11</f>
        <v>222000</v>
      </c>
      <c r="E21" s="11">
        <f>+E11</f>
        <v>0</v>
      </c>
      <c r="F21" s="11">
        <f>+F11</f>
        <v>0</v>
      </c>
      <c r="G21" s="461"/>
    </row>
    <row r="22" spans="1:7">
      <c r="A22" s="461" t="s">
        <v>451</v>
      </c>
      <c r="B22" s="11"/>
      <c r="C22" s="11"/>
      <c r="D22" s="11"/>
      <c r="E22" s="11">
        <v>50000</v>
      </c>
      <c r="F22" s="11"/>
      <c r="G22" s="461"/>
    </row>
    <row r="23" spans="1:7">
      <c r="A23" s="461" t="s">
        <v>452</v>
      </c>
      <c r="B23" s="11">
        <v>10000</v>
      </c>
      <c r="C23" s="11">
        <v>19000</v>
      </c>
      <c r="D23" s="11">
        <v>20000</v>
      </c>
      <c r="E23" s="11">
        <v>21000</v>
      </c>
      <c r="F23" s="11">
        <v>10000</v>
      </c>
      <c r="G23" s="461"/>
    </row>
    <row r="24" spans="1:7">
      <c r="A24" s="461"/>
      <c r="B24" s="11"/>
      <c r="C24" s="11"/>
      <c r="D24" s="11"/>
      <c r="E24" s="11"/>
      <c r="F24" s="11"/>
      <c r="G24" s="461"/>
    </row>
    <row r="25" spans="1:7" ht="13.5" thickBot="1">
      <c r="A25" s="463" t="s">
        <v>453</v>
      </c>
      <c r="B25" s="567">
        <v>2000</v>
      </c>
      <c r="C25" s="567">
        <v>2001</v>
      </c>
      <c r="D25" s="567">
        <v>2002</v>
      </c>
      <c r="E25" s="567">
        <v>2003</v>
      </c>
      <c r="F25" s="567">
        <v>2004</v>
      </c>
      <c r="G25" s="461"/>
    </row>
    <row r="26" spans="1:7">
      <c r="A26" s="461" t="s">
        <v>454</v>
      </c>
      <c r="B26" s="32">
        <v>0.34</v>
      </c>
      <c r="C26" s="11"/>
      <c r="D26" s="11"/>
      <c r="E26" s="11"/>
      <c r="F26" s="11"/>
      <c r="G26" s="461"/>
    </row>
    <row r="27" spans="1:7">
      <c r="A27" s="461" t="s">
        <v>455</v>
      </c>
      <c r="B27" s="461"/>
      <c r="C27" s="32">
        <v>0.36</v>
      </c>
      <c r="D27" s="461"/>
      <c r="E27" s="461"/>
      <c r="F27" s="461"/>
      <c r="G27" s="461"/>
    </row>
    <row r="28" spans="1:7">
      <c r="A28" s="461" t="s">
        <v>456</v>
      </c>
      <c r="B28" s="461"/>
      <c r="C28" s="461"/>
      <c r="D28" s="461"/>
      <c r="E28" s="461"/>
      <c r="F28" s="461"/>
      <c r="G28" s="461"/>
    </row>
    <row r="29" spans="1:7">
      <c r="A29" s="461" t="s">
        <v>457</v>
      </c>
      <c r="B29" s="461"/>
      <c r="C29" s="461"/>
      <c r="D29" s="32">
        <v>0.38</v>
      </c>
      <c r="E29" s="32">
        <v>0.4</v>
      </c>
      <c r="F29" s="32">
        <v>0.4</v>
      </c>
      <c r="G29" s="461"/>
    </row>
    <row r="30" spans="1:7" s="572" customFormat="1" ht="13.5" thickBot="1"/>
    <row r="35" spans="1:6">
      <c r="A35" s="573" t="s">
        <v>406</v>
      </c>
      <c r="B35" s="574">
        <v>0.34</v>
      </c>
      <c r="C35" s="574">
        <v>0.36</v>
      </c>
      <c r="D35" s="574">
        <v>0.38</v>
      </c>
      <c r="E35" s="574">
        <v>0.4</v>
      </c>
      <c r="F35" s="574">
        <v>0.4</v>
      </c>
    </row>
    <row r="36" spans="1:6" ht="13.5" thickBot="1">
      <c r="B36" s="575">
        <v>2006</v>
      </c>
      <c r="C36" s="575">
        <v>2007</v>
      </c>
      <c r="D36" s="575">
        <v>2008</v>
      </c>
      <c r="E36" s="575">
        <v>2009</v>
      </c>
      <c r="F36" s="575">
        <v>2010</v>
      </c>
    </row>
    <row r="37" spans="1:6">
      <c r="A37" s="568" t="s">
        <v>407</v>
      </c>
      <c r="B37" s="576">
        <v>3458.1060000000002</v>
      </c>
      <c r="C37" s="576">
        <v>1384.5598518544971</v>
      </c>
      <c r="D37" s="576">
        <v>182.07321435364241</v>
      </c>
      <c r="E37" s="576">
        <v>1702.1928191911427</v>
      </c>
      <c r="F37" s="576">
        <v>2301.8129885200469</v>
      </c>
    </row>
    <row r="38" spans="1:6">
      <c r="A38" s="568" t="s">
        <v>408</v>
      </c>
      <c r="B38" s="576"/>
      <c r="C38" s="576"/>
      <c r="D38" s="576"/>
      <c r="E38" s="576"/>
      <c r="F38" s="576"/>
    </row>
    <row r="39" spans="1:6">
      <c r="B39" s="577" t="s">
        <v>409</v>
      </c>
      <c r="C39" s="577" t="s">
        <v>409</v>
      </c>
      <c r="D39" s="577" t="s">
        <v>409</v>
      </c>
      <c r="E39" s="577" t="s">
        <v>409</v>
      </c>
      <c r="F39" s="577" t="s">
        <v>409</v>
      </c>
    </row>
    <row r="40" spans="1:6">
      <c r="A40" s="568" t="s">
        <v>410</v>
      </c>
      <c r="B40" s="113">
        <f>+B37+B38</f>
        <v>3458.1060000000002</v>
      </c>
      <c r="C40" s="113">
        <v>1462.756601803176</v>
      </c>
      <c r="D40" s="113">
        <v>250.80804742744817</v>
      </c>
      <c r="E40" s="113">
        <v>1850.9249760708356</v>
      </c>
      <c r="F40" s="113">
        <v>2477.8608675154042</v>
      </c>
    </row>
    <row r="41" spans="1:6">
      <c r="A41" s="573" t="s">
        <v>411</v>
      </c>
      <c r="B41" s="113"/>
      <c r="C41" s="113"/>
      <c r="D41" s="113"/>
      <c r="E41" s="113"/>
      <c r="F41" s="113"/>
    </row>
    <row r="42" spans="1:6">
      <c r="A42" s="568" t="s">
        <v>412</v>
      </c>
      <c r="B42" s="578"/>
      <c r="C42" s="578"/>
      <c r="D42" s="578"/>
      <c r="E42" s="578"/>
      <c r="F42" s="578"/>
    </row>
    <row r="43" spans="1:6">
      <c r="A43" s="568" t="s">
        <v>17</v>
      </c>
      <c r="B43" s="576">
        <v>-704.93309999999997</v>
      </c>
      <c r="C43" s="576">
        <v>-610.70640500000002</v>
      </c>
      <c r="D43" s="576">
        <v>-5270.17364275</v>
      </c>
      <c r="E43" s="576">
        <v>-82.556269812500005</v>
      </c>
      <c r="F43" s="576">
        <v>-29.5401686018749</v>
      </c>
    </row>
    <row r="44" spans="1:6">
      <c r="A44" s="568" t="s">
        <v>413</v>
      </c>
      <c r="B44" s="578"/>
      <c r="C44" s="578"/>
      <c r="D44" s="578"/>
      <c r="E44" s="578"/>
      <c r="F44" s="578"/>
    </row>
    <row r="45" spans="1:6">
      <c r="A45" s="568" t="s">
        <v>414</v>
      </c>
      <c r="B45" s="578">
        <v>0</v>
      </c>
      <c r="C45" s="578">
        <v>0</v>
      </c>
      <c r="D45" s="578">
        <v>0</v>
      </c>
      <c r="E45" s="578">
        <v>0</v>
      </c>
      <c r="F45" s="578">
        <v>0</v>
      </c>
    </row>
    <row r="46" spans="1:6">
      <c r="B46" s="577" t="s">
        <v>409</v>
      </c>
      <c r="C46" s="577" t="s">
        <v>409</v>
      </c>
      <c r="D46" s="577" t="s">
        <v>409</v>
      </c>
      <c r="E46" s="577" t="s">
        <v>409</v>
      </c>
      <c r="F46" s="577" t="s">
        <v>409</v>
      </c>
    </row>
    <row r="47" spans="1:6">
      <c r="A47" s="568" t="s">
        <v>415</v>
      </c>
      <c r="B47" s="113">
        <f>+B40+B45+B44+B43+B42</f>
        <v>2753.1729000000005</v>
      </c>
      <c r="C47" s="113">
        <f>+C40+C45+C44+C43+C42</f>
        <v>852.05019680317594</v>
      </c>
      <c r="D47" s="113">
        <f>+D40+D45+D44+D43+D42</f>
        <v>-5019.3655953225516</v>
      </c>
      <c r="E47" s="113">
        <f>+E40+E45+E44+E43+E42</f>
        <v>1768.3687062583356</v>
      </c>
      <c r="F47" s="113">
        <f>+F40+F45+F44+F43+F42</f>
        <v>2448.3206989135292</v>
      </c>
    </row>
    <row r="48" spans="1:6">
      <c r="A48" s="568" t="s">
        <v>416</v>
      </c>
      <c r="B48" s="579">
        <v>0.35</v>
      </c>
      <c r="C48" s="579">
        <v>0.35</v>
      </c>
      <c r="D48" s="579">
        <v>0.35</v>
      </c>
      <c r="E48" s="579">
        <v>0.35</v>
      </c>
      <c r="F48" s="579">
        <v>0.35</v>
      </c>
    </row>
    <row r="49" spans="1:6" ht="13.5" thickBot="1">
      <c r="A49" s="568" t="s">
        <v>417</v>
      </c>
      <c r="B49" s="580">
        <f>+B47*B48</f>
        <v>963.61051500000008</v>
      </c>
      <c r="C49" s="580">
        <f>+C47*C48</f>
        <v>298.21756888111156</v>
      </c>
      <c r="D49" s="580">
        <f>+D47*D48</f>
        <v>-1756.7779583628931</v>
      </c>
      <c r="E49" s="580">
        <f>+E47*E48</f>
        <v>618.92904719041746</v>
      </c>
      <c r="F49" s="580">
        <f>+F47*F48</f>
        <v>856.91224461973513</v>
      </c>
    </row>
    <row r="50" spans="1:6" ht="13.5" thickTop="1"/>
    <row r="51" spans="1:6">
      <c r="B51" s="581"/>
      <c r="C51" s="581"/>
      <c r="D51" s="581"/>
      <c r="E51" s="581"/>
      <c r="F51" s="581"/>
    </row>
    <row r="52" spans="1:6">
      <c r="A52" s="573" t="s">
        <v>418</v>
      </c>
      <c r="B52" s="582">
        <v>36891</v>
      </c>
      <c r="C52" s="582">
        <v>37256</v>
      </c>
      <c r="D52" s="582">
        <v>37621</v>
      </c>
      <c r="E52" s="582">
        <v>37986</v>
      </c>
      <c r="F52" s="582">
        <v>38352</v>
      </c>
    </row>
    <row r="53" spans="1:6">
      <c r="A53" s="568" t="s">
        <v>412</v>
      </c>
      <c r="B53" s="583">
        <f>+B42</f>
        <v>0</v>
      </c>
      <c r="C53" s="583">
        <f t="shared" ref="C53:F55" si="1">+B53+C42</f>
        <v>0</v>
      </c>
      <c r="D53" s="583">
        <f t="shared" si="1"/>
        <v>0</v>
      </c>
      <c r="E53" s="583">
        <f t="shared" si="1"/>
        <v>0</v>
      </c>
      <c r="F53" s="583">
        <f t="shared" si="1"/>
        <v>0</v>
      </c>
    </row>
    <row r="54" spans="1:6">
      <c r="A54" s="568" t="s">
        <v>17</v>
      </c>
      <c r="B54" s="583">
        <f>++B43</f>
        <v>-704.93309999999997</v>
      </c>
      <c r="C54" s="583">
        <f>+B54+C43</f>
        <v>-1315.6395050000001</v>
      </c>
      <c r="D54" s="583">
        <f>+C54+D43</f>
        <v>-6585.8131477500001</v>
      </c>
      <c r="E54" s="583">
        <f t="shared" si="1"/>
        <v>-6668.3694175625005</v>
      </c>
      <c r="F54" s="583">
        <f t="shared" si="1"/>
        <v>-6697.9095861643755</v>
      </c>
    </row>
    <row r="55" spans="1:6">
      <c r="A55" s="568" t="s">
        <v>413</v>
      </c>
      <c r="B55" s="583">
        <f>+B44</f>
        <v>0</v>
      </c>
      <c r="C55" s="583">
        <f t="shared" si="1"/>
        <v>0</v>
      </c>
      <c r="D55" s="583">
        <f t="shared" si="1"/>
        <v>0</v>
      </c>
      <c r="E55" s="583">
        <f t="shared" si="1"/>
        <v>0</v>
      </c>
      <c r="F55" s="583">
        <f t="shared" si="1"/>
        <v>0</v>
      </c>
    </row>
    <row r="56" spans="1:6">
      <c r="A56" s="568" t="s">
        <v>419</v>
      </c>
      <c r="B56" s="581">
        <v>0</v>
      </c>
      <c r="C56" s="581">
        <v>0</v>
      </c>
      <c r="D56" s="581">
        <v>0</v>
      </c>
      <c r="E56" s="581">
        <v>0</v>
      </c>
      <c r="F56" s="581">
        <v>0</v>
      </c>
    </row>
    <row r="57" spans="1:6">
      <c r="B57" s="577" t="s">
        <v>409</v>
      </c>
      <c r="C57" s="577" t="s">
        <v>409</v>
      </c>
      <c r="D57" s="577" t="s">
        <v>409</v>
      </c>
      <c r="E57" s="577" t="s">
        <v>409</v>
      </c>
      <c r="F57" s="577" t="s">
        <v>409</v>
      </c>
    </row>
    <row r="58" spans="1:6">
      <c r="A58" s="568" t="s">
        <v>420</v>
      </c>
      <c r="B58" s="581">
        <f>+SUM(B53:B56)</f>
        <v>-704.93309999999997</v>
      </c>
      <c r="C58" s="581">
        <f>+SUM(C53:C56)</f>
        <v>-1315.6395050000001</v>
      </c>
      <c r="D58" s="581">
        <f>+SUM(D53:D56)</f>
        <v>-6585.8131477500001</v>
      </c>
      <c r="E58" s="581">
        <f>+SUM(E53:E56)</f>
        <v>-6668.3694175625005</v>
      </c>
      <c r="F58" s="581">
        <f>+SUM(F53:F56)</f>
        <v>-6697.9095861643755</v>
      </c>
    </row>
    <row r="59" spans="1:6">
      <c r="A59" s="568" t="s">
        <v>416</v>
      </c>
      <c r="B59" s="579">
        <v>0.35</v>
      </c>
      <c r="C59" s="579">
        <v>0.35</v>
      </c>
      <c r="D59" s="579">
        <v>0.35</v>
      </c>
      <c r="E59" s="579">
        <v>0.35</v>
      </c>
      <c r="F59" s="579">
        <v>0.35</v>
      </c>
    </row>
    <row r="60" spans="1:6">
      <c r="B60" s="577" t="s">
        <v>409</v>
      </c>
      <c r="C60" s="577" t="s">
        <v>409</v>
      </c>
      <c r="D60" s="577" t="s">
        <v>409</v>
      </c>
      <c r="E60" s="577" t="s">
        <v>409</v>
      </c>
      <c r="F60" s="577" t="s">
        <v>409</v>
      </c>
    </row>
    <row r="61" spans="1:6">
      <c r="A61" s="568" t="s">
        <v>421</v>
      </c>
      <c r="B61" s="11">
        <f>+B58*B59</f>
        <v>-246.72658499999997</v>
      </c>
      <c r="C61" s="11">
        <f>+C58*C59</f>
        <v>-460.47382675</v>
      </c>
      <c r="D61" s="11">
        <f>+D58*D59</f>
        <v>-2305.0346017124998</v>
      </c>
      <c r="E61" s="11">
        <f>+E58*E59</f>
        <v>-2333.929296146875</v>
      </c>
      <c r="F61" s="11">
        <f>+F58*F59</f>
        <v>-2344.2683551575315</v>
      </c>
    </row>
    <row r="62" spans="1:6">
      <c r="A62" s="568" t="s">
        <v>422</v>
      </c>
      <c r="B62" s="11">
        <v>0</v>
      </c>
      <c r="C62" s="11">
        <f>+B61</f>
        <v>-246.72658499999997</v>
      </c>
      <c r="D62" s="11">
        <f>+C61</f>
        <v>-460.47382675</v>
      </c>
      <c r="E62" s="11">
        <f>+D61</f>
        <v>-2305.0346017124998</v>
      </c>
      <c r="F62" s="11">
        <f>+E61</f>
        <v>-2333.929296146875</v>
      </c>
    </row>
    <row r="63" spans="1:6">
      <c r="A63" s="573" t="s">
        <v>423</v>
      </c>
      <c r="B63" s="577" t="s">
        <v>409</v>
      </c>
      <c r="C63" s="577" t="s">
        <v>409</v>
      </c>
      <c r="D63" s="577" t="s">
        <v>409</v>
      </c>
      <c r="E63" s="577" t="s">
        <v>409</v>
      </c>
      <c r="F63" s="577" t="s">
        <v>409</v>
      </c>
    </row>
    <row r="64" spans="1:6">
      <c r="A64" s="568" t="s">
        <v>424</v>
      </c>
      <c r="B64" s="11">
        <f>+B61-B62</f>
        <v>-246.72658499999997</v>
      </c>
      <c r="C64" s="11">
        <f>+C61-C62</f>
        <v>-213.74724175000003</v>
      </c>
      <c r="D64" s="11">
        <f>+D61-D62</f>
        <v>-1844.5607749624999</v>
      </c>
      <c r="E64" s="11">
        <f>+E61-E62</f>
        <v>-28.894694434375197</v>
      </c>
      <c r="F64" s="11">
        <f>+F61-F62</f>
        <v>-10.339059010656456</v>
      </c>
    </row>
    <row r="65" spans="1:6">
      <c r="A65" s="568" t="s">
        <v>425</v>
      </c>
      <c r="B65" s="11">
        <f>-B49</f>
        <v>-963.61051500000008</v>
      </c>
      <c r="C65" s="11">
        <f>-C49</f>
        <v>-298.21756888111156</v>
      </c>
      <c r="D65" s="11">
        <f>-D49</f>
        <v>1756.7779583628931</v>
      </c>
      <c r="E65" s="11">
        <f>-E49</f>
        <v>-618.92904719041746</v>
      </c>
      <c r="F65" s="11">
        <f>-F49</f>
        <v>-856.91224461973513</v>
      </c>
    </row>
    <row r="66" spans="1:6">
      <c r="B66" s="577" t="s">
        <v>409</v>
      </c>
      <c r="C66" s="577" t="s">
        <v>409</v>
      </c>
      <c r="D66" s="577" t="s">
        <v>409</v>
      </c>
      <c r="E66" s="577" t="s">
        <v>409</v>
      </c>
      <c r="F66" s="577" t="s">
        <v>409</v>
      </c>
    </row>
    <row r="67" spans="1:6" ht="13.5" thickBot="1">
      <c r="A67" s="568" t="s">
        <v>426</v>
      </c>
      <c r="B67" s="584">
        <f>-B64-B65</f>
        <v>1210.3371</v>
      </c>
      <c r="C67" s="584">
        <f>-C64-C65</f>
        <v>511.96481063111162</v>
      </c>
      <c r="D67" s="584">
        <f>-D64-D65</f>
        <v>87.782816599606804</v>
      </c>
      <c r="E67" s="584">
        <f>-E64-E65</f>
        <v>647.82374162479266</v>
      </c>
      <c r="F67" s="584">
        <f>-F64-F65</f>
        <v>867.25130363039159</v>
      </c>
    </row>
    <row r="68" spans="1:6" ht="13.5" thickTop="1">
      <c r="B68" s="577"/>
      <c r="C68" s="577"/>
      <c r="D68" s="577"/>
      <c r="E68" s="577"/>
      <c r="F68" s="577"/>
    </row>
    <row r="69" spans="1:6">
      <c r="D69" s="585"/>
      <c r="E69" s="585"/>
    </row>
    <row r="71" spans="1:6">
      <c r="A71" s="573" t="s">
        <v>427</v>
      </c>
      <c r="B71" s="586">
        <v>36891</v>
      </c>
      <c r="C71" s="586">
        <v>37256</v>
      </c>
      <c r="D71" s="586">
        <v>37621</v>
      </c>
      <c r="E71" s="586">
        <v>37986</v>
      </c>
      <c r="F71" s="586">
        <v>38352</v>
      </c>
    </row>
    <row r="72" spans="1:6">
      <c r="A72" s="568" t="s">
        <v>428</v>
      </c>
      <c r="B72" s="11">
        <v>3400</v>
      </c>
      <c r="C72" s="11">
        <v>3960</v>
      </c>
      <c r="D72" s="11">
        <v>4400</v>
      </c>
      <c r="E72" s="11">
        <v>14000</v>
      </c>
      <c r="F72" s="11">
        <v>0</v>
      </c>
    </row>
    <row r="73" spans="1:6">
      <c r="A73" s="568" t="s">
        <v>429</v>
      </c>
      <c r="B73" s="11"/>
      <c r="C73" s="11"/>
      <c r="D73" s="11"/>
      <c r="E73" s="11"/>
      <c r="F73" s="11"/>
    </row>
    <row r="74" spans="1:6">
      <c r="A74" s="568" t="s">
        <v>430</v>
      </c>
      <c r="B74" s="11"/>
      <c r="C74" s="11"/>
      <c r="D74" s="11"/>
      <c r="E74" s="11"/>
      <c r="F74" s="11"/>
    </row>
    <row r="75" spans="1:6">
      <c r="A75" s="568" t="s">
        <v>431</v>
      </c>
      <c r="B75" s="11">
        <v>-10200</v>
      </c>
      <c r="C75" s="11">
        <v>-49680</v>
      </c>
      <c r="D75" s="11">
        <v>-96000</v>
      </c>
      <c r="E75" s="11">
        <v>-48000</v>
      </c>
      <c r="F75" s="11">
        <v>0</v>
      </c>
    </row>
    <row r="76" spans="1:6" ht="13.5" thickBot="1">
      <c r="B76" s="571">
        <f>+B61</f>
        <v>-246.72658499999997</v>
      </c>
      <c r="C76" s="571">
        <f>+C61</f>
        <v>-460.47382675</v>
      </c>
      <c r="D76" s="571">
        <f>+D61</f>
        <v>-2305.0346017124998</v>
      </c>
      <c r="E76" s="571">
        <f>+E61</f>
        <v>-2333.929296146875</v>
      </c>
      <c r="F76" s="571">
        <v>0</v>
      </c>
    </row>
    <row r="77" spans="1:6" ht="13.5" thickTop="1">
      <c r="B77" s="568" t="s">
        <v>432</v>
      </c>
      <c r="C77" s="568" t="s">
        <v>432</v>
      </c>
      <c r="D77" s="568" t="s">
        <v>432</v>
      </c>
      <c r="E77" s="568" t="s">
        <v>432</v>
      </c>
      <c r="F77" s="568" t="s">
        <v>432</v>
      </c>
    </row>
    <row r="78" spans="1:6">
      <c r="A78" s="568" t="s">
        <v>433</v>
      </c>
    </row>
    <row r="79" spans="1:6">
      <c r="A79" s="568" t="s">
        <v>417</v>
      </c>
      <c r="B79" s="581">
        <v>27370</v>
      </c>
      <c r="C79" s="581">
        <v>-2210</v>
      </c>
      <c r="D79" s="581">
        <v>-510</v>
      </c>
      <c r="E79" s="581">
        <v>97800</v>
      </c>
      <c r="F79" s="581">
        <v>74200</v>
      </c>
    </row>
    <row r="80" spans="1:6">
      <c r="A80" s="568" t="s">
        <v>434</v>
      </c>
      <c r="B80" s="581">
        <v>6800</v>
      </c>
      <c r="C80" s="581">
        <v>38520</v>
      </c>
      <c r="D80" s="587">
        <v>40800</v>
      </c>
      <c r="E80" s="581">
        <v>-57600</v>
      </c>
      <c r="F80" s="581">
        <v>-34000</v>
      </c>
    </row>
    <row r="81" spans="1:6">
      <c r="A81" s="568" t="s">
        <v>435</v>
      </c>
      <c r="B81" s="581"/>
      <c r="C81" s="581">
        <v>399.99999999999898</v>
      </c>
      <c r="D81" s="587">
        <v>5080</v>
      </c>
      <c r="E81" s="581">
        <v>4580</v>
      </c>
      <c r="F81" s="581">
        <v>0</v>
      </c>
    </row>
    <row r="82" spans="1:6">
      <c r="B82" s="577" t="s">
        <v>409</v>
      </c>
      <c r="C82" s="577" t="s">
        <v>409</v>
      </c>
      <c r="D82" s="577" t="s">
        <v>409</v>
      </c>
      <c r="E82" s="577" t="s">
        <v>409</v>
      </c>
      <c r="F82" s="577" t="s">
        <v>409</v>
      </c>
    </row>
    <row r="83" spans="1:6">
      <c r="A83" s="568" t="s">
        <v>426</v>
      </c>
      <c r="B83" s="581">
        <v>34170</v>
      </c>
      <c r="C83" s="581">
        <v>36710</v>
      </c>
      <c r="D83" s="581">
        <v>45370</v>
      </c>
      <c r="E83" s="581">
        <v>44780</v>
      </c>
      <c r="F83" s="581">
        <v>40200</v>
      </c>
    </row>
    <row r="84" spans="1:6">
      <c r="A84" s="568" t="s">
        <v>436</v>
      </c>
      <c r="B84" s="581">
        <v>34170</v>
      </c>
      <c r="C84" s="581">
        <v>36180</v>
      </c>
      <c r="D84" s="581">
        <v>38190</v>
      </c>
      <c r="E84" s="581">
        <v>40200</v>
      </c>
      <c r="F84" s="581">
        <v>40200</v>
      </c>
    </row>
    <row r="85" spans="1:6">
      <c r="B85" s="577" t="s">
        <v>409</v>
      </c>
      <c r="C85" s="577" t="s">
        <v>409</v>
      </c>
      <c r="D85" s="577" t="s">
        <v>409</v>
      </c>
      <c r="E85" s="577" t="s">
        <v>409</v>
      </c>
      <c r="F85" s="577" t="s">
        <v>409</v>
      </c>
    </row>
    <row r="86" spans="1:6">
      <c r="A86" s="568" t="s">
        <v>437</v>
      </c>
      <c r="B86" s="581">
        <v>0</v>
      </c>
      <c r="C86" s="581">
        <v>530</v>
      </c>
      <c r="D86" s="581">
        <v>7180.0000000000073</v>
      </c>
      <c r="E86" s="581">
        <v>4580</v>
      </c>
      <c r="F86" s="581">
        <v>0</v>
      </c>
    </row>
  </sheetData>
  <phoneticPr fontId="12" type="noConversion"/>
  <pageMargins left="0.5" right="0.5" top="0.5" bottom="0.55000000000000004" header="0.5" footer="0.5"/>
  <pageSetup scale="90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40"/>
  <sheetViews>
    <sheetView workbookViewId="0"/>
  </sheetViews>
  <sheetFormatPr defaultRowHeight="12.75"/>
  <cols>
    <col min="1" max="1" width="9.140625" style="1151"/>
    <col min="2" max="2" width="20.5703125" style="1151" bestFit="1" customWidth="1"/>
    <col min="3" max="8" width="12.85546875" style="1151" bestFit="1" customWidth="1"/>
    <col min="9" max="10" width="9.140625" style="1151"/>
    <col min="11" max="11" width="12.85546875" style="1151" bestFit="1" customWidth="1"/>
    <col min="12" max="16384" width="9.140625" style="1151"/>
  </cols>
  <sheetData>
    <row r="5" spans="13:18">
      <c r="M5" s="1150"/>
      <c r="N5" s="1150"/>
      <c r="O5" s="1150"/>
      <c r="P5" s="1150"/>
      <c r="Q5" s="1150"/>
      <c r="R5" s="1150"/>
    </row>
    <row r="24" spans="2:11">
      <c r="C24" s="1152" t="s">
        <v>848</v>
      </c>
      <c r="D24" s="1152" t="s">
        <v>849</v>
      </c>
      <c r="E24" s="1152" t="s">
        <v>580</v>
      </c>
      <c r="F24" s="1152" t="s">
        <v>585</v>
      </c>
      <c r="G24" s="1152" t="s">
        <v>894</v>
      </c>
      <c r="H24" s="1152" t="s">
        <v>895</v>
      </c>
      <c r="K24" s="1153">
        <f>1000000</f>
        <v>1000000</v>
      </c>
    </row>
    <row r="25" spans="2:11">
      <c r="B25" s="1154" t="s">
        <v>173</v>
      </c>
      <c r="C25" s="1155">
        <f>Summary!O20/1000</f>
        <v>4.1081179999999984</v>
      </c>
      <c r="D25" s="1155">
        <f>Summary!P20/1000</f>
        <v>5.5021689999999968</v>
      </c>
      <c r="E25" s="1155">
        <f>Summary!Q20/1000</f>
        <v>5.9654979999999975</v>
      </c>
      <c r="F25" s="1155">
        <f>Summary!R20/1000</f>
        <v>6.8457637506901161</v>
      </c>
      <c r="G25" s="1155">
        <f>Summary!S20/1000</f>
        <v>7.5425141862334186</v>
      </c>
      <c r="H25" s="1155">
        <f>Summary!T20/1000</f>
        <v>7.7569307345861924</v>
      </c>
      <c r="K25" s="1153">
        <f>1000</f>
        <v>1000</v>
      </c>
    </row>
    <row r="26" spans="2:11">
      <c r="B26" s="1154" t="s">
        <v>893</v>
      </c>
      <c r="C26" s="1156">
        <f>Summary!O110</f>
        <v>0.17900410952523307</v>
      </c>
      <c r="D26" s="1156">
        <f>Summary!P110</f>
        <v>0.22082941816647045</v>
      </c>
      <c r="E26" s="1156">
        <f>Summary!Q110</f>
        <v>0.2247526034558375</v>
      </c>
      <c r="F26" s="1156">
        <f>Summary!R110</f>
        <v>0.23486253804124851</v>
      </c>
      <c r="G26" s="1156">
        <f>Summary!S110</f>
        <v>0.24125878939335887</v>
      </c>
      <c r="H26" s="1156">
        <f>Summary!T110</f>
        <v>0.2371007619701585</v>
      </c>
    </row>
    <row r="27" spans="2:11">
      <c r="B27" s="1154" t="s">
        <v>1</v>
      </c>
      <c r="C27" s="1155">
        <f>Summary!O21</f>
        <v>9.3767130041322062</v>
      </c>
      <c r="D27" s="1155">
        <f>Summary!P21</f>
        <v>12.558611902879393</v>
      </c>
      <c r="E27" s="1155">
        <f>Summary!Q21</f>
        <v>13.616152864334634</v>
      </c>
      <c r="F27" s="1155">
        <f>Summary!R21</f>
        <v>15.625345227258054</v>
      </c>
      <c r="G27" s="1155">
        <f>Summary!S21</f>
        <v>17.215666846450507</v>
      </c>
      <c r="H27" s="1155">
        <f>Summary!T21</f>
        <v>17.705069156033776</v>
      </c>
    </row>
    <row r="28" spans="2:11">
      <c r="B28" s="1154" t="s">
        <v>891</v>
      </c>
      <c r="C28" s="1157">
        <f>Summary!O22</f>
        <v>1.5</v>
      </c>
      <c r="D28" s="1157">
        <f>Summary!P22</f>
        <v>3</v>
      </c>
      <c r="E28" s="1157">
        <f>Summary!Q22</f>
        <v>3</v>
      </c>
      <c r="F28" s="1157">
        <f>Summary!R22</f>
        <v>4</v>
      </c>
      <c r="G28" s="1157">
        <f>Summary!S22</f>
        <v>5</v>
      </c>
      <c r="H28" s="1157">
        <f>Summary!T22</f>
        <v>6</v>
      </c>
      <c r="I28" s="1157"/>
    </row>
    <row r="29" spans="2:11">
      <c r="B29" s="1154" t="s">
        <v>931</v>
      </c>
      <c r="C29" s="1158">
        <f>Assumptions!BD32/1000000</f>
        <v>4.0189560000000002</v>
      </c>
      <c r="D29" s="1158">
        <f>Assumptions!BI32/1000000</f>
        <v>3.9929130000000002</v>
      </c>
      <c r="E29" s="1158">
        <f>Assumptions!BN32/1000000</f>
        <v>3.9564792</v>
      </c>
      <c r="F29" s="1158">
        <f>Assumptions!BR32/1000000</f>
        <v>4.0447686960000002</v>
      </c>
      <c r="G29" s="1158">
        <f>Assumptions!BS32/1000000</f>
        <v>4.1357068768800005</v>
      </c>
      <c r="H29" s="1158">
        <f>Assumptions!BT32/1000000</f>
        <v>4.1357068768800005</v>
      </c>
    </row>
    <row r="30" spans="2:11">
      <c r="B30" s="1154" t="s">
        <v>932</v>
      </c>
      <c r="C30" s="1158">
        <f>Summary!O7/1000</f>
        <v>22.949852999999997</v>
      </c>
      <c r="D30" s="1158">
        <f>Summary!P7/1000</f>
        <v>24.915924</v>
      </c>
      <c r="E30" s="1158">
        <f>Summary!Q7/1000</f>
        <v>26.542508999999999</v>
      </c>
      <c r="F30" s="1158">
        <f>Summary!R7/1000</f>
        <v>29.14795951616518</v>
      </c>
      <c r="G30" s="1158">
        <f>Summary!S7/1000</f>
        <v>31.263168505483023</v>
      </c>
      <c r="H30" s="1158">
        <f>Summary!T7/1000</f>
        <v>32.715756246968446</v>
      </c>
    </row>
    <row r="31" spans="2:11">
      <c r="B31" s="1154" t="s">
        <v>933</v>
      </c>
      <c r="C31" s="1158">
        <f>Assumptions!BD33/1000000</f>
        <v>2.7655340000000002</v>
      </c>
      <c r="D31" s="1158">
        <f>Assumptions!BI33/1000000</f>
        <v>2.8991579999999999</v>
      </c>
      <c r="E31" s="1158">
        <f>Assumptions!BN33/1000000</f>
        <v>2.9429832</v>
      </c>
      <c r="F31" s="1158">
        <f>Assumptions!BR33/1000000</f>
        <v>3.0312726960000003</v>
      </c>
      <c r="G31" s="1158">
        <f>Assumptions!BS33/1000000</f>
        <v>3.1222108768800005</v>
      </c>
      <c r="H31" s="1158">
        <f>Assumptions!BT33/1000000</f>
        <v>3.1222108768800005</v>
      </c>
    </row>
    <row r="32" spans="2:11">
      <c r="B32" s="1154" t="s">
        <v>934</v>
      </c>
      <c r="C32" s="1158">
        <f>Assumptions!BD34/1000000</f>
        <v>1.253422</v>
      </c>
      <c r="D32" s="1158">
        <f>Assumptions!BI34/1000000</f>
        <v>1.093755</v>
      </c>
      <c r="E32" s="1158">
        <f>Assumptions!BN34/1000000</f>
        <v>1.013496</v>
      </c>
      <c r="F32" s="1158">
        <f>Assumptions!BR34/1000000</f>
        <v>1.013496</v>
      </c>
      <c r="G32" s="1158">
        <f>Assumptions!BS34/1000000</f>
        <v>1.013496</v>
      </c>
      <c r="H32" s="1158">
        <f>Assumptions!BT34/1000000</f>
        <v>1.013496</v>
      </c>
    </row>
    <row r="33" spans="2:8">
      <c r="B33" s="1154" t="s">
        <v>935</v>
      </c>
      <c r="C33" s="1156">
        <f>Assumptions!BD29</f>
        <v>0.95213361762615489</v>
      </c>
      <c r="D33" s="1156">
        <f>Assumptions!BI29</f>
        <v>0.94596375266524524</v>
      </c>
      <c r="E33" s="1156">
        <f>Assumptions!BN29</f>
        <v>0.93733219616204699</v>
      </c>
      <c r="F33" s="1156">
        <f>Assumptions!BR29</f>
        <v>0.95824892110874216</v>
      </c>
      <c r="G33" s="1156">
        <f>Assumptions!BS29</f>
        <v>0.97979314780383808</v>
      </c>
      <c r="H33" s="1156">
        <f>Assumptions!BT29</f>
        <v>0.97979314780383808</v>
      </c>
    </row>
    <row r="34" spans="2:8">
      <c r="B34" s="1154"/>
      <c r="C34" s="1156"/>
      <c r="D34" s="1156"/>
      <c r="E34" s="1156"/>
      <c r="F34" s="1156"/>
      <c r="G34" s="1156"/>
      <c r="H34" s="1156"/>
    </row>
    <row r="35" spans="2:8">
      <c r="B35" s="1154" t="s">
        <v>949</v>
      </c>
      <c r="C35" s="1156">
        <f>Assumptions!BD53</f>
        <v>366.25997004556802</v>
      </c>
      <c r="D35" s="1156">
        <f>(IS!BJ6/Assumptions!BI33*Assumptions!A3)/20</f>
        <v>392.07402632074553</v>
      </c>
      <c r="E35" s="1156">
        <f>Assumptions!BN53</f>
        <v>446.76585309763243</v>
      </c>
      <c r="F35" s="1156">
        <f>Assumptions!BR53</f>
        <v>464.63648722153772</v>
      </c>
      <c r="G35" s="1156">
        <f>Assumptions!BS53</f>
        <v>483.22194671039927</v>
      </c>
      <c r="H35" s="1156">
        <f>Assumptions!BT53</f>
        <v>502.55082457881525</v>
      </c>
    </row>
    <row r="36" spans="2:8">
      <c r="B36" s="1154" t="s">
        <v>950</v>
      </c>
      <c r="C36" s="1158">
        <f>Summary!O7/1000</f>
        <v>22.949852999999997</v>
      </c>
      <c r="D36" s="1158">
        <f>Summary!P7/1000</f>
        <v>24.915924</v>
      </c>
      <c r="E36" s="1158">
        <f>Summary!Q7/1000</f>
        <v>26.542508999999999</v>
      </c>
      <c r="F36" s="1158">
        <f>Summary!R7/1000</f>
        <v>29.14795951616518</v>
      </c>
      <c r="G36" s="1158">
        <f>Summary!S7/1000</f>
        <v>31.263168505483023</v>
      </c>
      <c r="H36" s="1158">
        <f>Summary!T7/1000</f>
        <v>32.715756246968446</v>
      </c>
    </row>
    <row r="37" spans="2:8">
      <c r="C37" s="1152" t="s">
        <v>848</v>
      </c>
      <c r="D37" s="1152" t="s">
        <v>849</v>
      </c>
      <c r="E37" s="1152" t="s">
        <v>580</v>
      </c>
      <c r="F37" s="1152" t="s">
        <v>585</v>
      </c>
      <c r="G37" s="1152" t="s">
        <v>894</v>
      </c>
      <c r="H37" s="1152" t="s">
        <v>895</v>
      </c>
    </row>
    <row r="38" spans="2:8">
      <c r="B38" s="1154" t="s">
        <v>953</v>
      </c>
      <c r="C38" s="1206">
        <f>Summary!O17</f>
        <v>1670.7840000000001</v>
      </c>
      <c r="D38" s="1206">
        <f>Summary!P17</f>
        <v>994.87900000000002</v>
      </c>
      <c r="E38" s="1206">
        <f>Summary!Q17</f>
        <v>608.85900000000004</v>
      </c>
      <c r="F38" s="1206">
        <f>Summary!R17</f>
        <v>496.05678290588475</v>
      </c>
      <c r="G38" s="1206">
        <f>Summary!S17</f>
        <v>411.52768508760653</v>
      </c>
      <c r="H38" s="1206">
        <f>Summary!T17</f>
        <v>395.14034863033208</v>
      </c>
    </row>
    <row r="39" spans="2:8">
      <c r="B39" s="1154" t="s">
        <v>951</v>
      </c>
      <c r="C39" s="1206">
        <f>BS!Q32</f>
        <v>6733.4669999999996</v>
      </c>
      <c r="D39" s="1206">
        <f>BS!R32</f>
        <v>5420.29</v>
      </c>
      <c r="E39" s="1206">
        <f>BS!S32</f>
        <v>2551.6759999999999</v>
      </c>
      <c r="F39" s="1206">
        <f>BS!T32</f>
        <v>3000</v>
      </c>
      <c r="G39" s="1206">
        <f>BS!U32</f>
        <v>3000</v>
      </c>
      <c r="H39" s="1206">
        <f>BS!V32</f>
        <v>3000</v>
      </c>
    </row>
    <row r="40" spans="2:8">
      <c r="B40" s="1154" t="s">
        <v>952</v>
      </c>
      <c r="C40" s="1206">
        <f>Summary!O40+Summary!O47</f>
        <v>6794.6440000000002</v>
      </c>
      <c r="D40" s="1206">
        <f>Summary!P40+Summary!P47</f>
        <v>4339.2190000000001</v>
      </c>
      <c r="E40" s="1206">
        <f>Summary!Q40+Summary!Q47</f>
        <v>2124.183</v>
      </c>
      <c r="F40" s="1206">
        <f>Summary!R40+Summary!R47</f>
        <v>1455.0647689935065</v>
      </c>
      <c r="G40" s="1206">
        <f>Summary!S40+Summary!S47</f>
        <v>669.66814916396106</v>
      </c>
      <c r="H40" s="1206">
        <f>Summary!T40+Summary!T47</f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SourceUrl xmlns="http://schemas.microsoft.com/sharepoint/v3" xsi:nil="true"/>
    <AutoVersionDisabled xmlns="http://schemas.microsoft.com/sharepoint/v3">false</AutoVersionDisabled>
    <ItemType xmlns="http://schemas.microsoft.com/sharepoint/v3">1</ItemType>
    <Order xmlns="http://schemas.microsoft.com/sharepoint/v3" xsi:nil="true"/>
    <_SharedFileIndex xmlns="http://schemas.microsoft.com/sharepoint/v3" xsi:nil="true"/>
    <MetaInfo xmlns="http://schemas.microsoft.com/sharepoint/v3" xsi:nil="true"/>
    <Description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_Docs_" ma:contentTypeID="0x0098615BC066376849B9502121F1C53887" ma:contentTypeVersion="" ma:contentTypeDescription="" ma:contentTypeScope="" ma:versionID="180671a184f35043d301cdd0dbdf0307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3e5d9eca856144ce6ca1da655f95619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AutoVersionDisabled" minOccurs="0"/>
                <xsd:element ref="ns1:ItemType" minOccurs="0"/>
                <xsd:element ref="ns1:Descript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ID" ma:index="0" nillable="true" ma:displayName="ID" ma:internalName="ID" ma:readOnly="true">
      <xsd:simpleType>
        <xsd:restriction base="dms:Unknown"/>
      </xsd:simpleType>
    </xsd:element>
    <xsd:element name="ContentTypeId" ma:index="1" nillable="true" ma:displayName="Content Type ID" ma:hidden="true" ma:internalName="ContentTypeId" ma:readOnly="true">
      <xsd:simpleType>
        <xsd:restriction base="dms:Unknown"/>
      </xsd:simpleType>
    </xsd:element>
    <xsd:element name="Author" ma:index="4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8" nillable="true" ma:displayName="Copy Source" ma:internalName="_CopySource" ma:readOnly="true">
      <xsd:simpleType>
        <xsd:restriction base="dms:Text"/>
      </xsd:simpleType>
    </xsd:element>
    <xsd:element name="_ModerationStatus" ma:index="9" nillable="true" ma:displayName="Approval Status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Approver Comments" ma:hidden="true" ma:internalName="_ModerationComments" ma:readOnly="true">
      <xsd:simpleType>
        <xsd:restriction base="dms:Note"/>
      </xsd:simpleType>
    </xsd:element>
    <xsd:element name="FileRef" ma:index="11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CheckedOutUserId" ma:index="18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19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0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2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ProgId" ma:index="23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4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5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6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7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1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32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33" nillable="true" ma:displayName="Source Url" ma:hidden="true" ma:internalName="_SourceUrl">
      <xsd:simpleType>
        <xsd:restriction base="dms:Text"/>
      </xsd:simpleType>
    </xsd:element>
    <xsd:element name="_SharedFileIndex" ma:index="34" nillable="true" ma:displayName="Shared File Index" ma:hidden="true" ma:internalName="_SharedFileIndex">
      <xsd:simpleType>
        <xsd:restriction base="dms:Text"/>
      </xsd:simpleType>
    </xsd:element>
    <xsd:element name="MetaInfo" ma:index="4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45" nillable="true" ma:displayName="Level" ma:hidden="true" ma:internalName="_Level" ma:readOnly="true">
      <xsd:simpleType>
        <xsd:restriction base="dms:Unknown"/>
      </xsd:simpleType>
    </xsd:element>
    <xsd:element name="_IsCurrentVersion" ma:index="46" nillable="true" ma:displayName="Is Current Version" ma:hidden="true" ma:internalName="_IsCurrentVersion" ma:readOnly="true">
      <xsd:simpleType>
        <xsd:restriction base="dms:Boolean"/>
      </xsd:simpleType>
    </xsd:element>
    <xsd:element name="owshiddenversion" ma:index="50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1" nillable="true" ma:displayName="UI Version" ma:hidden="true" ma:internalName="_UIVersion" ma:readOnly="true">
      <xsd:simpleType>
        <xsd:restriction base="dms:Unknown"/>
      </xsd:simpleType>
    </xsd:element>
    <xsd:element name="_UIVersionString" ma:index="52" nillable="true" ma:displayName="Version" ma:internalName="_UIVersionString" ma:readOnly="true">
      <xsd:simpleType>
        <xsd:restriction base="dms:Text"/>
      </xsd:simpleType>
    </xsd:element>
    <xsd:element name="InstanceID" ma:index="53" nillable="true" ma:displayName="Instance ID" ma:hidden="true" ma:internalName="InstanceID" ma:readOnly="true">
      <xsd:simpleType>
        <xsd:restriction base="dms:Unknown"/>
      </xsd:simpleType>
    </xsd:element>
    <xsd:element name="Order" ma:index="54" nillable="true" ma:displayName="Order" ma:hidden="true" ma:internalName="Order">
      <xsd:simpleType>
        <xsd:restriction base="dms:Number"/>
      </xsd:simpleType>
    </xsd:element>
    <xsd:element name="GUID" ma:index="55" nillable="true" ma:displayName="GUID" ma:hidden="true" ma:internalName="GUID" ma:readOnly="true">
      <xsd:simpleType>
        <xsd:restriction base="dms:Unknown"/>
      </xsd:simpleType>
    </xsd:element>
    <xsd:element name="WorkflowVersion" ma:index="56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57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58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59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AutoVersionDisabled" ma:index="60" nillable="true" ma:displayName="AutoVersionDisabled" ma:default="FALSE" ma:hidden="true" ma:internalName="AutoVersionDisabled">
      <xsd:simpleType>
        <xsd:restriction base="dms:Boolean"/>
      </xsd:simpleType>
    </xsd:element>
    <xsd:element name="ItemType" ma:index="61" nillable="true" ma:displayName="ItemType" ma:default="1" ma:hidden="true" ma:internalName="ItemType">
      <xsd:simpleType>
        <xsd:restriction base="dms:Unknown"/>
      </xsd:simpleType>
    </xsd:element>
    <xsd:element name="Description" ma:index="62" nillable="true" ma:displayName="Description" ma:hidden="true" ma:internalName="Description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Content Type" ma:readOnly="tru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287E0931-BE05-4512-A0AF-EBE06EE6B0AE}">
  <ds:schemaRefs>
    <ds:schemaRef ds:uri="http://schemas.microsoft.com/office/2006/metadata/propertie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87102E2-2D7D-4970-858A-B37C5BF60C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084D61C-D67D-4666-A1F7-12B30CA0788C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5</vt:i4>
      </vt:variant>
    </vt:vector>
  </HeadingPairs>
  <TitlesOfParts>
    <vt:vector size="22" baseType="lpstr">
      <vt:lpstr>DCF</vt:lpstr>
      <vt:lpstr>Panel</vt:lpstr>
      <vt:lpstr>Assumptions</vt:lpstr>
      <vt:lpstr>IS</vt:lpstr>
      <vt:lpstr>Sheet2</vt:lpstr>
      <vt:lpstr>Strategy Table</vt:lpstr>
      <vt:lpstr>Summary</vt:lpstr>
      <vt:lpstr>BS</vt:lpstr>
      <vt:lpstr>CFS</vt:lpstr>
      <vt:lpstr>Investments</vt:lpstr>
      <vt:lpstr>DEp</vt:lpstr>
      <vt:lpstr>Coal</vt:lpstr>
      <vt:lpstr>Sheet3</vt:lpstr>
      <vt:lpstr>Sheet1</vt:lpstr>
      <vt:lpstr>Power</vt:lpstr>
      <vt:lpstr>Solution</vt:lpstr>
      <vt:lpstr>Sheet2 (2)</vt:lpstr>
      <vt:lpstr>BS!Print_Area</vt:lpstr>
      <vt:lpstr>CFS!Print_Area</vt:lpstr>
      <vt:lpstr>IS!Print_Area</vt:lpstr>
      <vt:lpstr>Solution!Print_Area</vt:lpstr>
      <vt:lpstr>IS!Print_Titles</vt:lpstr>
    </vt:vector>
  </TitlesOfParts>
  <Company>taururs Hyderabad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</dc:creator>
  <cp:lastModifiedBy>Malik</cp:lastModifiedBy>
  <cp:lastPrinted>2014-04-12T08:06:19Z</cp:lastPrinted>
  <dcterms:created xsi:type="dcterms:W3CDTF">2006-05-25T12:23:12Z</dcterms:created>
  <dcterms:modified xsi:type="dcterms:W3CDTF">2015-07-06T20:15:31Z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-1530419875</vt:i4>
  </property>
  <property fmtid="{D5CDD505-2E9C-101B-9397-08002B2CF9AE}" pid="3" name="_EmailSubject">
    <vt:lpwstr>check the preview tab of the sheet to get finalized figures</vt:lpwstr>
  </property>
  <property fmtid="{D5CDD505-2E9C-101B-9397-08002B2CF9AE}" pid="4" name="_AuthorEmail">
    <vt:lpwstr>saad@taurus.com.pk</vt:lpwstr>
  </property>
  <property fmtid="{D5CDD505-2E9C-101B-9397-08002B2CF9AE}" pid="5" name="_AuthorEmailDisplayName">
    <vt:lpwstr>Saad Najaf Ali Sayed</vt:lpwstr>
  </property>
  <property fmtid="{D5CDD505-2E9C-101B-9397-08002B2CF9AE}" pid="6" name="_ReviewingToolsShownOnce">
    <vt:lpwstr/>
  </property>
  <property fmtid="{D5CDD505-2E9C-101B-9397-08002B2CF9AE}" pid="7" name="AddDocumentEventProcessedId">
    <vt:lpwstr>994d6dc1-6213-4f2a-b5ec-dbc19771334f</vt:lpwstr>
  </property>
</Properties>
</file>