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10" documentId="C7CD68D7EC8F8D258325643DAE570B5AA2EA85FA" xr6:coauthVersionLast="25" xr6:coauthVersionMax="25" xr10:uidLastSave="{AAB884C7-0C26-4005-ACAC-C8D75FD10246}"/>
  <bookViews>
    <workbookView xWindow="8196" yWindow="576" windowWidth="19116" windowHeight="11760" activeTab="1" xr2:uid="{00000000-000D-0000-FFFF-FFFF00000000}"/>
  </bookViews>
  <sheets>
    <sheet name="Flow Types" sheetId="19" r:id="rId1"/>
    <sheet name="Summary Table " sheetId="2" r:id="rId2"/>
    <sheet name="Facility 1" sheetId="17" r:id="rId3"/>
    <sheet name="Facility 2" sheetId="18" r:id="rId4"/>
  </sheets>
  <calcPr calcId="171027" calcOnSave="0"/>
  <fileRecoveryPr autoRecover="0"/>
</workbook>
</file>

<file path=xl/calcChain.xml><?xml version="1.0" encoding="utf-8"?>
<calcChain xmlns="http://schemas.openxmlformats.org/spreadsheetml/2006/main">
  <c r="C41" i="18" l="1"/>
  <c r="C41" i="17"/>
  <c r="C9" i="17" l="1"/>
  <c r="AM6" i="2"/>
  <c r="AM7" i="2"/>
  <c r="C23" i="18" l="1"/>
  <c r="C40" i="18" l="1"/>
  <c r="C39" i="18"/>
  <c r="C38" i="18"/>
  <c r="C37" i="18"/>
  <c r="C36" i="18"/>
  <c r="C40" i="17"/>
  <c r="C38" i="17"/>
  <c r="C39" i="17"/>
  <c r="C37" i="17"/>
  <c r="C36" i="17"/>
  <c r="AK6" i="2"/>
  <c r="Z7" i="2"/>
  <c r="AK7" i="2"/>
  <c r="AD7" i="2"/>
  <c r="Y6" i="2"/>
  <c r="AI7" i="2"/>
  <c r="AC7" i="2"/>
  <c r="G6" i="2"/>
  <c r="AA7" i="2"/>
  <c r="K6" i="2"/>
  <c r="AB7" i="2"/>
  <c r="AE6" i="2"/>
  <c r="T6" i="2"/>
  <c r="Q6" i="2"/>
  <c r="M6" i="2"/>
  <c r="L7" i="2"/>
  <c r="F6" i="2"/>
  <c r="Y7" i="2"/>
  <c r="AC6" i="2"/>
  <c r="P6" i="2"/>
  <c r="AF7" i="2"/>
  <c r="AJ7" i="2"/>
  <c r="G7" i="2"/>
  <c r="L6" i="2"/>
  <c r="AD6" i="2"/>
  <c r="T7" i="2"/>
  <c r="X7" i="2"/>
  <c r="AF6" i="2"/>
  <c r="U7" i="2"/>
  <c r="AE7" i="2"/>
  <c r="I7" i="2"/>
  <c r="W7" i="2"/>
  <c r="AJ6" i="2"/>
  <c r="AB6" i="2"/>
  <c r="AI6" i="2"/>
  <c r="K7" i="2"/>
  <c r="O7" i="2"/>
  <c r="N7" i="2"/>
  <c r="AL7" i="2"/>
  <c r="J7" i="2"/>
  <c r="H7" i="2"/>
  <c r="AH6" i="2"/>
  <c r="AH7" i="2"/>
  <c r="O6" i="2"/>
  <c r="V7" i="2"/>
  <c r="F7" i="2"/>
  <c r="AG6" i="2"/>
  <c r="N6" i="2"/>
  <c r="I6" i="2"/>
  <c r="R7" i="2"/>
  <c r="P7" i="2"/>
  <c r="Z6" i="2"/>
  <c r="Q7" i="2"/>
  <c r="M7" i="2"/>
  <c r="H6" i="2"/>
  <c r="AL6" i="2"/>
  <c r="AG7" i="2"/>
  <c r="C7" i="19" l="1"/>
  <c r="C6" i="19"/>
  <c r="C5" i="19"/>
  <c r="C3" i="19"/>
  <c r="C4" i="19"/>
  <c r="C2" i="19"/>
  <c r="C17" i="18" l="1"/>
  <c r="C11" i="18"/>
  <c r="C10" i="18"/>
  <c r="C9" i="18"/>
  <c r="C25" i="18" s="1"/>
  <c r="C27" i="18"/>
  <c r="D7" i="2"/>
  <c r="E6" i="2"/>
  <c r="D6" i="2"/>
  <c r="E7" i="2"/>
  <c r="C20" i="18" l="1"/>
  <c r="C29" i="18"/>
  <c r="C26" i="18" s="1"/>
  <c r="C12" i="18"/>
  <c r="C24" i="18" s="1"/>
  <c r="C21" i="18" s="1"/>
  <c r="C11" i="17"/>
  <c r="C10" i="17"/>
  <c r="S7" i="2"/>
  <c r="C17" i="17" l="1"/>
  <c r="C29" i="17" l="1"/>
  <c r="C27" i="17"/>
  <c r="C25" i="17"/>
  <c r="C20" i="17"/>
  <c r="C12" i="17"/>
  <c r="B7" i="2"/>
  <c r="AA6" i="2"/>
  <c r="C6" i="2"/>
  <c r="C7" i="2"/>
  <c r="R6" i="2"/>
  <c r="W6" i="2"/>
  <c r="B6" i="2"/>
  <c r="J6" i="2"/>
  <c r="C26" i="17" l="1"/>
  <c r="C24" i="17"/>
  <c r="V6" i="2"/>
  <c r="X6" i="2"/>
  <c r="C23" i="17" l="1"/>
  <c r="U6" i="2"/>
  <c r="C21" i="17" l="1"/>
  <c r="S6" i="2"/>
</calcChain>
</file>

<file path=xl/sharedStrings.xml><?xml version="1.0" encoding="utf-8"?>
<sst xmlns="http://schemas.openxmlformats.org/spreadsheetml/2006/main" count="373" uniqueCount="178">
  <si>
    <t>Facility ID:</t>
  </si>
  <si>
    <t>Facility Name:</t>
  </si>
  <si>
    <t>Facility Features</t>
  </si>
  <si>
    <t>Area (acres)</t>
  </si>
  <si>
    <t>Question</t>
  </si>
  <si>
    <t>Determination</t>
  </si>
  <si>
    <r>
      <t xml:space="preserve">Notes and References
</t>
    </r>
    <r>
      <rPr>
        <b/>
        <i/>
        <sz val="11"/>
        <color theme="1"/>
        <rFont val="Calibri"/>
        <family val="2"/>
        <scheme val="minor"/>
      </rPr>
      <t>(Cite your reference and save to reference folder)</t>
    </r>
  </si>
  <si>
    <t>Summary Table</t>
  </si>
  <si>
    <t>Facility ID</t>
  </si>
  <si>
    <t>Facility Name</t>
  </si>
  <si>
    <t>Operational Shutdown Duration</t>
  </si>
  <si>
    <t>In 100-year storm flood plain?</t>
  </si>
  <si>
    <t>Soil Type (clay, silt, rock)?</t>
  </si>
  <si>
    <t>Percent Impervious (%)?</t>
  </si>
  <si>
    <t>Note:</t>
  </si>
  <si>
    <t>Use this formula '=VLOOKUP(val,INDIRECT("'"&amp;sheet&amp;"'!"&amp;"range"),col,0)</t>
  </si>
  <si>
    <t>Facility Type:</t>
  </si>
  <si>
    <t>Potential for High Groundwater?
Based on proximity to water body</t>
  </si>
  <si>
    <t>Facility Type</t>
  </si>
  <si>
    <t>Runoff Coefficient, C</t>
  </si>
  <si>
    <t>Need to ask Client</t>
  </si>
  <si>
    <t>Per FHAT Report, see references.</t>
  </si>
  <si>
    <t>Facility Address:</t>
  </si>
  <si>
    <t>Facility TMK:</t>
  </si>
  <si>
    <t>Area of Buildings (square feet)</t>
  </si>
  <si>
    <t>Paved Area (square feet)</t>
  </si>
  <si>
    <t>Number of Discharge points?
(delete the un-used numbers)</t>
  </si>
  <si>
    <t>Type of Runoff (piped outlet, sheet flow, catch basin, catch basin to piped outlet, channelized flow, or downspout)</t>
  </si>
  <si>
    <t>Length (ft)</t>
  </si>
  <si>
    <t>Water Quality Volume (cf)</t>
  </si>
  <si>
    <t>Water Quality Flow Rate (cfs)</t>
  </si>
  <si>
    <t>See Q3 Ref (Site Map PDF)</t>
  </si>
  <si>
    <t>Excel Cell Calculation</t>
  </si>
  <si>
    <t>Paved</t>
  </si>
  <si>
    <t>Percent Slope</t>
  </si>
  <si>
    <t>See Plate 3 (pg.21)</t>
  </si>
  <si>
    <t>See Plate 1 (pg.19)</t>
  </si>
  <si>
    <r>
      <t>Rainfall Intensity for 1-hr 10 year storm (T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)?</t>
    </r>
  </si>
  <si>
    <t>Character of Ground (ex. Paved, Bare Soil, Dense Grass, etc.)</t>
  </si>
  <si>
    <t>Time of Concentration (min.)</t>
  </si>
  <si>
    <t>See Table 2 (pg. 18) - "Industrial Area"</t>
  </si>
  <si>
    <r>
      <t>Estimated Q</t>
    </r>
    <r>
      <rPr>
        <vertAlign val="subscript"/>
        <sz val="11"/>
        <color theme="1"/>
        <rFont val="Calibri"/>
        <family val="2"/>
        <scheme val="minor"/>
      </rPr>
      <t>Peak</t>
    </r>
    <r>
      <rPr>
        <sz val="11"/>
        <color theme="1"/>
        <rFont val="Calibri"/>
        <family val="2"/>
        <scheme val="minor"/>
      </rPr>
      <t xml:space="preserve"> for 1-hr 10 year storm?</t>
    </r>
  </si>
  <si>
    <t>See Q13 Ref (Soil Survey) [Per USGS Websoil Survey]</t>
  </si>
  <si>
    <t>See Plate 4 (pg.21)</t>
  </si>
  <si>
    <t>Correction Factor (CF)</t>
  </si>
  <si>
    <r>
      <t>Q = C*(I=T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*CF)*A</t>
    </r>
  </si>
  <si>
    <t>Catch Basin to Piped Outlet</t>
  </si>
  <si>
    <t>Design Storm Runoff Depth (inches) = P</t>
  </si>
  <si>
    <t>Volumetic Runoff Coefficient = C</t>
  </si>
  <si>
    <t>Drainage Management Area (acres) = A</t>
  </si>
  <si>
    <t>See "AmendedRulesRelatingtoWaterQuality;" WQV = PCA x 3630</t>
  </si>
  <si>
    <t>A design storm runoff depth of 1 inch shall be used for LID retention BMPs.
A design storm runoff depth of 1.5 inches shall be used for volume-based
Biofiltration and Alternative Compliance BMPs.</t>
  </si>
  <si>
    <t>Percent of Impervious Cover (%)</t>
  </si>
  <si>
    <t>The volumetric runoff coefficient shall be calculated using the following
equation as developed by EPA for smaller storms in urban areas:
C = 0.05 + 0.009*(%)</t>
  </si>
  <si>
    <t>See "Facility Features 5"</t>
  </si>
  <si>
    <t>See "Facility Features 2"</t>
  </si>
  <si>
    <t>Flow-through based BMPs shall be sized for the Water Quality Flow Rate
(WQF), which is calculated using the Rational Formula as follows:
WQF = 1.5 X CiA</t>
  </si>
  <si>
    <t>Runoff Coefficient = C</t>
  </si>
  <si>
    <t>Peak Rainfall Intensity (inches per hour) = i</t>
  </si>
  <si>
    <t>A peak rainfall intensity of 0.4 inches per hour shall be used.</t>
  </si>
  <si>
    <t>See "Facility Features 7"</t>
  </si>
  <si>
    <t>Quarry</t>
  </si>
  <si>
    <t>Kalihi Palama Bus Facility</t>
  </si>
  <si>
    <t>Bus Maintenance Facility</t>
  </si>
  <si>
    <t>(1) 1-2-015:006, (1) 1-2-016-006:007, (1) 1-2-018-003, 009, 011</t>
  </si>
  <si>
    <t>Structural BMPs Implemented (List Type, or say None)</t>
  </si>
  <si>
    <t>OWS</t>
  </si>
  <si>
    <t>Hydrodynamic Separator</t>
  </si>
  <si>
    <t>High</t>
  </si>
  <si>
    <t>0.01 miles from Kalihi Stream [See Q1 Ref (Google Earth)]</t>
  </si>
  <si>
    <t>From Google Earth See Plate 3 (pg.21)</t>
  </si>
  <si>
    <t>Partial</t>
  </si>
  <si>
    <t>Pearl City Bus Facility</t>
  </si>
  <si>
    <t>(1) 9-7-024:047</t>
  </si>
  <si>
    <t>0.20 miles from Waiau Stream [See Q1 Ref (Google Earth)]</t>
  </si>
  <si>
    <t>Undetermined</t>
  </si>
  <si>
    <t>Silty Clay Loam</t>
  </si>
  <si>
    <t>7a</t>
  </si>
  <si>
    <t>7b</t>
  </si>
  <si>
    <t>7c</t>
  </si>
  <si>
    <t>8a</t>
  </si>
  <si>
    <t>10a</t>
  </si>
  <si>
    <t>10b</t>
  </si>
  <si>
    <t>10c</t>
  </si>
  <si>
    <t>10d</t>
  </si>
  <si>
    <t>11a</t>
  </si>
  <si>
    <t>11b</t>
  </si>
  <si>
    <t>11c</t>
  </si>
  <si>
    <t>Facility Address</t>
  </si>
  <si>
    <t>Facility TMK</t>
  </si>
  <si>
    <t>Facility Characterisitics</t>
  </si>
  <si>
    <t>15a</t>
  </si>
  <si>
    <t>15 ref</t>
  </si>
  <si>
    <t>15b</t>
  </si>
  <si>
    <t>Type of Runoff?</t>
  </si>
  <si>
    <t>Structural BMPs Implemented?</t>
  </si>
  <si>
    <t>Ref SWPCP</t>
  </si>
  <si>
    <t>Number of Industrial Area Discharge of Points</t>
  </si>
  <si>
    <t>Potential for High Groundwater?</t>
  </si>
  <si>
    <r>
      <t>Rainfall Intensity for 1-hr 10 year storm (T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)?</t>
    </r>
  </si>
  <si>
    <t xml:space="preserve">Character of Ground </t>
  </si>
  <si>
    <r>
      <t>Estimated Q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 xml:space="preserve"> for 1-hr 10 year storm?</t>
    </r>
  </si>
  <si>
    <t>Sheet Flow Count</t>
  </si>
  <si>
    <t>Summary of Flow Types</t>
  </si>
  <si>
    <t>Industrial Area Count</t>
  </si>
  <si>
    <t>Piped Outlet Count</t>
  </si>
  <si>
    <t>Catch Basin to Piped Outlet Count</t>
  </si>
  <si>
    <t>Channelized Flow Count</t>
  </si>
  <si>
    <t>Downspout</t>
  </si>
  <si>
    <t>15c</t>
  </si>
  <si>
    <t>15d</t>
  </si>
  <si>
    <t>15e</t>
  </si>
  <si>
    <t>15f</t>
  </si>
  <si>
    <t>15g</t>
  </si>
  <si>
    <t>Piped Outlet (count)</t>
  </si>
  <si>
    <t>Sheet Flow (count)</t>
  </si>
  <si>
    <t>Catch Basin to Piped Outlet (count)</t>
  </si>
  <si>
    <t>Channelized Flow (count)</t>
  </si>
  <si>
    <t>Downspout (count)</t>
  </si>
  <si>
    <t>15 ref below</t>
  </si>
  <si>
    <t>Peer Review:</t>
  </si>
  <si>
    <t>AN</t>
  </si>
  <si>
    <t>Agree.  But suggest using elevation above MSL rather than distance to a stream.</t>
  </si>
  <si>
    <t>Disagree.  Suggest using elevation (100 ft MSL) above MSL rather than distance to a stream.</t>
  </si>
  <si>
    <t>In SMA area?</t>
  </si>
  <si>
    <t>No</t>
  </si>
  <si>
    <t>See Q16 Ref</t>
  </si>
  <si>
    <t>611 and 811 Middle Street 
Honolulu, Hawaii 96819</t>
  </si>
  <si>
    <t>1200 Waimano Home Road 
Pearl City, Hawaii 96782</t>
  </si>
  <si>
    <t>GW_Risk</t>
  </si>
  <si>
    <t>Fac_Area</t>
  </si>
  <si>
    <t>Pave_Area</t>
  </si>
  <si>
    <t>Runoff_Coeff</t>
  </si>
  <si>
    <t>Length</t>
  </si>
  <si>
    <t>Char_Ground</t>
  </si>
  <si>
    <t>TC</t>
  </si>
  <si>
    <t>CF</t>
  </si>
  <si>
    <t>Q_Peak</t>
  </si>
  <si>
    <t>Tm</t>
  </si>
  <si>
    <t>Bldg_Area</t>
  </si>
  <si>
    <t>Fac_Type</t>
  </si>
  <si>
    <t>Fac_Add</t>
  </si>
  <si>
    <t>Fac_TMK</t>
  </si>
  <si>
    <t>WQV</t>
  </si>
  <si>
    <t>Des_Storm_Depth</t>
  </si>
  <si>
    <t>Runoff_Coeff2</t>
  </si>
  <si>
    <t>Runoff_Coeff3</t>
  </si>
  <si>
    <t>WQ_Intensity</t>
  </si>
  <si>
    <t>Fac_Area2</t>
  </si>
  <si>
    <t>Fac_Area3</t>
  </si>
  <si>
    <t>OP_Shutdown</t>
  </si>
  <si>
    <t>Soil_Type</t>
  </si>
  <si>
    <t>Num_Ind_DP</t>
  </si>
  <si>
    <t>Runoff_Type</t>
  </si>
  <si>
    <t>Count_Pipe</t>
  </si>
  <si>
    <t>Count_Sheet</t>
  </si>
  <si>
    <t>Count_CB</t>
  </si>
  <si>
    <t>Count_Chan</t>
  </si>
  <si>
    <t>Count_DS</t>
  </si>
  <si>
    <t>WQFR</t>
  </si>
  <si>
    <t>Fac_Slope</t>
  </si>
  <si>
    <t>Fac_Name</t>
  </si>
  <si>
    <t>Fac_ID</t>
  </si>
  <si>
    <t>15h</t>
  </si>
  <si>
    <t>Trench Drain to Piped Outlet (count)</t>
  </si>
  <si>
    <t>Count_TD</t>
  </si>
  <si>
    <t>Trench Drain to Piped Outlet</t>
  </si>
  <si>
    <t>Does offsite Storm Drainage System Exist in Street?</t>
  </si>
  <si>
    <t>Does offsite Sanitary Sewer System Exist in Street?</t>
  </si>
  <si>
    <t>Estimate of Exposed Material area (square footage)?</t>
  </si>
  <si>
    <t>Estimate of damaged pavement (square footage)?</t>
  </si>
  <si>
    <t>Is three-phase power likely to be at facility?</t>
  </si>
  <si>
    <t>For true industrial facilities only, is there ability to add upstream SD system?</t>
  </si>
  <si>
    <t>Yes</t>
  </si>
  <si>
    <t>Ex_Struct_BMP</t>
  </si>
  <si>
    <t>Imperv2</t>
  </si>
  <si>
    <t>Imperv</t>
  </si>
  <si>
    <t>FP_100_Year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</si>
</sst>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7"/>
  <sheetViews>
    <sheetView workbookViewId="0">
      <selection activeCell="B19" sqref="B19"/>
    </sheetView>
  </sheetViews>
  <sheetFormatPr defaultRowHeight="14.4" x14ac:dyDescent="0.3"/>
  <cols>
    <col min="2" max="2" width="29.44140625" customWidth="1"/>
  </cols>
  <sheetData>
    <row r="1" spans="1:3" x14ac:dyDescent="0.3">
      <c r="A1" s="1" t="s">
        <v>103</v>
      </c>
    </row>
    <row r="2" spans="1:3" x14ac:dyDescent="0.3">
      <c r="B2" t="s">
        <v>104</v>
      </c>
      <c r="C2">
        <f ca="1">SUM('Summary Table '!AE6:AE7)</f>
        <v>5</v>
      </c>
    </row>
    <row r="3" spans="1:3" x14ac:dyDescent="0.3">
      <c r="B3" t="s">
        <v>105</v>
      </c>
      <c r="C3">
        <f ca="1">SUM('Summary Table '!AH6:AH7)</f>
        <v>0</v>
      </c>
    </row>
    <row r="4" spans="1:3" x14ac:dyDescent="0.3">
      <c r="B4" t="s">
        <v>102</v>
      </c>
      <c r="C4">
        <f ca="1">SUM('Summary Table '!AI6:AI7)</f>
        <v>0</v>
      </c>
    </row>
    <row r="5" spans="1:3" x14ac:dyDescent="0.3">
      <c r="B5" t="s">
        <v>106</v>
      </c>
      <c r="C5">
        <f ca="1">SUM('Summary Table '!AJ6:AJ7)</f>
        <v>5</v>
      </c>
    </row>
    <row r="6" spans="1:3" x14ac:dyDescent="0.3">
      <c r="B6" t="s">
        <v>107</v>
      </c>
      <c r="C6">
        <f ca="1">SUM('Summary Table '!AK6:AK7)</f>
        <v>0</v>
      </c>
    </row>
    <row r="7" spans="1:3" x14ac:dyDescent="0.3">
      <c r="B7" t="s">
        <v>108</v>
      </c>
      <c r="C7">
        <f ca="1">SUM('Summary Table '!AL6:AL7)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61"/>
  <sheetViews>
    <sheetView tabSelected="1" topLeftCell="A4" zoomScale="70" zoomScaleNormal="70" workbookViewId="0">
      <selection activeCell="D28" sqref="D28"/>
    </sheetView>
  </sheetViews>
  <sheetFormatPr defaultRowHeight="14.4" x14ac:dyDescent="0.3"/>
  <cols>
    <col min="2" max="2" width="23.33203125" customWidth="1"/>
    <col min="3" max="3" width="23.5546875" customWidth="1"/>
    <col min="4" max="4" width="47.33203125" customWidth="1"/>
    <col min="5" max="5" width="18.33203125" customWidth="1"/>
    <col min="6" max="6" width="11.109375" customWidth="1"/>
    <col min="32" max="32" width="19.6640625" customWidth="1"/>
    <col min="33" max="33" width="11.44140625" customWidth="1"/>
    <col min="39" max="39" width="8.21875" bestFit="1" customWidth="1"/>
    <col min="43" max="43" width="16.44140625" bestFit="1" customWidth="1"/>
  </cols>
  <sheetData>
    <row r="1" spans="1:39" x14ac:dyDescent="0.3">
      <c r="A1" s="1" t="s">
        <v>7</v>
      </c>
    </row>
    <row r="2" spans="1:39" x14ac:dyDescent="0.3">
      <c r="F2" s="1" t="s">
        <v>90</v>
      </c>
      <c r="G2" s="1"/>
      <c r="H2" s="1"/>
      <c r="I2" s="1"/>
      <c r="J2" s="1"/>
      <c r="K2" s="1"/>
      <c r="L2" s="1"/>
      <c r="M2" s="1"/>
      <c r="N2" s="1"/>
      <c r="O2" s="1"/>
    </row>
    <row r="3" spans="1:39" x14ac:dyDescent="0.3">
      <c r="A3" s="1"/>
      <c r="B3" s="1"/>
      <c r="C3" s="1"/>
      <c r="D3" s="1"/>
      <c r="E3" s="1"/>
      <c r="F3" s="42">
        <v>1</v>
      </c>
      <c r="G3" s="42">
        <v>2</v>
      </c>
      <c r="H3" s="42">
        <v>3</v>
      </c>
      <c r="I3" s="42">
        <v>4</v>
      </c>
      <c r="J3" s="42">
        <v>5</v>
      </c>
      <c r="K3" s="42">
        <v>6</v>
      </c>
      <c r="L3" s="42">
        <v>7</v>
      </c>
      <c r="M3" s="42" t="s">
        <v>77</v>
      </c>
      <c r="N3" s="42" t="s">
        <v>78</v>
      </c>
      <c r="O3" s="42" t="s">
        <v>79</v>
      </c>
      <c r="P3" s="42">
        <v>8</v>
      </c>
      <c r="Q3" s="42" t="s">
        <v>80</v>
      </c>
      <c r="R3" s="42">
        <v>9</v>
      </c>
      <c r="S3" s="42">
        <v>10</v>
      </c>
      <c r="T3" s="42" t="s">
        <v>81</v>
      </c>
      <c r="U3" s="42" t="s">
        <v>82</v>
      </c>
      <c r="V3" s="42" t="s">
        <v>83</v>
      </c>
      <c r="W3" s="42" t="s">
        <v>84</v>
      </c>
      <c r="X3" s="42">
        <v>11</v>
      </c>
      <c r="Y3" s="42" t="s">
        <v>85</v>
      </c>
      <c r="Z3" s="42" t="s">
        <v>86</v>
      </c>
      <c r="AA3" s="42" t="s">
        <v>87</v>
      </c>
      <c r="AB3" s="42">
        <v>12</v>
      </c>
      <c r="AC3" s="42">
        <v>13</v>
      </c>
      <c r="AD3" s="42">
        <v>14</v>
      </c>
      <c r="AE3" s="42">
        <v>15</v>
      </c>
      <c r="AF3" t="s">
        <v>91</v>
      </c>
      <c r="AG3" t="s">
        <v>93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163</v>
      </c>
    </row>
    <row r="4" spans="1:39" ht="100.8" x14ac:dyDescent="0.3">
      <c r="A4" s="1" t="s">
        <v>8</v>
      </c>
      <c r="B4" s="1" t="s">
        <v>9</v>
      </c>
      <c r="C4" s="1" t="s">
        <v>18</v>
      </c>
      <c r="D4" s="1" t="s">
        <v>88</v>
      </c>
      <c r="E4" s="1" t="s">
        <v>89</v>
      </c>
      <c r="F4" s="25" t="s">
        <v>98</v>
      </c>
      <c r="G4" s="25" t="s">
        <v>3</v>
      </c>
      <c r="H4" s="25" t="s">
        <v>24</v>
      </c>
      <c r="I4" s="25" t="s">
        <v>25</v>
      </c>
      <c r="J4" s="25" t="s">
        <v>13</v>
      </c>
      <c r="K4" s="25" t="s">
        <v>99</v>
      </c>
      <c r="L4" s="25" t="s">
        <v>19</v>
      </c>
      <c r="M4" s="26" t="s">
        <v>28</v>
      </c>
      <c r="N4" s="26" t="s">
        <v>100</v>
      </c>
      <c r="O4" s="26" t="s">
        <v>34</v>
      </c>
      <c r="P4" s="25" t="s">
        <v>39</v>
      </c>
      <c r="Q4" s="43" t="s">
        <v>44</v>
      </c>
      <c r="R4" s="44" t="s">
        <v>101</v>
      </c>
      <c r="S4" s="44" t="s">
        <v>29</v>
      </c>
      <c r="T4" s="43" t="s">
        <v>47</v>
      </c>
      <c r="U4" s="43" t="s">
        <v>48</v>
      </c>
      <c r="V4" s="43" t="s">
        <v>52</v>
      </c>
      <c r="W4" s="43" t="s">
        <v>49</v>
      </c>
      <c r="X4" s="44" t="s">
        <v>30</v>
      </c>
      <c r="Y4" s="43" t="s">
        <v>57</v>
      </c>
      <c r="Z4" s="26" t="s">
        <v>58</v>
      </c>
      <c r="AA4" s="26" t="s">
        <v>49</v>
      </c>
      <c r="AB4" s="25" t="s">
        <v>10</v>
      </c>
      <c r="AC4" s="25" t="s">
        <v>12</v>
      </c>
      <c r="AD4" s="25" t="s">
        <v>11</v>
      </c>
      <c r="AE4" s="25" t="s">
        <v>97</v>
      </c>
      <c r="AF4" s="25" t="s">
        <v>94</v>
      </c>
      <c r="AG4" s="25" t="s">
        <v>95</v>
      </c>
      <c r="AH4" s="47" t="s">
        <v>114</v>
      </c>
      <c r="AI4" s="44" t="s">
        <v>115</v>
      </c>
      <c r="AJ4" s="44" t="s">
        <v>116</v>
      </c>
      <c r="AK4" s="44" t="s">
        <v>117</v>
      </c>
      <c r="AL4" s="44" t="s">
        <v>118</v>
      </c>
      <c r="AM4" s="55" t="s">
        <v>164</v>
      </c>
    </row>
    <row r="5" spans="1:39" ht="28.8" x14ac:dyDescent="0.3">
      <c r="A5" s="1" t="s">
        <v>162</v>
      </c>
      <c r="B5" s="1" t="s">
        <v>161</v>
      </c>
      <c r="C5" s="1" t="s">
        <v>140</v>
      </c>
      <c r="D5" s="1" t="s">
        <v>141</v>
      </c>
      <c r="E5" s="1" t="s">
        <v>142</v>
      </c>
      <c r="F5" s="25" t="s">
        <v>129</v>
      </c>
      <c r="G5" s="25" t="s">
        <v>130</v>
      </c>
      <c r="H5" s="25" t="s">
        <v>139</v>
      </c>
      <c r="I5" s="25" t="s">
        <v>131</v>
      </c>
      <c r="J5" s="25" t="s">
        <v>176</v>
      </c>
      <c r="K5" s="25" t="s">
        <v>138</v>
      </c>
      <c r="L5" s="25" t="s">
        <v>132</v>
      </c>
      <c r="M5" s="26" t="s">
        <v>133</v>
      </c>
      <c r="N5" s="26" t="s">
        <v>134</v>
      </c>
      <c r="O5" s="26" t="s">
        <v>160</v>
      </c>
      <c r="P5" s="25" t="s">
        <v>135</v>
      </c>
      <c r="Q5" s="43" t="s">
        <v>136</v>
      </c>
      <c r="R5" s="44" t="s">
        <v>137</v>
      </c>
      <c r="S5" s="44" t="s">
        <v>143</v>
      </c>
      <c r="T5" s="43" t="s">
        <v>144</v>
      </c>
      <c r="U5" s="43" t="s">
        <v>145</v>
      </c>
      <c r="V5" s="43" t="s">
        <v>175</v>
      </c>
      <c r="W5" s="25" t="s">
        <v>148</v>
      </c>
      <c r="X5" s="44" t="s">
        <v>159</v>
      </c>
      <c r="Y5" s="43" t="s">
        <v>146</v>
      </c>
      <c r="Z5" s="43" t="s">
        <v>147</v>
      </c>
      <c r="AA5" s="25" t="s">
        <v>149</v>
      </c>
      <c r="AB5" s="25" t="s">
        <v>150</v>
      </c>
      <c r="AC5" s="25" t="s">
        <v>151</v>
      </c>
      <c r="AD5" s="25" t="s">
        <v>177</v>
      </c>
      <c r="AE5" s="25" t="s">
        <v>152</v>
      </c>
      <c r="AF5" s="25" t="s">
        <v>153</v>
      </c>
      <c r="AG5" s="25" t="s">
        <v>174</v>
      </c>
      <c r="AH5" s="47" t="s">
        <v>154</v>
      </c>
      <c r="AI5" s="44" t="s">
        <v>155</v>
      </c>
      <c r="AJ5" s="44" t="s">
        <v>156</v>
      </c>
      <c r="AK5" s="44" t="s">
        <v>157</v>
      </c>
      <c r="AL5" s="44" t="s">
        <v>158</v>
      </c>
      <c r="AM5" s="55" t="s">
        <v>165</v>
      </c>
    </row>
    <row r="6" spans="1:39" ht="13.95" customHeight="1" x14ac:dyDescent="0.3">
      <c r="A6">
        <v>1</v>
      </c>
      <c r="B6" s="3" t="str">
        <f ca="1">INDIRECT("'Facility "&amp;$A6&amp;"'!"&amp;"B2")</f>
        <v>Kalihi Palama Bus Facility</v>
      </c>
      <c r="C6" s="3" t="str">
        <f ca="1">INDIRECT("'Facility "&amp;$A6&amp;"'!"&amp;"B3")</f>
        <v>Bus Maintenance Facility</v>
      </c>
      <c r="D6" s="3" t="str">
        <f ca="1">INDIRECT("'Facility "&amp;$A6&amp;"'!"&amp;"B4")</f>
        <v>611 and 811 Middle Street 
Honolulu, Hawaii 96819</v>
      </c>
      <c r="E6" s="3" t="str">
        <f ca="1">INDIRECT("'Facility "&amp;$A6&amp;"'!"&amp;"B5")</f>
        <v>(1) 1-2-015:006, (1) 1-2-016-006:007, (1) 1-2-018-003, 009, 011</v>
      </c>
      <c r="F6" s="2" t="str">
        <f ca="1">VLOOKUP(F$3,INDIRECT("'Facility "&amp;$A6&amp;"'!"&amp;"$A$4:$D$40"),3,0)</f>
        <v>High</v>
      </c>
      <c r="G6" s="2">
        <f t="shared" ref="G6:AL7" ca="1" si="0">VLOOKUP(G$3,INDIRECT("'Facility "&amp;$A6&amp;"'!"&amp;"$A$4:$D$40"),3,0)</f>
        <v>24.667125803489441</v>
      </c>
      <c r="H6" s="2">
        <f t="shared" ca="1" si="0"/>
        <v>206538</v>
      </c>
      <c r="I6" s="2">
        <f t="shared" ca="1" si="0"/>
        <v>867962</v>
      </c>
      <c r="J6" s="2">
        <f t="shared" ca="1" si="0"/>
        <v>1</v>
      </c>
      <c r="K6" s="2">
        <f t="shared" ca="1" si="0"/>
        <v>2.4</v>
      </c>
      <c r="L6" s="2">
        <f t="shared" ca="1" si="0"/>
        <v>0.9</v>
      </c>
      <c r="M6" s="2">
        <f t="shared" ca="1" si="0"/>
        <v>403</v>
      </c>
      <c r="N6" s="2" t="str">
        <f t="shared" ca="1" si="0"/>
        <v>Paved</v>
      </c>
      <c r="O6" s="2">
        <f t="shared" ca="1" si="0"/>
        <v>1.488833746898263E-2</v>
      </c>
      <c r="P6" s="2">
        <f t="shared" ca="1" si="0"/>
        <v>7.5</v>
      </c>
      <c r="Q6" s="2">
        <f t="shared" ca="1" si="0"/>
        <v>2.5</v>
      </c>
      <c r="R6" s="2">
        <f t="shared" ca="1" si="0"/>
        <v>133.20247933884298</v>
      </c>
      <c r="S6" s="2">
        <f t="shared" ca="1" si="0"/>
        <v>85064.583333333328</v>
      </c>
      <c r="T6" s="2">
        <f t="shared" ca="1" si="0"/>
        <v>1</v>
      </c>
      <c r="U6" s="2">
        <f t="shared" ca="1" si="0"/>
        <v>0.95</v>
      </c>
      <c r="V6" s="2">
        <f t="shared" ca="1" si="0"/>
        <v>1</v>
      </c>
      <c r="W6" s="2">
        <f t="shared" ca="1" si="0"/>
        <v>24.667125803489441</v>
      </c>
      <c r="X6" s="2">
        <f t="shared" ca="1" si="0"/>
        <v>13.320247933884298</v>
      </c>
      <c r="Y6" s="2">
        <f t="shared" ca="1" si="0"/>
        <v>0.9</v>
      </c>
      <c r="Z6" s="2">
        <f t="shared" ca="1" si="0"/>
        <v>0.4</v>
      </c>
      <c r="AA6" s="2">
        <f t="shared" ca="1" si="0"/>
        <v>24.667125803489441</v>
      </c>
      <c r="AB6" s="2">
        <f t="shared" ca="1" si="0"/>
        <v>0</v>
      </c>
      <c r="AC6" s="2" t="str">
        <f t="shared" ca="1" si="0"/>
        <v>Quarry</v>
      </c>
      <c r="AD6" s="2" t="str">
        <f t="shared" ca="1" si="0"/>
        <v>Partial</v>
      </c>
      <c r="AE6" s="2">
        <f t="shared" ca="1" si="0"/>
        <v>3</v>
      </c>
      <c r="AF6" s="2" t="str">
        <f t="shared" ca="1" si="0"/>
        <v>Catch Basin to Piped Outlet</v>
      </c>
      <c r="AG6" s="2" t="str">
        <f t="shared" ca="1" si="0"/>
        <v>OWS</v>
      </c>
      <c r="AH6" s="2">
        <f t="shared" ca="1" si="0"/>
        <v>0</v>
      </c>
      <c r="AI6" s="2">
        <f t="shared" ca="1" si="0"/>
        <v>0</v>
      </c>
      <c r="AJ6" s="2">
        <f t="shared" ca="1" si="0"/>
        <v>3</v>
      </c>
      <c r="AK6" s="2">
        <f t="shared" ca="1" si="0"/>
        <v>0</v>
      </c>
      <c r="AL6" s="2">
        <f t="shared" ca="1" si="0"/>
        <v>0</v>
      </c>
      <c r="AM6" s="2">
        <f t="shared" ref="AM6:AM7" ca="1" si="1">VLOOKUP(AM$3,INDIRECT("'Facility "&amp;$A6&amp;"'!"&amp;"$A$4:$D$41"),3,0)</f>
        <v>0</v>
      </c>
    </row>
    <row r="7" spans="1:39" x14ac:dyDescent="0.3">
      <c r="A7">
        <v>2</v>
      </c>
      <c r="B7" s="3" t="str">
        <f ca="1">INDIRECT("'Facility "&amp;$A7&amp;"'!"&amp;"B2")</f>
        <v>Pearl City Bus Facility</v>
      </c>
      <c r="C7" s="3" t="str">
        <f ca="1">INDIRECT("'Facility "&amp;$A7&amp;"'!"&amp;"B3")</f>
        <v>Bus Maintenance Facility</v>
      </c>
      <c r="D7" s="3" t="str">
        <f ca="1">INDIRECT("'Facility "&amp;$A7&amp;"'!"&amp;"B4")</f>
        <v>1200 Waimano Home Road 
Pearl City, Hawaii 96782</v>
      </c>
      <c r="E7" s="3" t="str">
        <f ca="1">INDIRECT("'Facility "&amp;$A7&amp;"'!"&amp;"B5")</f>
        <v>(1) 9-7-024:047</v>
      </c>
      <c r="F7" s="2" t="str">
        <f ca="1">VLOOKUP(F$3,INDIRECT("'Facility "&amp;$A7&amp;"'!"&amp;"$A$4:$D$40"),3,0)</f>
        <v>High</v>
      </c>
      <c r="G7" s="2">
        <f t="shared" ca="1" si="0"/>
        <v>24.042998163452708</v>
      </c>
      <c r="H7" s="2">
        <f t="shared" ca="1" si="0"/>
        <v>122654</v>
      </c>
      <c r="I7" s="2">
        <f t="shared" ca="1" si="0"/>
        <v>854990</v>
      </c>
      <c r="J7" s="2">
        <f t="shared" ca="1" si="0"/>
        <v>0.93347833933122193</v>
      </c>
      <c r="K7" s="2">
        <f t="shared" ca="1" si="0"/>
        <v>2.4</v>
      </c>
      <c r="L7" s="2">
        <f t="shared" ca="1" si="0"/>
        <v>0.9</v>
      </c>
      <c r="M7" s="2">
        <f t="shared" ca="1" si="0"/>
        <v>687</v>
      </c>
      <c r="N7" s="2" t="str">
        <f t="shared" ca="1" si="0"/>
        <v>Paved</v>
      </c>
      <c r="O7" s="2">
        <f t="shared" ca="1" si="0"/>
        <v>2.2388059701492536E-2</v>
      </c>
      <c r="P7" s="2">
        <f t="shared" ca="1" si="0"/>
        <v>7.5</v>
      </c>
      <c r="Q7" s="2">
        <f t="shared" ca="1" si="0"/>
        <v>1.7</v>
      </c>
      <c r="R7" s="2">
        <f t="shared" ca="1" si="0"/>
        <v>88.285889256198345</v>
      </c>
      <c r="S7" s="2">
        <f t="shared" ca="1" si="0"/>
        <v>77687.104166666657</v>
      </c>
      <c r="T7" s="2">
        <f t="shared" ca="1" si="0"/>
        <v>1</v>
      </c>
      <c r="U7" s="2">
        <f t="shared" ca="1" si="0"/>
        <v>0.89013050539809968</v>
      </c>
      <c r="V7" s="2">
        <f t="shared" ca="1" si="0"/>
        <v>0.93347833933122193</v>
      </c>
      <c r="W7" s="2">
        <f t="shared" ca="1" si="0"/>
        <v>24.042998163452708</v>
      </c>
      <c r="X7" s="2">
        <f t="shared" ca="1" si="0"/>
        <v>12.983219008264463</v>
      </c>
      <c r="Y7" s="2">
        <f t="shared" ca="1" si="0"/>
        <v>0.9</v>
      </c>
      <c r="Z7" s="2">
        <f t="shared" ca="1" si="0"/>
        <v>0.4</v>
      </c>
      <c r="AA7" s="2">
        <f t="shared" ca="1" si="0"/>
        <v>24.042998163452708</v>
      </c>
      <c r="AB7" s="2">
        <f t="shared" ca="1" si="0"/>
        <v>0</v>
      </c>
      <c r="AC7" s="2" t="str">
        <f t="shared" ca="1" si="0"/>
        <v>Silty Clay Loam</v>
      </c>
      <c r="AD7" s="2" t="str">
        <f t="shared" ca="1" si="0"/>
        <v>Undetermined</v>
      </c>
      <c r="AE7" s="2">
        <f t="shared" ca="1" si="0"/>
        <v>2</v>
      </c>
      <c r="AF7" s="2" t="str">
        <f t="shared" ca="1" si="0"/>
        <v>Catch Basin to Piped Outlet</v>
      </c>
      <c r="AG7" s="2" t="str">
        <f t="shared" ca="1" si="0"/>
        <v>OWS</v>
      </c>
      <c r="AH7" s="2">
        <f t="shared" ca="1" si="0"/>
        <v>0</v>
      </c>
      <c r="AI7" s="2">
        <f t="shared" ca="1" si="0"/>
        <v>0</v>
      </c>
      <c r="AJ7" s="2">
        <f t="shared" ca="1" si="0"/>
        <v>2</v>
      </c>
      <c r="AK7" s="2">
        <f t="shared" ca="1" si="0"/>
        <v>0</v>
      </c>
      <c r="AL7" s="2">
        <f t="shared" ca="1" si="0"/>
        <v>0</v>
      </c>
      <c r="AM7" s="2">
        <f t="shared" ca="1" si="1"/>
        <v>0</v>
      </c>
    </row>
    <row r="15" spans="1:39" x14ac:dyDescent="0.3">
      <c r="A15" s="1"/>
    </row>
    <row r="47" spans="1:1" x14ac:dyDescent="0.3">
      <c r="A47">
        <v>42</v>
      </c>
    </row>
    <row r="61" spans="1:2" x14ac:dyDescent="0.3">
      <c r="A61" t="s">
        <v>14</v>
      </c>
      <c r="B61" s="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54"/>
  <sheetViews>
    <sheetView zoomScale="85" zoomScaleNormal="85" workbookViewId="0">
      <selection activeCell="D43" sqref="D43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59.88671875" customWidth="1"/>
  </cols>
  <sheetData>
    <row r="1" spans="1:5" x14ac:dyDescent="0.3">
      <c r="A1" s="22" t="s">
        <v>0</v>
      </c>
      <c r="B1" s="18">
        <v>1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62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127</v>
      </c>
    </row>
    <row r="5" spans="1:5" x14ac:dyDescent="0.3">
      <c r="A5" s="22" t="s">
        <v>23</v>
      </c>
      <c r="B5" s="6" t="s">
        <v>64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69</v>
      </c>
      <c r="E8" s="48" t="s">
        <v>122</v>
      </c>
    </row>
    <row r="9" spans="1:5" x14ac:dyDescent="0.3">
      <c r="A9" s="23">
        <v>2</v>
      </c>
      <c r="B9" s="8" t="s">
        <v>3</v>
      </c>
      <c r="C9" s="12">
        <f>(715600+141300+217600)/43560</f>
        <v>24.667125803489441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25602+63585+35806+66468+6897+8180</f>
        <v>206538</v>
      </c>
      <c r="D10" s="19" t="s">
        <v>31</v>
      </c>
      <c r="E10" s="49"/>
    </row>
    <row r="11" spans="1:5" x14ac:dyDescent="0.3">
      <c r="A11" s="23">
        <v>4</v>
      </c>
      <c r="B11" s="8" t="s">
        <v>25</v>
      </c>
      <c r="C11" s="12">
        <f>(715600+112200+217600+29100)-C10</f>
        <v>867962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1</v>
      </c>
      <c r="D12" s="19" t="s">
        <v>32</v>
      </c>
      <c r="E12" s="49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9"/>
    </row>
    <row r="15" spans="1:5" x14ac:dyDescent="0.3">
      <c r="A15" s="23" t="s">
        <v>77</v>
      </c>
      <c r="B15" s="38" t="s">
        <v>28</v>
      </c>
      <c r="C15" s="12">
        <v>403</v>
      </c>
      <c r="D15" s="19" t="s">
        <v>31</v>
      </c>
      <c r="E15" s="49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9"/>
    </row>
    <row r="17" spans="1:5" x14ac:dyDescent="0.3">
      <c r="A17" s="23" t="s">
        <v>79</v>
      </c>
      <c r="B17" s="38" t="s">
        <v>34</v>
      </c>
      <c r="C17" s="36">
        <f>6/403</f>
        <v>1.488833746898263E-2</v>
      </c>
      <c r="D17" s="27" t="s">
        <v>70</v>
      </c>
      <c r="E17" s="49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9"/>
    </row>
    <row r="19" spans="1:5" x14ac:dyDescent="0.3">
      <c r="A19" s="23" t="s">
        <v>80</v>
      </c>
      <c r="B19" s="38" t="s">
        <v>44</v>
      </c>
      <c r="C19" s="12">
        <v>2.5</v>
      </c>
      <c r="D19" s="27" t="s">
        <v>43</v>
      </c>
      <c r="E19" s="49"/>
    </row>
    <row r="20" spans="1:5" ht="15.6" x14ac:dyDescent="0.3">
      <c r="A20" s="23">
        <v>9</v>
      </c>
      <c r="B20" s="8" t="s">
        <v>41</v>
      </c>
      <c r="C20" s="37">
        <f>C14*(C13*C19)*C9</f>
        <v>133.20247933884298</v>
      </c>
      <c r="D20" s="19" t="s">
        <v>45</v>
      </c>
      <c r="E20" s="49"/>
    </row>
    <row r="21" spans="1:5" x14ac:dyDescent="0.3">
      <c r="A21" s="23">
        <v>10</v>
      </c>
      <c r="B21" s="28" t="s">
        <v>29</v>
      </c>
      <c r="C21" s="35">
        <f>C22*C23*C25*3630</f>
        <v>85064.583333333328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0.95</v>
      </c>
      <c r="D23" s="31" t="s">
        <v>53</v>
      </c>
      <c r="E23" s="49"/>
    </row>
    <row r="24" spans="1:5" x14ac:dyDescent="0.3">
      <c r="A24" s="23" t="s">
        <v>83</v>
      </c>
      <c r="B24" s="38" t="s">
        <v>52</v>
      </c>
      <c r="C24" s="32">
        <f>C12</f>
        <v>1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24.667125803489441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13.320247933884298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24.667125803489441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61</v>
      </c>
      <c r="D31" s="18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71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3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  <c r="E35" s="48"/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3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163</v>
      </c>
      <c r="B41" s="46" t="s">
        <v>166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167</v>
      </c>
      <c r="C43" s="12" t="s">
        <v>173</v>
      </c>
      <c r="D43" s="19"/>
      <c r="E43" s="56"/>
    </row>
    <row r="44" spans="1:5" x14ac:dyDescent="0.3">
      <c r="A44" s="57">
        <v>18</v>
      </c>
      <c r="B44" s="58" t="s">
        <v>168</v>
      </c>
      <c r="C44" s="12" t="s">
        <v>173</v>
      </c>
      <c r="D44" s="19"/>
      <c r="E44" s="56"/>
    </row>
    <row r="45" spans="1:5" x14ac:dyDescent="0.3">
      <c r="A45" s="57">
        <v>19</v>
      </c>
      <c r="B45" s="58" t="s">
        <v>169</v>
      </c>
      <c r="C45" s="12"/>
      <c r="D45" s="19"/>
      <c r="E45" s="56"/>
    </row>
    <row r="46" spans="1:5" x14ac:dyDescent="0.3">
      <c r="A46" s="57">
        <v>20</v>
      </c>
      <c r="B46" s="58" t="s">
        <v>170</v>
      </c>
      <c r="C46" s="12"/>
      <c r="D46" s="19"/>
      <c r="E46" s="56"/>
    </row>
    <row r="47" spans="1:5" x14ac:dyDescent="0.3">
      <c r="A47" s="57">
        <v>21</v>
      </c>
      <c r="B47" s="58" t="s">
        <v>171</v>
      </c>
      <c r="C47" s="12"/>
      <c r="D47" s="19"/>
      <c r="E47" s="56"/>
    </row>
    <row r="48" spans="1:5" ht="28.8" x14ac:dyDescent="0.3">
      <c r="A48" s="57">
        <v>22</v>
      </c>
      <c r="B48" s="58" t="s">
        <v>172</v>
      </c>
      <c r="C48" s="12"/>
      <c r="D48" s="19"/>
      <c r="E48" s="56"/>
    </row>
    <row r="49" spans="1:5" ht="72" x14ac:dyDescent="0.3">
      <c r="A49" s="24" t="s">
        <v>92</v>
      </c>
      <c r="B49" s="50" t="s">
        <v>26</v>
      </c>
      <c r="C49" s="51" t="s">
        <v>27</v>
      </c>
      <c r="D49" s="52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>
        <v>3</v>
      </c>
      <c r="C52" s="12" t="s">
        <v>46</v>
      </c>
      <c r="D52" s="19" t="s">
        <v>31</v>
      </c>
      <c r="E52" s="2" t="s">
        <v>67</v>
      </c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E54"/>
  <sheetViews>
    <sheetView zoomScale="85" zoomScaleNormal="85" workbookViewId="0">
      <selection activeCell="C43" sqref="C43:C44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25.6640625" customWidth="1"/>
  </cols>
  <sheetData>
    <row r="1" spans="1:5" x14ac:dyDescent="0.3">
      <c r="A1" s="22" t="s">
        <v>0</v>
      </c>
      <c r="B1" s="18">
        <v>2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72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128</v>
      </c>
    </row>
    <row r="5" spans="1:5" x14ac:dyDescent="0.3">
      <c r="A5" s="22" t="s">
        <v>23</v>
      </c>
      <c r="B5" s="6" t="s">
        <v>73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74</v>
      </c>
      <c r="E8" s="48" t="s">
        <v>123</v>
      </c>
    </row>
    <row r="9" spans="1:5" x14ac:dyDescent="0.3">
      <c r="A9" s="23">
        <v>2</v>
      </c>
      <c r="B9" s="8" t="s">
        <v>3</v>
      </c>
      <c r="C9" s="12">
        <f>(37851+348996+523173+25523+27964+8438+75368)/43560</f>
        <v>24.042998163452708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97033+6561+7655+11405</f>
        <v>122654</v>
      </c>
      <c r="D10" s="19" t="s">
        <v>31</v>
      </c>
      <c r="E10" s="48"/>
    </row>
    <row r="11" spans="1:5" x14ac:dyDescent="0.3">
      <c r="A11" s="23">
        <v>4</v>
      </c>
      <c r="B11" s="8" t="s">
        <v>25</v>
      </c>
      <c r="C11" s="12">
        <f>(37851+348996+523173+25523+27964+8438+75368)-C10-45122-9414-15133</f>
        <v>854990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0.93347833933122193</v>
      </c>
      <c r="D12" s="19" t="s">
        <v>32</v>
      </c>
      <c r="E12" s="48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8"/>
    </row>
    <row r="15" spans="1:5" x14ac:dyDescent="0.3">
      <c r="A15" s="23" t="s">
        <v>77</v>
      </c>
      <c r="B15" s="38" t="s">
        <v>28</v>
      </c>
      <c r="C15" s="12">
        <v>687</v>
      </c>
      <c r="D15" s="19" t="s">
        <v>31</v>
      </c>
      <c r="E15" s="48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8"/>
    </row>
    <row r="17" spans="1:5" x14ac:dyDescent="0.3">
      <c r="A17" s="23" t="s">
        <v>79</v>
      </c>
      <c r="B17" s="38" t="s">
        <v>34</v>
      </c>
      <c r="C17" s="36">
        <f>9/402</f>
        <v>2.2388059701492536E-2</v>
      </c>
      <c r="D17" s="27" t="s">
        <v>70</v>
      </c>
      <c r="E17" s="48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8"/>
    </row>
    <row r="19" spans="1:5" x14ac:dyDescent="0.3">
      <c r="A19" s="23" t="s">
        <v>80</v>
      </c>
      <c r="B19" s="38" t="s">
        <v>44</v>
      </c>
      <c r="C19" s="12">
        <v>1.7</v>
      </c>
      <c r="D19" s="27" t="s">
        <v>43</v>
      </c>
      <c r="E19" s="48"/>
    </row>
    <row r="20" spans="1:5" ht="15.6" x14ac:dyDescent="0.3">
      <c r="A20" s="23">
        <v>9</v>
      </c>
      <c r="B20" s="8" t="s">
        <v>41</v>
      </c>
      <c r="C20" s="37">
        <f>C14*(C13*C19)*C9</f>
        <v>88.285889256198345</v>
      </c>
      <c r="D20" s="19" t="s">
        <v>45</v>
      </c>
      <c r="E20" s="48"/>
    </row>
    <row r="21" spans="1:5" x14ac:dyDescent="0.3">
      <c r="A21" s="23">
        <v>10</v>
      </c>
      <c r="B21" s="28" t="s">
        <v>29</v>
      </c>
      <c r="C21" s="35">
        <f>C22*C23*C25*3630</f>
        <v>77687.104166666657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0.89013050539809968</v>
      </c>
      <c r="D23" s="31" t="s">
        <v>53</v>
      </c>
      <c r="E23" s="48"/>
    </row>
    <row r="24" spans="1:5" x14ac:dyDescent="0.3">
      <c r="A24" s="23" t="s">
        <v>83</v>
      </c>
      <c r="B24" s="38" t="s">
        <v>52</v>
      </c>
      <c r="C24" s="32">
        <f>C12</f>
        <v>0.93347833933122193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24.042998163452708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12.983219008264463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24.042998163452708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76</v>
      </c>
      <c r="D31" s="19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75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2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2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163</v>
      </c>
      <c r="B41" s="46" t="s">
        <v>166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167</v>
      </c>
      <c r="C43" s="12" t="s">
        <v>173</v>
      </c>
      <c r="D43" s="19"/>
      <c r="E43" s="56"/>
    </row>
    <row r="44" spans="1:5" x14ac:dyDescent="0.3">
      <c r="A44" s="57">
        <v>18</v>
      </c>
      <c r="B44" s="58" t="s">
        <v>168</v>
      </c>
      <c r="C44" s="12" t="s">
        <v>173</v>
      </c>
      <c r="D44" s="19"/>
      <c r="E44" s="56"/>
    </row>
    <row r="45" spans="1:5" x14ac:dyDescent="0.3">
      <c r="A45" s="57">
        <v>19</v>
      </c>
      <c r="B45" s="58" t="s">
        <v>169</v>
      </c>
      <c r="C45" s="12"/>
      <c r="D45" s="19"/>
      <c r="E45" s="56"/>
    </row>
    <row r="46" spans="1:5" x14ac:dyDescent="0.3">
      <c r="A46" s="57">
        <v>20</v>
      </c>
      <c r="B46" s="58" t="s">
        <v>170</v>
      </c>
      <c r="C46" s="12"/>
      <c r="D46" s="19"/>
      <c r="E46" s="56"/>
    </row>
    <row r="47" spans="1:5" x14ac:dyDescent="0.3">
      <c r="A47" s="57">
        <v>21</v>
      </c>
      <c r="B47" s="58" t="s">
        <v>171</v>
      </c>
      <c r="C47" s="12"/>
      <c r="D47" s="19"/>
      <c r="E47" s="56"/>
    </row>
    <row r="48" spans="1:5" ht="28.8" x14ac:dyDescent="0.3">
      <c r="A48" s="57">
        <v>22</v>
      </c>
      <c r="B48" s="58" t="s">
        <v>172</v>
      </c>
      <c r="C48" s="12"/>
      <c r="D48" s="19"/>
      <c r="E48" s="56"/>
    </row>
    <row r="49" spans="1:5" ht="72" x14ac:dyDescent="0.3">
      <c r="A49" s="24" t="s">
        <v>92</v>
      </c>
      <c r="B49" s="25" t="s">
        <v>26</v>
      </c>
      <c r="C49" s="15" t="s">
        <v>27</v>
      </c>
      <c r="D49" s="26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/>
      <c r="C52" s="12"/>
      <c r="D52" s="19"/>
      <c r="E52" s="2"/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Types</vt:lpstr>
      <vt:lpstr>Summary Table </vt:lpstr>
      <vt:lpstr>Facility 1</vt:lpstr>
      <vt:lpstr>Facility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2017-07-31T21:28:10Z</cp:lastPrinted>
  <dcterms:created xsi:type="dcterms:W3CDTF">2017-04-19T17:44:04Z</dcterms:created>
  <dcterms:modified xsi:type="dcterms:W3CDTF">2018-01-02T10:19:47Z</dcterms:modified>
</cp:coreProperties>
</file>