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11.png" ContentType="image/png"/>
  <Override PartName="/xl/media/image8.png" ContentType="image/png"/>
  <Override PartName="/xl/media/image12.png" ContentType="image/png"/>
  <Override PartName="/xl/media/image9.png" ContentType="image/png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Goal &amp; scope" sheetId="2" state="visible" r:id="rId4"/>
    <sheet name="Flow diagrams" sheetId="3" state="visible" r:id="rId5"/>
    <sheet name="Metadata" sheetId="4" state="visible" r:id="rId6"/>
    <sheet name="Inventory" sheetId="5" state="visible" r:id="rId7"/>
    <sheet name="Nutrient balance" sheetId="6" state="visible" r:id="rId8"/>
    <sheet name="LCI per tonne" sheetId="7" state="visible" r:id="rId9"/>
    <sheet name="LCIA (Annex 1)" sheetId="8" state="visible" r:id="rId10"/>
    <sheet name="Contribution analysis" sheetId="9" state="visible" r:id="rId11"/>
    <sheet name="Comparison" sheetId="10" state="visible" r:id="rId12"/>
    <sheet name="KPI framework" sheetId="11" state="visible" r:id="rId13"/>
    <sheet name="Dashboard" sheetId="12" state="visible" r:id="rId14"/>
    <sheet name="Charts" sheetId="13" state="visible" r:id="rId15"/>
    <sheet name="Figures" sheetId="14" state="visible" r:id="rId16"/>
    <sheet name="Data checks" sheetId="15" state="visible" r:id="rId17"/>
    <sheet name="Source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<sst xmlns="http://schemas.openxmlformats.org/spreadsheetml/2006/main" count="1337" uniqueCount="549">
  <si>
    <t xml:space="preserve">Pond IMTA vs fish polyculture: LCA results and circular KPI decision tool</t>
  </si>
  <si>
    <t xml:space="preserve">Source: INTEGRATE deliverable PI05#3 (IPMA &amp; CTAQUA, 2020) · KPI layer by K. M. Chougule</t>
  </si>
  <si>
    <t xml:space="preserve">1   What this workbook does</t>
  </si>
  <si>
    <t xml:space="preserve">It takes the inventory and the life cycle impact results of the INTEGRATE pond study and turns them into a KPI decision tool: 13 KPIs (7 environmental, 6 circularity) with targets and a pass / fail score for three farm designs. Every result is a live formula: change a yellow input and the KPIs, charts and tables update.</t>
  </si>
  <si>
    <t xml:space="preserve">Functional unit: 1 tonne of aquatic product (fish + oyster flesh) at the farm gate, one production cycle. Macroalgae are a co-product outside the functional unit.</t>
  </si>
  <si>
    <t xml:space="preserve">2   Systems compared</t>
  </si>
  <si>
    <t xml:space="preserve">Code</t>
  </si>
  <si>
    <t xml:space="preserve">System</t>
  </si>
  <si>
    <t xml:space="preserve">Site</t>
  </si>
  <si>
    <t xml:space="preserve">Species and role</t>
  </si>
  <si>
    <t xml:space="preserve">SI-IMTA</t>
  </si>
  <si>
    <t xml:space="preserve">Semi-intensive pond IMTA</t>
  </si>
  <si>
    <t xml:space="preserve">IPMA research station, Olhao, Portugal</t>
  </si>
  <si>
    <t xml:space="preserve">Meagre, white seabream, mullet + oysters + macroalgae (Ulva)</t>
  </si>
  <si>
    <t xml:space="preserve">SE-IMTA</t>
  </si>
  <si>
    <t xml:space="preserve">Semi-extensive pond IMTA</t>
  </si>
  <si>
    <t xml:space="preserve">Estero Natural, Cadiz, Spain</t>
  </si>
  <si>
    <t xml:space="preserve">Gilthead seabream + oysters; macroalgae pond fed by the fishpond outflow; tidal water exchange</t>
  </si>
  <si>
    <t xml:space="preserve">SI-POLY</t>
  </si>
  <si>
    <t xml:space="preserve">Semi-intensive fish polyculture</t>
  </si>
  <si>
    <t xml:space="preserve">Meagre + gilthead seabream, fish only. Conventional baseline</t>
  </si>
  <si>
    <t xml:space="preserve">3   Key results (live, per tonne of fish + oyster)</t>
  </si>
  <si>
    <t xml:space="preserve">Indicator</t>
  </si>
  <si>
    <t xml:space="preserve">KPI targets met (of 13)</t>
  </si>
  <si>
    <t xml:space="preserve">Global warming, kg CO2-eq/t</t>
  </si>
  <si>
    <t xml:space="preserve">Eutrophication, kg PO4-eq/t</t>
  </si>
  <si>
    <t xml:space="preserve">Land competition, m2a/t</t>
  </si>
  <si>
    <t xml:space="preserve">Water dependence, m3/t</t>
  </si>
  <si>
    <t xml:space="preserve">Nitrogen use efficiency</t>
  </si>
  <si>
    <t xml:space="preserve">Net N released, kg N/t (minus = uptake)</t>
  </si>
  <si>
    <t xml:space="preserve">Semi-extensive IMTA scores best on 6 of 7 impacts; both IMTA systems need more land than the fish-only pond.</t>
  </si>
  <si>
    <t xml:space="preserve">4   Tabs (click a name to open it)</t>
  </si>
  <si>
    <t xml:space="preserve">Tab</t>
  </si>
  <si>
    <t xml:space="preserve">What you find there</t>
  </si>
  <si>
    <t xml:space="preserve">Type</t>
  </si>
  <si>
    <t xml:space="preserve">Goal &amp; scope</t>
  </si>
  <si>
    <t xml:space="preserve">Functional unit, boundary, software, impact categories, allocation</t>
  </si>
  <si>
    <t xml:space="preserve">Reference</t>
  </si>
  <si>
    <t xml:space="preserve">Flow diagrams</t>
  </si>
  <si>
    <t xml:space="preserve">How the fish waste is used in each system, with the flows</t>
  </si>
  <si>
    <t xml:space="preserve">Pictures + data</t>
  </si>
  <si>
    <t xml:space="preserve">Metadata</t>
  </si>
  <si>
    <t xml:space="preserve">Dataset description in the LCIS2024 structure</t>
  </si>
  <si>
    <t xml:space="preserve">Inventory</t>
  </si>
  <si>
    <t xml:space="preserve">Table 4 of the report per pond and cycle (yellow), scaled to 1 t of product</t>
  </si>
  <si>
    <t xml:space="preserve">Input + calculation</t>
  </si>
  <si>
    <t xml:space="preserve">Nutrient balance</t>
  </si>
  <si>
    <t xml:space="preserve">N and P from feed to fish + oysters, macroalgae and water (Table 5)</t>
  </si>
  <si>
    <t xml:space="preserve">LCI per tonne</t>
  </si>
  <si>
    <t xml:space="preserve">Foreground inventory for one functional unit, grouped into inputs and outputs</t>
  </si>
  <si>
    <t xml:space="preserve">Calculation</t>
  </si>
  <si>
    <t xml:space="preserve">LCIA (Annex 1)</t>
  </si>
  <si>
    <t xml:space="preserve">Impacts per tonne for 11 processes and 7 categories, with shares</t>
  </si>
  <si>
    <t xml:space="preserve">Contribution analysis</t>
  </si>
  <si>
    <t xml:space="preserve">Share of each process in each impact (heatmap) and contribution charts</t>
  </si>
  <si>
    <t xml:space="preserve">Calculation + charts</t>
  </si>
  <si>
    <t xml:space="preserve">Comparison</t>
  </si>
  <si>
    <t xml:space="preserve">Totals side by side and change against the fish-only pond</t>
  </si>
  <si>
    <t xml:space="preserve">Calculation + chart</t>
  </si>
  <si>
    <t xml:space="preserve">KPI framework</t>
  </si>
  <si>
    <t xml:space="preserve">13 KPIs with targets and pass / fail; the improvement target is in F5</t>
  </si>
  <si>
    <t xml:space="preserve">Dashboard</t>
  </si>
  <si>
    <t xml:space="preserve">Score per system and two summary charts</t>
  </si>
  <si>
    <t xml:space="preserve">Results + charts</t>
  </si>
  <si>
    <t xml:space="preserve">Charts</t>
  </si>
  <si>
    <t xml:space="preserve">Radar profile, change vs baseline, N and P fate, targets met, margin to target</t>
  </si>
  <si>
    <t xml:space="preserve">Charts (live)</t>
  </si>
  <si>
    <t xml:space="preserve">Figures</t>
  </si>
  <si>
    <t xml:space="preserve">Report figures from make_charts.py, each with its data table</t>
  </si>
  <si>
    <t xml:space="preserve">Data checks</t>
  </si>
  <si>
    <t xml:space="preserve">Cross-checks between the report tables; two findings flagged on purpose</t>
  </si>
  <si>
    <t xml:space="preserve">Quality check</t>
  </si>
  <si>
    <t xml:space="preserve">Sources</t>
  </si>
  <si>
    <t xml:space="preserve">Report, method references and publications</t>
  </si>
  <si>
    <t xml:space="preserve">5   Colour code</t>
  </si>
  <si>
    <t xml:space="preserve">Input from the report. You can change it.</t>
  </si>
  <si>
    <t xml:space="preserve">Formula. Do not type over it.</t>
  </si>
  <si>
    <t xml:space="preserve">✓</t>
  </si>
  <si>
    <t xml:space="preserve">KPI target met</t>
  </si>
  <si>
    <t xml:space="preserve">✗</t>
  </si>
  <si>
    <t xml:space="preserve">KPI target not met</t>
  </si>
  <si>
    <t xml:space="preserve">6   Things to try</t>
  </si>
  <si>
    <t xml:space="preserve">Step</t>
  </si>
  <si>
    <t xml:space="preserve">Where</t>
  </si>
  <si>
    <t xml:space="preserve">Change the improvement target from 10 % to 0 %</t>
  </si>
  <si>
    <t xml:space="preserve">KPI framework F5</t>
  </si>
  <si>
    <t xml:space="preserve">More environmental KPIs pass for the semi-intensive IMTA</t>
  </si>
  <si>
    <t xml:space="preserve">Lower the semi-intensive IMTA feed</t>
  </si>
  <si>
    <t xml:space="preserve">Inventory C6</t>
  </si>
  <si>
    <t xml:space="preserve">Feed N, N released, FCR and N use efficiency update</t>
  </si>
  <si>
    <t xml:space="preserve">Set the semi-intensive IMTA oyster gain to 0</t>
  </si>
  <si>
    <t xml:space="preserve">Inventory C19</t>
  </si>
  <si>
    <t xml:space="preserve">The functional unit shrinks and per-tonne values rise</t>
  </si>
  <si>
    <t xml:space="preserve">7   About</t>
  </si>
  <si>
    <t xml:space="preserve">Data source</t>
  </si>
  <si>
    <t xml:space="preserve">INTEGRATE deliverable PI05#3 (IPMA &amp; CTAQUA, 2020): Table 4 inventory, Table 5 nutrients, Annex 1 impacts</t>
  </si>
  <si>
    <t xml:space="preserve">Added here</t>
  </si>
  <si>
    <t xml:space="preserve">Scaling to the functional unit, recalculated N and P balance, 13 KPIs with targets, data checks, charts</t>
  </si>
  <si>
    <t xml:space="preserve">Targets</t>
  </si>
  <si>
    <t xml:space="preserve">Placeholders for a stakeholder workshop; change them in the KPI framework tab</t>
  </si>
  <si>
    <t xml:space="preserve">Licence</t>
  </si>
  <si>
    <t xml:space="preserve">Report data: INTEGRATE partners. KPI layer: CC BY 4.0. Code: MIT</t>
  </si>
  <si>
    <t xml:space="preserve">Repository</t>
  </si>
  <si>
    <t xml:space="preserve">github.com/malleshkomal/Life-cycle-assessment-of-Integrated-Multi-Trophical-Aquaculture-</t>
  </si>
  <si>
    <t xml:space="preserve">Works offline</t>
  </si>
  <si>
    <t xml:space="preserve">No macros, no external links</t>
  </si>
  <si>
    <t xml:space="preserve">Life cycle assessment of pond IMTA and fish polyculture - goal and scope (ISO 14040/44)</t>
  </si>
  <si>
    <t xml:space="preserve">Source: INTEGRATE deliverable PI05#3 (IPMA &amp; CTAQUA, 2020)</t>
  </si>
  <si>
    <t xml:space="preserve">Item</t>
  </si>
  <si>
    <t xml:space="preserve">Choice in the study</t>
  </si>
  <si>
    <t xml:space="preserve">Note</t>
  </si>
  <si>
    <t xml:space="preserve">Goal</t>
  </si>
  <si>
    <t xml:space="preserve">Compare the potential environmental impacts of semi-intensive and semi-extensive pond IMTA with a conventional semi-intensive fishpond polyculture.</t>
  </si>
  <si>
    <t xml:space="preserve">INTEGRATE project (Interreg Atlantic Area, EAPA_232/2016), WP5 Action 2</t>
  </si>
  <si>
    <t xml:space="preserve">Functional unit</t>
  </si>
  <si>
    <t xml:space="preserve">1 tonne of aquatic product (fish + oyster flesh weight gain) at the farm gate, one production cycle</t>
  </si>
  <si>
    <t xml:space="preserve">Macroalgae are an associated downstream product and are not part of the functional unit</t>
  </si>
  <si>
    <t xml:space="preserve">System boundary</t>
  </si>
  <si>
    <t xml:space="preserve">Farm operation plus production of inputs: fry and oyster spat, feeds, energy, equipment, buildings, vehicles, chemicals, transport; emissions from uneaten feed and excretion</t>
  </si>
  <si>
    <t xml:space="preserve">Packaging and transport to the retailer excluded (not full cradle-to-gate)</t>
  </si>
  <si>
    <t xml:space="preserve">Allocation</t>
  </si>
  <si>
    <t xml:space="preserve">None between fish and oysters (mass sum); infrastructure, vehicles and electricity allocated by production-pond area / total pond area</t>
  </si>
  <si>
    <t xml:space="preserve">See Hala, Chougule et al. (2024) for why allocation is a key IMTA challenge</t>
  </si>
  <si>
    <t xml:space="preserve">Nutrient emissions</t>
  </si>
  <si>
    <t xml:space="preserve">Nutrient balance: N and P in feed minus N and P retained in harvested biomass (Cho &amp; Kaushik 1990)</t>
  </si>
  <si>
    <t xml:space="preserve">Table 5</t>
  </si>
  <si>
    <t xml:space="preserve">Software</t>
  </si>
  <si>
    <t xml:space="preserve">Piscentool (Excel interface, project Piscenlit; Wilfart et al. 2012), SimaPro background</t>
  </si>
  <si>
    <t xml:space="preserve">Fry: carp-fry LCA profile used as default</t>
  </si>
  <si>
    <t xml:space="preserve">Impact categories</t>
  </si>
  <si>
    <t xml:space="preserve">GW kg CO2-eq; TCED MJ-eq; NPPU kg C; Acidification kg SO2-eq; Eutrophication kg PO4-eq; Land competition m2a; Water dependence m3</t>
  </si>
  <si>
    <t xml:space="preserve">CML-type midpoints with the aquaculture-specific NPPU and WD</t>
  </si>
  <si>
    <t xml:space="preserve">Data</t>
  </si>
  <si>
    <t xml:space="preserve">Primary data from daily farm records (water renewal, aeration, feed, mortality), feed supplier data, facility records</t>
  </si>
  <si>
    <t xml:space="preserve">Experimental-scale ponds (665-1,700 m2)</t>
  </si>
  <si>
    <t xml:space="preserve">Baseline</t>
  </si>
  <si>
    <t xml:space="preserve">Semi-intensive fishpond polyculture (fish only)</t>
  </si>
  <si>
    <t xml:space="preserve">Annex 1 labels it 'Semi-intensive MONO'</t>
  </si>
  <si>
    <t xml:space="preserve">Flow diagrams - how the fish waste is used in each system (per pond and production cycle)</t>
  </si>
  <si>
    <t xml:space="preserve">Diagrams from make_flow.py (static). The table next to each one is live: it reads the Inventory and Nutrient balance tabs.</t>
  </si>
  <si>
    <t xml:space="preserve">Data: Semi-intensive pond IMTA, one pond and cycle</t>
  </si>
  <si>
    <t xml:space="preserve">Flow</t>
  </si>
  <si>
    <t xml:space="preserve">Value</t>
  </si>
  <si>
    <t xml:space="preserve">Unit</t>
  </si>
  <si>
    <t xml:space="preserve">Fish feed</t>
  </si>
  <si>
    <t xml:space="preserve">kg</t>
  </si>
  <si>
    <t xml:space="preserve">N in feed</t>
  </si>
  <si>
    <t xml:space="preserve">kg N</t>
  </si>
  <si>
    <t xml:space="preserve">Fry + oyster spat stocked</t>
  </si>
  <si>
    <t xml:space="preserve">Seawater</t>
  </si>
  <si>
    <t xml:space="preserve">m3</t>
  </si>
  <si>
    <t xml:space="preserve">Fish gained</t>
  </si>
  <si>
    <t xml:space="preserve">Oyster flesh gained</t>
  </si>
  <si>
    <t xml:space="preserve">Macroalgae harvest</t>
  </si>
  <si>
    <t xml:space="preserve">N in fish + oysters</t>
  </si>
  <si>
    <t xml:space="preserve">N in macroalgae</t>
  </si>
  <si>
    <t xml:space="preserve">N in products</t>
  </si>
  <si>
    <t xml:space="preserve">N released (Table 5; minus = net uptake)</t>
  </si>
  <si>
    <t xml:space="preserve">N use efficiency</t>
  </si>
  <si>
    <t xml:space="preserve">%</t>
  </si>
  <si>
    <t xml:space="preserve">Data: Semi-extensive pond IMTA, one pond and cycle</t>
  </si>
  <si>
    <t xml:space="preserve">Data: Semi-intensive fish polyculture, one pond and cycle</t>
  </si>
  <si>
    <t xml:space="preserve">Metadata (LCIS2024 structure, Nair, Chougule et al. 2025)</t>
  </si>
  <si>
    <t xml:space="preserve">Element</t>
  </si>
  <si>
    <t xml:space="preserve">Label</t>
  </si>
  <si>
    <t xml:space="preserve">Dataset</t>
  </si>
  <si>
    <t xml:space="preserve">Name</t>
  </si>
  <si>
    <t xml:space="preserve">imta-integrate-lci</t>
  </si>
  <si>
    <t xml:space="preserve">Version</t>
  </si>
  <si>
    <t xml:space="preserve">1.0.0</t>
  </si>
  <si>
    <t xml:space="preserve">UDI</t>
  </si>
  <si>
    <t xml:space="preserve">53eb108d-c771-575e-ac70-d99573e5655b</t>
  </si>
  <si>
    <t xml:space="preserve">Description</t>
  </si>
  <si>
    <t xml:space="preserve">Foreground LCI and LCIA results of three earthen-pond aquaculture systems from INTEGRATE deliverable PI05#3</t>
  </si>
  <si>
    <t xml:space="preserve">1 t aquatic product (fish + oyster flesh) at farm gate</t>
  </si>
  <si>
    <t xml:space="preserve">Region</t>
  </si>
  <si>
    <t xml:space="preserve">Portugal (Olhao, Ria Formosa) and Spain (Cadiz)</t>
  </si>
  <si>
    <t xml:space="preserve">Time period</t>
  </si>
  <si>
    <t xml:space="preserve">2017-2019 (one production cycle per system)</t>
  </si>
  <si>
    <t xml:space="preserve">Source</t>
  </si>
  <si>
    <t xml:space="preserve">Report</t>
  </si>
  <si>
    <t xml:space="preserve">LCA of aquaculture systems: comparison between semi-intensive/extensive pond IMTA and semi-intensive traditional fishpond production. Deliverable PI05#3, submitted 23/07/2020</t>
  </si>
  <si>
    <t xml:space="preserve">Lead / contributing partners</t>
  </si>
  <si>
    <t xml:space="preserve">IPMA; IPMA and CTAQUA</t>
  </si>
  <si>
    <t xml:space="preserve">Piscentool</t>
  </si>
  <si>
    <t xml:space="preserve">Report data belong to the INTEGRATE partners; KPI layer CC BY 4.0</t>
  </si>
  <si>
    <t xml:space="preserve">MIT</t>
  </si>
  <si>
    <t xml:space="preserve">Glossary</t>
  </si>
  <si>
    <t xml:space="preserve">Abbreviations</t>
  </si>
  <si>
    <t xml:space="preserve">IMTA integrated multi-trophic aquaculture; POLY polyculture; SI semi-intensive; SE semi-extensive; FCR feed conversion ratio; NPPU net primary production use; TCED total cumulative energy demand; WD water dependence; LC land competition</t>
  </si>
  <si>
    <t xml:space="preserve">Inventory - Table 4 of the report (per production pond and cycle) and scaling to the functional unit</t>
  </si>
  <si>
    <t xml:space="preserve">Parameter</t>
  </si>
  <si>
    <t xml:space="preserve">Source / note</t>
  </si>
  <si>
    <t xml:space="preserve">cycle length</t>
  </si>
  <si>
    <t xml:space="preserve">months</t>
  </si>
  <si>
    <t xml:space="preserve">Table 4</t>
  </si>
  <si>
    <t xml:space="preserve">feed</t>
  </si>
  <si>
    <t xml:space="preserve">seawater used</t>
  </si>
  <si>
    <t xml:space="preserve">fish stocked</t>
  </si>
  <si>
    <t xml:space="preserve">Table 4 (initial fish biomass)</t>
  </si>
  <si>
    <t xml:space="preserve">oyster stocked</t>
  </si>
  <si>
    <t xml:space="preserve">kg flesh</t>
  </si>
  <si>
    <t xml:space="preserve">Table 4 (initial oyster flesh biomass)</t>
  </si>
  <si>
    <t xml:space="preserve">diet protein</t>
  </si>
  <si>
    <t xml:space="preserve">diet lipid</t>
  </si>
  <si>
    <t xml:space="preserve">diet cellulose</t>
  </si>
  <si>
    <t xml:space="preserve">diet ash</t>
  </si>
  <si>
    <t xml:space="preserve">diet phosphorus</t>
  </si>
  <si>
    <t xml:space="preserve">farm area</t>
  </si>
  <si>
    <t xml:space="preserve">m2</t>
  </si>
  <si>
    <t xml:space="preserve">farm pond area</t>
  </si>
  <si>
    <t xml:space="preserve">production pond area</t>
  </si>
  <si>
    <t xml:space="preserve">fish gain</t>
  </si>
  <si>
    <t xml:space="preserve">oyster gain</t>
  </si>
  <si>
    <t xml:space="preserve">macroalgae gain</t>
  </si>
  <si>
    <t xml:space="preserve">Table 4 (associated downstream production)</t>
  </si>
  <si>
    <t xml:space="preserve">fcr reported</t>
  </si>
  <si>
    <t xml:space="preserve">-</t>
  </si>
  <si>
    <t xml:space="preserve">Scaling to the functional unit (formulas)</t>
  </si>
  <si>
    <t xml:space="preserve">fish + oyster flesh gain</t>
  </si>
  <si>
    <t xml:space="preserve">functional unit basis</t>
  </si>
  <si>
    <t xml:space="preserve">scaling factor to 1 t</t>
  </si>
  <si>
    <t xml:space="preserve">1,000 kg / product</t>
  </si>
  <si>
    <t xml:space="preserve">FCR, feed / fish gain</t>
  </si>
  <si>
    <t xml:space="preserve">kg/kg</t>
  </si>
  <si>
    <t xml:space="preserve">compare with reported FCR</t>
  </si>
  <si>
    <t xml:space="preserve">feed / (fish + oyster gain)</t>
  </si>
  <si>
    <t xml:space="preserve">explains the reported 0.56 of the semi-extensive IMTA</t>
  </si>
  <si>
    <t xml:space="preserve">farm area allocated to the pond x cycle</t>
  </si>
  <si>
    <t xml:space="preserve">m2a</t>
  </si>
  <si>
    <t xml:space="preserve">report rule: pond area / total pond area</t>
  </si>
  <si>
    <t xml:space="preserve">Nutrient balance - where the N and P in the feed go (per pond and cycle, Table 5)</t>
  </si>
  <si>
    <t xml:space="preserve">protein to N factor</t>
  </si>
  <si>
    <t xml:space="preserve">N = protein / 6.25</t>
  </si>
  <si>
    <t xml:space="preserve">Nitrogen (kg N)</t>
  </si>
  <si>
    <t xml:space="preserve">formula from feed and recipe</t>
  </si>
  <si>
    <t xml:space="preserve">N released to water (net)</t>
  </si>
  <si>
    <t xml:space="preserve">negative = net uptake from the environment</t>
  </si>
  <si>
    <t xml:space="preserve">N rejection reported</t>
  </si>
  <si>
    <t xml:space="preserve">Table 5, for comparison</t>
  </si>
  <si>
    <t xml:space="preserve">N or P in all products / N or P in feed</t>
  </si>
  <si>
    <t xml:space="preserve">N released per t product</t>
  </si>
  <si>
    <t xml:space="preserve">kg per tonne fish + oyster</t>
  </si>
  <si>
    <t xml:space="preserve">Phosphorus (kg P)</t>
  </si>
  <si>
    <t xml:space="preserve">P in feed</t>
  </si>
  <si>
    <t xml:space="preserve">P in fish + oysters</t>
  </si>
  <si>
    <t xml:space="preserve">P in macroalgae</t>
  </si>
  <si>
    <t xml:space="preserve">P released to water (net)</t>
  </si>
  <si>
    <t xml:space="preserve">P rejection reported</t>
  </si>
  <si>
    <t xml:space="preserve">P use efficiency</t>
  </si>
  <si>
    <t xml:space="preserve">P released per t product</t>
  </si>
  <si>
    <t xml:space="preserve">Foreground LCI per functional unit (1 t fish + oyster flesh) - inputs and outputs, all formulas</t>
  </si>
  <si>
    <t xml:space="preserve">Table 1 INPUTS = what the farm takes in. Table 2 OUTPUTS = what leaves the farm. Amounts per tonne of fish + oyster flesh; all values are formulas on the Inventory and Nutrient balance tabs.</t>
  </si>
  <si>
    <t xml:space="preserve">1  INPUTS - what the farm takes in</t>
  </si>
  <si>
    <t xml:space="preserve">Flow (fp_name)</t>
  </si>
  <si>
    <t xml:space="preserve">Kind</t>
  </si>
  <si>
    <t xml:space="preserve">Comment</t>
  </si>
  <si>
    <t xml:space="preserve">From the technosphere (products of other processes)</t>
  </si>
  <si>
    <t xml:space="preserve">   compound fish feed</t>
  </si>
  <si>
    <t xml:space="preserve">technosphere</t>
  </si>
  <si>
    <t xml:space="preserve">40-42 % protein</t>
  </si>
  <si>
    <t xml:space="preserve">   fish fry / fingerlings</t>
  </si>
  <si>
    <t xml:space="preserve">carp-fry proxy in Piscentool</t>
  </si>
  <si>
    <t xml:space="preserve">   oyster spat (flesh)</t>
  </si>
  <si>
    <t xml:space="preserve">From nature (resources)</t>
  </si>
  <si>
    <t xml:space="preserve">   seawater, pumped or tidal</t>
  </si>
  <si>
    <t xml:space="preserve">resource</t>
  </si>
  <si>
    <t xml:space="preserve">equals Water consumption in Annex 1</t>
  </si>
  <si>
    <t xml:space="preserve">   land, farm area allocated to the pond</t>
  </si>
  <si>
    <t xml:space="preserve">compare Direct activity, Land competition</t>
  </si>
  <si>
    <t xml:space="preserve">Included in the impact results, but the report gives no quantities</t>
  </si>
  <si>
    <t xml:space="preserve">   electricity / fuel for pumping and aeration</t>
  </si>
  <si>
    <t xml:space="preserve">n/a</t>
  </si>
  <si>
    <t xml:space="preserve">only its impacts are reported: process 'Energy consumption' in LCIA (Annex 1)</t>
  </si>
  <si>
    <t xml:space="preserve">   equipment (pumps, aerators, nets)</t>
  </si>
  <si>
    <t xml:space="preserve">only its impacts are reported: process 'Equipment' in LCIA (Annex 1)</t>
  </si>
  <si>
    <t xml:space="preserve">   buildings</t>
  </si>
  <si>
    <t xml:space="preserve">only its impacts are reported: process 'Building impact' in LCIA (Annex 1)</t>
  </si>
  <si>
    <t xml:space="preserve">   vehicles</t>
  </si>
  <si>
    <t xml:space="preserve">only its impacts are reported: process 'Vehicle' in LCIA (Annex 1)</t>
  </si>
  <si>
    <t xml:space="preserve">   chemical products</t>
  </si>
  <si>
    <t xml:space="preserve">only its impacts are reported: process 'Chemical products' in LCIA (Annex 1)</t>
  </si>
  <si>
    <t xml:space="preserve">   transport of inputs</t>
  </si>
  <si>
    <t xml:space="preserve">only its impacts are reported: process 'Transports' in LCIA (Annex 1)</t>
  </si>
  <si>
    <t xml:space="preserve">2  OUTPUTS - what leaves the farm</t>
  </si>
  <si>
    <t xml:space="preserve">Products (the functional unit)</t>
  </si>
  <si>
    <t xml:space="preserve">   aquatic product, fish + oyster flesh, at farm gate</t>
  </si>
  <si>
    <t xml:space="preserve">reference product</t>
  </si>
  <si>
    <t xml:space="preserve">t</t>
  </si>
  <si>
    <t xml:space="preserve">functional unit</t>
  </si>
  <si>
    <t xml:space="preserve">   fish, live weight gain</t>
  </si>
  <si>
    <t xml:space="preserve">product</t>
  </si>
  <si>
    <t xml:space="preserve">part of the 1 t</t>
  </si>
  <si>
    <t xml:space="preserve">   oyster flesh, weight gain</t>
  </si>
  <si>
    <t xml:space="preserve">Co-product (outside the functional unit)</t>
  </si>
  <si>
    <t xml:space="preserve">   macroalgae, biomass gain</t>
  </si>
  <si>
    <t xml:space="preserve">co-product</t>
  </si>
  <si>
    <t xml:space="preserve">harvested; not allocated any burden</t>
  </si>
  <si>
    <t xml:space="preserve">Emissions to nature</t>
  </si>
  <si>
    <t xml:space="preserve">   nitrogen, to water (net)</t>
  </si>
  <si>
    <t xml:space="preserve">emission</t>
  </si>
  <si>
    <t xml:space="preserve">negative = net uptake from the water</t>
  </si>
  <si>
    <t xml:space="preserve">   phosphorus, to water (net)</t>
  </si>
  <si>
    <t xml:space="preserve">kg P</t>
  </si>
  <si>
    <t xml:space="preserve">Life cycle impact assessment per tonne of fish + oyster - Annex 1 of the report (Piscentool)</t>
  </si>
  <si>
    <t xml:space="preserve">Amounts are as printed (rounded to whole units); shares are calculated from the reported total.</t>
  </si>
  <si>
    <t xml:space="preserve">Process</t>
  </si>
  <si>
    <t xml:space="preserve">Share SI-IMTA</t>
  </si>
  <si>
    <t xml:space="preserve">Share SE-IMTA</t>
  </si>
  <si>
    <t xml:space="preserve">Share POLY</t>
  </si>
  <si>
    <t xml:space="preserve">GW - Global warming (GWP100) (kg CO2-eq)</t>
  </si>
  <si>
    <t xml:space="preserve">Building impact</t>
  </si>
  <si>
    <t xml:space="preserve">kg CO2-eq</t>
  </si>
  <si>
    <t xml:space="preserve">Energy consumption</t>
  </si>
  <si>
    <t xml:space="preserve">Water consumption</t>
  </si>
  <si>
    <t xml:space="preserve">Vehicle</t>
  </si>
  <si>
    <t xml:space="preserve">Rejects fish</t>
  </si>
  <si>
    <t xml:space="preserve">Chemical products</t>
  </si>
  <si>
    <t xml:space="preserve">Equipment</t>
  </si>
  <si>
    <t xml:space="preserve">Fry</t>
  </si>
  <si>
    <t xml:space="preserve">Feeds</t>
  </si>
  <si>
    <t xml:space="preserve">Transports</t>
  </si>
  <si>
    <t xml:space="preserve">Direct activity</t>
  </si>
  <si>
    <t xml:space="preserve">Sum of processes</t>
  </si>
  <si>
    <t xml:space="preserve">Total (reported)</t>
  </si>
  <si>
    <t xml:space="preserve">TCED - Total cumulative energy demand (MJ-eq)</t>
  </si>
  <si>
    <t xml:space="preserve">MJ-eq</t>
  </si>
  <si>
    <t xml:space="preserve">NPPU - Net primary production use (kg C)</t>
  </si>
  <si>
    <t xml:space="preserve">kg C</t>
  </si>
  <si>
    <t xml:space="preserve">AP - Acidification (kg SO2-eq)</t>
  </si>
  <si>
    <t xml:space="preserve">kg SO2-eq</t>
  </si>
  <si>
    <t xml:space="preserve">EP - Eutrophication (kg PO4-eq)</t>
  </si>
  <si>
    <t xml:space="preserve">kg PO4-eq</t>
  </si>
  <si>
    <t xml:space="preserve">LC - Land competition (m2a)</t>
  </si>
  <si>
    <t xml:space="preserve">WD - Water dependence (m3)</t>
  </si>
  <si>
    <t xml:space="preserve">Contribution analysis - which process drives which impact, per tonne of fish + oyster</t>
  </si>
  <si>
    <t xml:space="preserve">All values are formulas on the LCIA (Annex 1) tab. Share = process / sum of the absolute process amounts, so a negative share is a removal (net nutrient uptake).</t>
  </si>
  <si>
    <t xml:space="preserve">1  Share of each impact per process group (heatmap) and contribution chart per system</t>
  </si>
  <si>
    <t xml:space="preserve">Process group</t>
  </si>
  <si>
    <t xml:space="preserve">GW</t>
  </si>
  <si>
    <t xml:space="preserve">TCED</t>
  </si>
  <si>
    <t xml:space="preserve">NPPU</t>
  </si>
  <si>
    <t xml:space="preserve">AP</t>
  </si>
  <si>
    <t xml:space="preserve">EP</t>
  </si>
  <si>
    <t xml:space="preserve">LC</t>
  </si>
  <si>
    <t xml:space="preserve">WD</t>
  </si>
  <si>
    <t xml:space="preserve">Rejects fish (uneaten feed, excretion)</t>
  </si>
  <si>
    <t xml:space="preserve">Direct activity (farm area, water mgmt.)</t>
  </si>
  <si>
    <t xml:space="preserve">Other (buildings, vehicles, chemicals, fry)</t>
  </si>
  <si>
    <t xml:space="preserve">2  Contribution per impact category, absolute amounts per tonne (stacked by process group)</t>
  </si>
  <si>
    <t xml:space="preserve">GW - Global warming (kg CO2-eq per t)</t>
  </si>
  <si>
    <t xml:space="preserve">TCED - Cumulative energy demand (MJ-eq per t)</t>
  </si>
  <si>
    <t xml:space="preserve">NPPU - Net primary production use (kg C per t)</t>
  </si>
  <si>
    <t xml:space="preserve">AP - Acidification (kg SO2-eq per t)</t>
  </si>
  <si>
    <t xml:space="preserve">EP - Eutrophication (kg PO4-eq per t)</t>
  </si>
  <si>
    <t xml:space="preserve">LC - Land competition (m2a per t)</t>
  </si>
  <si>
    <t xml:space="preserve">WD - Water dependence (m3 per t)</t>
  </si>
  <si>
    <t xml:space="preserve">Comparison per tonne of fish + oyster, and change against the polyculture baseline</t>
  </si>
  <si>
    <t xml:space="preserve">Impact category</t>
  </si>
  <si>
    <t xml:space="preserve">SI-IMTA vs POLY</t>
  </si>
  <si>
    <t xml:space="preserve">SE-IMTA vs POLY</t>
  </si>
  <si>
    <t xml:space="preserve">Lowest</t>
  </si>
  <si>
    <t xml:space="preserve">GW - Global warming</t>
  </si>
  <si>
    <t xml:space="preserve">TCED - Cumulative energy demand</t>
  </si>
  <si>
    <t xml:space="preserve">NPPU - Net primary production use</t>
  </si>
  <si>
    <t xml:space="preserve">AP - Acidification</t>
  </si>
  <si>
    <t xml:space="preserve">EP - Eutrophication</t>
  </si>
  <si>
    <t xml:space="preserve">LC - Land competition</t>
  </si>
  <si>
    <t xml:space="preserve">WD - Water dependence</t>
  </si>
  <si>
    <t xml:space="preserve">Implied impact per kg of feed (Feeds process / feed per tonne) - a check that the feed model is consistent</t>
  </si>
  <si>
    <t xml:space="preserve">Global warming of feed</t>
  </si>
  <si>
    <t xml:space="preserve">kg CO2-eq/kg feed</t>
  </si>
  <si>
    <t xml:space="preserve">Cumulative energy demand of feed</t>
  </si>
  <si>
    <t xml:space="preserve">MJ-eq/kg feed</t>
  </si>
  <si>
    <t xml:space="preserve">Net primary production use of feed</t>
  </si>
  <si>
    <t xml:space="preserve">kg C/kg feed</t>
  </si>
  <si>
    <t xml:space="preserve">KPI framework - 13 KPIs per tonne of fish + oyster</t>
  </si>
  <si>
    <t xml:space="preserve">Improvement target for environmental KPIs (better than polyculture by at least):</t>
  </si>
  <si>
    <t xml:space="preserve">E-targets = polyculture value x (1 - this). Circularity targets are set per KPI (yellow).</t>
  </si>
  <si>
    <t xml:space="preserve">ID</t>
  </si>
  <si>
    <t xml:space="preserve">Dimension</t>
  </si>
  <si>
    <t xml:space="preserve">KPI</t>
  </si>
  <si>
    <t xml:space="preserve">Better if</t>
  </si>
  <si>
    <t xml:space="preserve">Target</t>
  </si>
  <si>
    <t xml:space="preserve">Value SI-IMTA</t>
  </si>
  <si>
    <t xml:space="preserve">Value SE-IMTA</t>
  </si>
  <si>
    <t xml:space="preserve">Value SI-POLY</t>
  </si>
  <si>
    <t xml:space="preserve">Met SI-IMTA</t>
  </si>
  <si>
    <t xml:space="preserve">Met SE-IMTA</t>
  </si>
  <si>
    <t xml:space="preserve">Met SI-POLY</t>
  </si>
  <si>
    <t xml:space="preserve">Formula</t>
  </si>
  <si>
    <t xml:space="preserve">E1</t>
  </si>
  <si>
    <t xml:space="preserve">Environment</t>
  </si>
  <si>
    <t xml:space="preserve">Global warming</t>
  </si>
  <si>
    <t xml:space="preserve">kg CO2-eq/t</t>
  </si>
  <si>
    <t xml:space="preserve">lower</t>
  </si>
  <si>
    <t xml:space="preserve">baseline</t>
  </si>
  <si>
    <t xml:space="preserve">Annex 1 total; target = polyculture x (1 - improvement)</t>
  </si>
  <si>
    <t xml:space="preserve">E2</t>
  </si>
  <si>
    <t xml:space="preserve">Cumulative energy demand</t>
  </si>
  <si>
    <t xml:space="preserve">MJ-eq/t</t>
  </si>
  <si>
    <t xml:space="preserve">E3</t>
  </si>
  <si>
    <t xml:space="preserve">Net primary production use</t>
  </si>
  <si>
    <t xml:space="preserve">kg C/t</t>
  </si>
  <si>
    <t xml:space="preserve">E4</t>
  </si>
  <si>
    <t xml:space="preserve">Acidification</t>
  </si>
  <si>
    <t xml:space="preserve">kg SO2-eq/t</t>
  </si>
  <si>
    <t xml:space="preserve">E5</t>
  </si>
  <si>
    <t xml:space="preserve">Eutrophication</t>
  </si>
  <si>
    <t xml:space="preserve">kg PO4-eq/t</t>
  </si>
  <si>
    <t xml:space="preserve">E6</t>
  </si>
  <si>
    <t xml:space="preserve">Land competition</t>
  </si>
  <si>
    <t xml:space="preserve">m2a/t</t>
  </si>
  <si>
    <t xml:space="preserve">E7</t>
  </si>
  <si>
    <t xml:space="preserve">Water dependence</t>
  </si>
  <si>
    <t xml:space="preserve">m3/t</t>
  </si>
  <si>
    <t xml:space="preserve">C1</t>
  </si>
  <si>
    <t xml:space="preserve">Circularity</t>
  </si>
  <si>
    <t xml:space="preserve">higher</t>
  </si>
  <si>
    <t xml:space="preserve">(N in fish + oysters + macroalgae) / N in feed</t>
  </si>
  <si>
    <t xml:space="preserve">C2</t>
  </si>
  <si>
    <t xml:space="preserve">Phosphorus use efficiency</t>
  </si>
  <si>
    <t xml:space="preserve">(P in fish + oysters + macroalgae) / P in feed</t>
  </si>
  <si>
    <t xml:space="preserve">C3</t>
  </si>
  <si>
    <t xml:space="preserve">Net N released to water</t>
  </si>
  <si>
    <t xml:space="preserve">kg N/t</t>
  </si>
  <si>
    <t xml:space="preserve">net N released per pond x scaling factor</t>
  </si>
  <si>
    <t xml:space="preserve">C4</t>
  </si>
  <si>
    <t xml:space="preserve">Fish feed conversion ratio</t>
  </si>
  <si>
    <t xml:space="preserve">feed / fish weight gain</t>
  </si>
  <si>
    <t xml:space="preserve">C5</t>
  </si>
  <si>
    <t xml:space="preserve">Share of non-fed (extractive) biomass</t>
  </si>
  <si>
    <t xml:space="preserve">(oyster + macroalgae gain) / total harvest</t>
  </si>
  <si>
    <t xml:space="preserve">C6</t>
  </si>
  <si>
    <t xml:space="preserve">Feed share of global warming</t>
  </si>
  <si>
    <t xml:space="preserve">Feeds process / total global warming</t>
  </si>
  <si>
    <t xml:space="preserve">Targets met</t>
  </si>
  <si>
    <t xml:space="preserve">Targets are placeholders for a stakeholder workshop. Polyculture environmental KPIs show 'baseline' because the target is defined relative to it.</t>
  </si>
  <si>
    <t xml:space="preserve">Dashboard - pond IMTA vs fish polyculture</t>
  </si>
  <si>
    <t xml:space="preserve">KPI targets met</t>
  </si>
  <si>
    <t xml:space="preserve">Net N released, kg N/t</t>
  </si>
  <si>
    <t xml:space="preserve">Global warming by process (kg CO2-eq per t) - chart data</t>
  </si>
  <si>
    <t xml:space="preserve">Charts - all live: they update when an input or target changes</t>
  </si>
  <si>
    <t xml:space="preserve">1  Environmental profile: each impact per tonne as % of the fish-only pond (100 % = baseline)</t>
  </si>
  <si>
    <t xml:space="preserve">2  Change per tonne against the fish-only pond (negative = better)</t>
  </si>
  <si>
    <t xml:space="preserve">3  Fate of the nitrogen in the feed, kg N per tonne (negative release = net uptake from the water)</t>
  </si>
  <si>
    <t xml:space="preserve">in fish + oysters</t>
  </si>
  <si>
    <t xml:space="preserve">in macroalgae</t>
  </si>
  <si>
    <t xml:space="preserve">released to water (net)</t>
  </si>
  <si>
    <t xml:space="preserve">4  Fate of the phosphorus in the feed, kg P per tonne (negative release = net uptake from the water)</t>
  </si>
  <si>
    <t xml:space="preserve">5  KPI targets met per system</t>
  </si>
  <si>
    <t xml:space="preserve">Environmental (of 7)</t>
  </si>
  <si>
    <t xml:space="preserve">Circularity (of 6)</t>
  </si>
  <si>
    <t xml:space="preserve">Total (of 13)</t>
  </si>
  <si>
    <t xml:space="preserve">6  Margin to target per KPI (positive = target met; capped at -100 % and +150 %; blank = baseline)</t>
  </si>
  <si>
    <t xml:space="preserve">E1 Global warming</t>
  </si>
  <si>
    <t xml:space="preserve">E2 Cumulative energy demand</t>
  </si>
  <si>
    <t xml:space="preserve">E3 Net primary production use</t>
  </si>
  <si>
    <t xml:space="preserve">E4 Acidification</t>
  </si>
  <si>
    <t xml:space="preserve">E5 Eutrophication</t>
  </si>
  <si>
    <t xml:space="preserve">E6 Land competition</t>
  </si>
  <si>
    <t xml:space="preserve">E7 Water dependence</t>
  </si>
  <si>
    <t xml:space="preserve">C1 Nitrogen use efficiency</t>
  </si>
  <si>
    <t xml:space="preserve">C2 Phosphorus use efficiency</t>
  </si>
  <si>
    <t xml:space="preserve">C3 Net N released to water</t>
  </si>
  <si>
    <t xml:space="preserve">C4 Fish feed conversion ratio</t>
  </si>
  <si>
    <t xml:space="preserve">C5 Share of non-fed (extractive) biomass</t>
  </si>
  <si>
    <t xml:space="preserve">C6 Feed share of global warming</t>
  </si>
  <si>
    <t xml:space="preserve">Figures - the report charts drawn by make_charts.py, each with its data table on the right</t>
  </si>
  <si>
    <t xml:space="preserve">The pictures are static (published values). The tables next to them are live formulas, so they update when you change an input.</t>
  </si>
  <si>
    <t xml:space="preserve">00_key_numbers.png</t>
  </si>
  <si>
    <t xml:space="preserve">Data: key numbers (per tonne of fish + oyster)</t>
  </si>
  <si>
    <t xml:space="preserve">Eutrophication vs fish-only pond</t>
  </si>
  <si>
    <t xml:space="preserve">Feed nitrogen kept in products</t>
  </si>
  <si>
    <t xml:space="preserve">Global warming vs fish-only pond</t>
  </si>
  <si>
    <t xml:space="preserve">Share of global warming from feed</t>
  </si>
  <si>
    <t xml:space="preserve">Land competition vs fish-only pond</t>
  </si>
  <si>
    <t xml:space="preserve">01_change_vs_fish_pond.png</t>
  </si>
  <si>
    <t xml:space="preserve">Data: change per tonne against the fish-only pond</t>
  </si>
  <si>
    <t xml:space="preserve">02_global_warming_by_process.png</t>
  </si>
  <si>
    <t xml:space="preserve">Data: global warming by process, kg CO2-eq per tonne</t>
  </si>
  <si>
    <t xml:space="preserve">Transport</t>
  </si>
  <si>
    <t xml:space="preserve">Energy (pumping, aeration)</t>
  </si>
  <si>
    <t xml:space="preserve">Feed share of total</t>
  </si>
  <si>
    <t xml:space="preserve">03_nitrogen_fate.png</t>
  </si>
  <si>
    <t xml:space="preserve">Data: fate of the feed nitrogen, kg N per tonne</t>
  </si>
  <si>
    <t xml:space="preserve">released to water (net; negative = uptake)</t>
  </si>
  <si>
    <t xml:space="preserve">kept in products (N use efficiency)</t>
  </si>
  <si>
    <t xml:space="preserve">04_process_heatmap.png</t>
  </si>
  <si>
    <t xml:space="preserve">Data: share of each impact per process - Semi-intensive pond IMTA</t>
  </si>
  <si>
    <t xml:space="preserve">Data: share of each impact per process - Semi-extensive pond IMTA</t>
  </si>
  <si>
    <t xml:space="preserve">Data: share of each impact per process - Semi-intensive fish polyculture</t>
  </si>
  <si>
    <t xml:space="preserve">05_kpi_scorecard.png</t>
  </si>
  <si>
    <t xml:space="preserve">Data: KPI scorecard</t>
  </si>
  <si>
    <t xml:space="preserve">E1 Global warming (kg CO2-eq/t)</t>
  </si>
  <si>
    <t xml:space="preserve">E2 Cumulative energy demand (MJ-eq/t)</t>
  </si>
  <si>
    <t xml:space="preserve">E3 Net primary production use (kg C/t)</t>
  </si>
  <si>
    <t xml:space="preserve">E4 Acidification (kg SO2-eq/t)</t>
  </si>
  <si>
    <t xml:space="preserve">E5 Eutrophication (kg PO4-eq/t)</t>
  </si>
  <si>
    <t xml:space="preserve">E6 Land competition (m2a/t)</t>
  </si>
  <si>
    <t xml:space="preserve">E7 Water dependence (m3/t)</t>
  </si>
  <si>
    <t xml:space="preserve">C1 Nitrogen use efficiency (%)</t>
  </si>
  <si>
    <t xml:space="preserve">C2 Phosphorus use efficiency (%)</t>
  </si>
  <si>
    <t xml:space="preserve">C3 Net N released to water (kg N/t)</t>
  </si>
  <si>
    <t xml:space="preserve">C4 Fish feed conversion ratio (kg/kg)</t>
  </si>
  <si>
    <t xml:space="preserve">C5 Share of non-fed (extractive) biomass (%)</t>
  </si>
  <si>
    <t xml:space="preserve">C6 Feed share of global warming (%)</t>
  </si>
  <si>
    <t xml:space="preserve">06_environmental_profile.png</t>
  </si>
  <si>
    <t xml:space="preserve">Data: each impact as % of the fish-only pond</t>
  </si>
  <si>
    <t xml:space="preserve">07_kpi_framework.png</t>
  </si>
  <si>
    <t xml:space="preserve">Data: the framework steps with this workbook's numbers</t>
  </si>
  <si>
    <t xml:space="preserve">1 Data: fish + oyster gain per pond, kg</t>
  </si>
  <si>
    <t xml:space="preserve">2 Scale: factor to 1 t = 1,000 / gain</t>
  </si>
  <si>
    <t xml:space="preserve">3 KPI example: N in feed per pond, kg</t>
  </si>
  <si>
    <t xml:space="preserve">3 KPI example: N use efficiency (C1)</t>
  </si>
  <si>
    <t xml:space="preserve">4 Target: improvement vs fish-only pond</t>
  </si>
  <si>
    <t xml:space="preserve">5 Score: targets met</t>
  </si>
  <si>
    <t xml:space="preserve">08_kpi_distance_to_target.png</t>
  </si>
  <si>
    <t xml:space="preserve">Data: margin to target (positive = met; not capped)</t>
  </si>
  <si>
    <t xml:space="preserve">Data checks - do the report's tables agree with each other?</t>
  </si>
  <si>
    <t xml:space="preserve">Check</t>
  </si>
  <si>
    <t xml:space="preserve">Reported</t>
  </si>
  <si>
    <t xml:space="preserve">Recalculated</t>
  </si>
  <si>
    <t xml:space="preserve">Difference</t>
  </si>
  <si>
    <t xml:space="preserve">OK?</t>
  </si>
  <si>
    <t xml:space="preserve">Explanation</t>
  </si>
  <si>
    <t xml:space="preserve">Feed N = feed x protein / 6.25</t>
  </si>
  <si>
    <t xml:space="preserve">Table 5 feed N is reproduced from Table 4</t>
  </si>
  <si>
    <t xml:space="preserve">N rejection = feed - extracted</t>
  </si>
  <si>
    <t xml:space="preserve">rounding only</t>
  </si>
  <si>
    <t xml:space="preserve">Water per t = Annex 1 water consumption</t>
  </si>
  <si>
    <t xml:space="preserve">confirms the functional unit = fish + oyster gain</t>
  </si>
  <si>
    <t xml:space="preserve">FCR = feed / fish gain</t>
  </si>
  <si>
    <t xml:space="preserve">matches</t>
  </si>
  <si>
    <t xml:space="preserve">Land: allocated farm area vs Direct activity (LC)</t>
  </si>
  <si>
    <t xml:space="preserve">pond-area allocation rule reproduced within 5 %</t>
  </si>
  <si>
    <t xml:space="preserve">semi-extensive: reported 0.56 = feed / (fish + oyster gain), a different definition</t>
  </si>
  <si>
    <t xml:space="preserve">polyculture does not match the pond-area rule x 26 months; to clarify with the authors</t>
  </si>
  <si>
    <t xml:space="preserve">Primary source</t>
  </si>
  <si>
    <t xml:space="preserve">INTEGRATE project (2020). LCA of aquaculture systems: comparison between semi-intensive/extensive pond IMTA and semi-intensive traditional fishpond production. Deliverable PI05#3, Interreg Atlantic Area EAPA_232/2016. Lead partner IPMA; contributing partners IPMA and CTAQUA.</t>
  </si>
  <si>
    <t xml:space="preserve">Related conference paper</t>
  </si>
  <si>
    <t xml:space="preserve">Cunha, M. E., Malta, E., Partida, B., Agraso, M. M., Ribeiro, L. Comparative life cycle assessment of semi-intensive and extensive pond IMTA and semi-intensive conventional fishpond production. Aquaculture Europe 2021. https://aquaeas.org/Program/PaperDetail/38885</t>
  </si>
  <si>
    <t xml:space="preserve">Wilfart, A., Aubin, J. et al. (2012). Piscentool: a tool to assess sustainability in aquaculture systems. 8th LCA Food conference, Saint-Malo.</t>
  </si>
  <si>
    <t xml:space="preserve">Cho, C. Y., Kaushik, S. J. (1990). Nutritional energetics in fish: energy and protein utilization in rainbow trout. World Review of Nutrition and Dietetics 61: 132-172.</t>
  </si>
  <si>
    <t xml:space="preserve">Aubin, J., Papatryphon, E., van der Werf, H. M. G., Chatzifotis, S. (2009). Assessment of the environmental impact of carnivorous finfish production systems using LCA. J. Cleaner Production 17: 354-361.</t>
  </si>
  <si>
    <t xml:space="preserve">IMTA LCA review</t>
  </si>
  <si>
    <t xml:space="preserve">Hala, A. F., Chougule, K., Cunha, M. E., Caria Mendes, M., Oliveira, I., Bradley, T., Forbes, J., Galileu Speranza, L. (2024). Life cycle assessment of integrated multi-trophic aquaculture: a review on methodology and challenges for its sustainability evaluation. Aquaculture 590, 741035.</t>
  </si>
  <si>
    <t xml:space="preserve">LCI schema</t>
  </si>
  <si>
    <t xml:space="preserve">Nair, R. R., Chougule, K. M., Gomez Trillos, J. C., Brand-Daniels, U. (2025). A generalized schema to publish and share life cycle inventories (LCI). J. Cleaner Production 520, 146120.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</si>
</sst>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@"/>
    <numFmt numFmtId="166" formatCode="#,##0"/>
    <numFmt numFmtId="167" formatCode="0%"/>
    <numFmt numFmtId="168" formatCode="0.0"/>
    <numFmt numFmtId="169" formatCode="#,##0.0"/>
    <numFmt numFmtId="170" formatCode="#,##0.0#"/>
    <numFmt numFmtId="171" formatCode="#,##0.00##"/>
    <numFmt numFmtId="172" formatCode="0.00"/>
    <numFmt numFmtId="173" formatCode="#,##0.00"/>
    <numFmt numFmtId="174" formatCode="0.0%"/>
    <numFmt numFmtId="175" formatCode="\+0%;\-0%;0%"/>
    <numFmt numFmtId="176" formatCode="0"/>
    <numFmt numFmtId="177" formatCode="0.0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E1F5EE"/>
      <name val="Arial"/>
      <family val="0"/>
      <charset val="1"/>
    </font>
    <font>
      <b val="true"/>
      <sz val="12"/>
      <color rgb="FF0F6E5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D9E75"/>
      <name val="Arial"/>
      <family val="0"/>
      <charset val="1"/>
    </font>
    <font>
      <b val="true"/>
      <sz val="11"/>
      <color rgb="FF378ADD"/>
      <name val="Arial"/>
      <family val="0"/>
      <charset val="1"/>
    </font>
    <font>
      <b val="true"/>
      <sz val="11"/>
      <color rgb="FF888780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1D9E75"/>
      <name val="Arial"/>
      <family val="0"/>
      <charset val="1"/>
    </font>
    <font>
      <b val="true"/>
      <sz val="12"/>
      <color rgb="FF378ADD"/>
      <name val="Arial"/>
      <family val="0"/>
      <charset val="1"/>
    </font>
    <font>
      <b val="true"/>
      <sz val="12"/>
      <color rgb="FF8887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85FA5"/>
      <name val="Arial"/>
      <family val="0"/>
      <charset val="1"/>
    </font>
    <font>
      <b val="true"/>
      <i val="true"/>
      <sz val="11"/>
      <color rgb="FF185FA5"/>
      <name val="Arial"/>
      <family val="0"/>
      <charset val="1"/>
    </font>
    <font>
      <sz val="11"/>
      <color rgb="FF185FA5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i val="true"/>
      <sz val="11"/>
      <color rgb="FF0F6E56"/>
      <name val="Arial"/>
      <family val="0"/>
      <charset val="1"/>
    </font>
    <font>
      <sz val="11"/>
      <color rgb="FF0F6E5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F6E56"/>
        <bgColor rgb="FF185FA5"/>
      </patternFill>
    </fill>
    <fill>
      <patternFill patternType="solid">
        <fgColor rgb="FFE1F5EE"/>
        <bgColor rgb="FFE6F1FB"/>
      </patternFill>
    </fill>
    <fill>
      <patternFill patternType="solid">
        <fgColor rgb="FFFFF2CC"/>
        <bgColor rgb="FFFFEB9C"/>
      </patternFill>
    </fill>
    <fill>
      <patternFill patternType="solid">
        <fgColor rgb="FFC6EFCE"/>
        <bgColor rgb="FFE1F5EE"/>
      </patternFill>
    </fill>
    <fill>
      <patternFill patternType="solid">
        <fgColor rgb="FFFFC7CE"/>
        <bgColor rgb="FFD9D9D9"/>
      </patternFill>
    </fill>
    <fill>
      <patternFill patternType="solid">
        <fgColor rgb="FF185FA5"/>
        <bgColor rgb="FF0563C1"/>
      </patternFill>
    </fill>
    <fill>
      <patternFill patternType="solid">
        <fgColor rgb="FFE6F1FB"/>
        <bgColor rgb="FFE1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F6E56"/>
      <rgbColor rgb="FFBFBFBF"/>
      <rgbColor rgb="FF888780"/>
      <rgbColor rgb="FF93A9CE"/>
      <rgbColor rgb="FFAB4744"/>
      <rgbColor rgb="FFFFF2CC"/>
      <rgbColor rgb="FFE1F5EE"/>
      <rgbColor rgb="FF660066"/>
      <rgbColor rgb="FFDC853E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185FA5"/>
      <rgbColor rgb="FF0000FF"/>
      <rgbColor rgb="FF4F81BD"/>
      <rgbColor rgb="FFE6F1FB"/>
      <rgbColor rgb="FFC6EFCE"/>
      <rgbColor rgb="FFFFEB9C"/>
      <rgbColor rgb="FF85B7EB"/>
      <rgbColor rgb="FFD09493"/>
      <rgbColor rgb="FFD3D1C7"/>
      <rgbColor rgb="FFFFC7CE"/>
      <rgbColor rgb="FF378ADD"/>
      <rgbColor rgb="FF4299B0"/>
      <rgbColor rgb="FF99CC00"/>
      <rgbColor rgb="FFFFCC00"/>
      <rgbColor rgb="FFEF9F27"/>
      <rgbColor rgb="FFE24B4A"/>
      <rgbColor rgb="FF725990"/>
      <rgbColor rgb="FF878787"/>
      <rgbColor rgb="FF4672A8"/>
      <rgbColor rgb="FF1D9E75"/>
      <rgbColor rgb="FF003300"/>
      <rgbColor rgb="FF5F5E5A"/>
      <rgbColor rgb="FF993300"/>
      <rgbColor rgb="FFC0504D"/>
      <rgbColor rgb="FF534AB7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Contribution per impact category - Semi-intensive pond IMTA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"Feeds"</c:f>
              <c:strCache>
                <c:ptCount val="1"/>
                <c:pt idx="0">
                  <c:v>Feeds</c:v>
                </c:pt>
              </c:strCache>
            </c:strRef>
          </c:tx>
          <c:spPr>
            <a:solidFill>
              <a:srgbClr val="534ab7"/>
            </a:solidFill>
            <a:ln w="0">
              <a:solidFill>
                <a:srgbClr val="534ab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analysis'!$B$8:$H$8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analysis'!$B$9:$H$9</c:f>
              <c:numCache>
                <c:formatCode>0%</c:formatCode>
                <c:ptCount val="7"/>
                <c:pt idx="0">
                  <c:v>0.552819414703783</c:v>
                </c:pt>
                <c:pt idx="1">
                  <c:v>0.233312622048642</c:v>
                </c:pt>
                <c:pt idx="2">
                  <c:v>0.994750906661577</c:v>
                </c:pt>
                <c:pt idx="3">
                  <c:v>0.19047619047619</c:v>
                </c:pt>
                <c:pt idx="4">
                  <c:v>0.307692307692308</c:v>
                </c:pt>
                <c:pt idx="5">
                  <c:v>0.659198913781399</c:v>
                </c:pt>
                <c:pt idx="6">
                  <c:v>0.000286863483499246</c:v>
                </c:pt>
              </c:numCache>
            </c:numRef>
          </c:val>
        </c:ser>
        <c:ser>
          <c:idx val="1"/>
          <c:order val="1"/>
          <c:tx>
            <c:strRef>
              <c:f>"Rejects fish (uneaten feed, excretion)"</c:f>
              <c:strCache>
                <c:ptCount val="1"/>
                <c:pt idx="0">
                  <c:v>Rejects fish (uneaten feed, excretion)</c:v>
                </c:pt>
              </c:strCache>
            </c:strRef>
          </c:tx>
          <c:spPr>
            <a:solidFill>
              <a:srgbClr val="e24b4a"/>
            </a:solidFill>
            <a:ln w="0">
              <a:solidFill>
                <a:srgbClr val="e24b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analysis'!$B$8:$H$8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analysis'!$B$10:$H$10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0.595238095238095</c:v>
                </c:pt>
                <c:pt idx="4">
                  <c:v>0.615384615384615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"Energy consumption"</c:f>
              <c:strCache>
                <c:ptCount val="1"/>
                <c:pt idx="0">
                  <c:v>Energy consumption</c:v>
                </c:pt>
              </c:strCache>
            </c:strRef>
          </c:tx>
          <c:spPr>
            <a:solidFill>
              <a:srgbClr val="ef9f27"/>
            </a:solidFill>
            <a:ln w="0">
              <a:solidFill>
                <a:srgbClr val="ef9f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analysis'!$B$8:$H$8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analysis'!$B$11:$H$11</c:f>
              <c:numCache>
                <c:formatCode>0%</c:formatCode>
                <c:ptCount val="7"/>
                <c:pt idx="0">
                  <c:v>0.117773019271949</c:v>
                </c:pt>
                <c:pt idx="1">
                  <c:v>0.507322918515889</c:v>
                </c:pt>
                <c:pt idx="2">
                  <c:v>0</c:v>
                </c:pt>
                <c:pt idx="3">
                  <c:v>0.0476190476190476</c:v>
                </c:pt>
                <c:pt idx="4">
                  <c:v>0.0384615384615385</c:v>
                </c:pt>
                <c:pt idx="5">
                  <c:v>0.00271554650373388</c:v>
                </c:pt>
                <c:pt idx="6">
                  <c:v>0.000231932178148327</c:v>
                </c:pt>
              </c:numCache>
            </c:numRef>
          </c:val>
        </c:ser>
        <c:ser>
          <c:idx val="3"/>
          <c:order val="3"/>
          <c:tx>
            <c:strRef>
              <c:f>"Transports"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analysis'!$B$8:$H$8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analysis'!$B$12:$H$12</c:f>
              <c:numCache>
                <c:formatCode>0%</c:formatCode>
                <c:ptCount val="7"/>
                <c:pt idx="0">
                  <c:v>0.11598857958601</c:v>
                </c:pt>
                <c:pt idx="1">
                  <c:v>0.0608357003372981</c:v>
                </c:pt>
                <c:pt idx="2">
                  <c:v>0</c:v>
                </c:pt>
                <c:pt idx="3">
                  <c:v>0.0476190476190476</c:v>
                </c:pt>
                <c:pt idx="4">
                  <c:v>0</c:v>
                </c:pt>
                <c:pt idx="5">
                  <c:v>0.00135777325186694</c:v>
                </c:pt>
                <c:pt idx="6">
                  <c:v>1.83104351169732E-005</c:v>
                </c:pt>
              </c:numCache>
            </c:numRef>
          </c:val>
        </c:ser>
        <c:ser>
          <c:idx val="4"/>
          <c:order val="4"/>
          <c:tx>
            <c:strRef>
              <c:f>"Equipment"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rgbClr val="5f5e5a"/>
            </a:solidFill>
            <a:ln w="0">
              <a:solidFill>
                <a:srgbClr val="5f5e5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analysis'!$B$8:$H$8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analysis'!$B$13:$H$13</c:f>
              <c:numCache>
                <c:formatCode>0%</c:formatCode>
                <c:ptCount val="7"/>
                <c:pt idx="0">
                  <c:v>0.137758743754461</c:v>
                </c:pt>
                <c:pt idx="1">
                  <c:v>0.155589827800462</c:v>
                </c:pt>
                <c:pt idx="2">
                  <c:v>0</c:v>
                </c:pt>
                <c:pt idx="3">
                  <c:v>0.0714285714285714</c:v>
                </c:pt>
                <c:pt idx="4">
                  <c:v>0.0384615384615385</c:v>
                </c:pt>
                <c:pt idx="5">
                  <c:v>0.00203665987780041</c:v>
                </c:pt>
                <c:pt idx="6">
                  <c:v>3.66208702339463E-005</c:v>
                </c:pt>
              </c:numCache>
            </c:numRef>
          </c:val>
        </c:ser>
        <c:ser>
          <c:idx val="5"/>
          <c:order val="5"/>
          <c:tx>
            <c:strRef>
              <c:f>"Direct activity (farm area, water mgmt.)"</c:f>
              <c:strCache>
                <c:ptCount val="1"/>
                <c:pt idx="0">
                  <c:v>Direct activity (farm area, water mgmt.)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analysis'!$B$8:$H$8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analysis'!$B$14:$H$14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0.319416157501697</c:v>
                </c:pt>
                <c:pt idx="6">
                  <c:v>0.496432516891376</c:v>
                </c:pt>
              </c:numCache>
            </c:numRef>
          </c:val>
        </c:ser>
        <c:ser>
          <c:idx val="6"/>
          <c:order val="6"/>
          <c:tx>
            <c:strRef>
              <c:f>"Water consumption"</c:f>
              <c:strCache>
                <c:ptCount val="1"/>
                <c:pt idx="0">
                  <c:v>Water consumption</c:v>
                </c:pt>
              </c:strCache>
            </c:strRef>
          </c:tx>
          <c:spPr>
            <a:solidFill>
              <a:srgbClr val="85b7eb"/>
            </a:solidFill>
            <a:ln w="0">
              <a:solidFill>
                <a:srgbClr val="85b7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analysis'!$B$8:$H$8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analysis'!$B$15:$H$15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0.502078234385777</c:v>
                </c:pt>
              </c:numCache>
            </c:numRef>
          </c:val>
        </c:ser>
        <c:ser>
          <c:idx val="7"/>
          <c:order val="7"/>
          <c:tx>
            <c:strRef>
              <c:f>"Other (buildings, vehicles, chemicals, fry)"</c:f>
              <c:strCache>
                <c:ptCount val="1"/>
                <c:pt idx="0">
                  <c:v>Other (buildings, vehicles, chemicals, fry)</c:v>
                </c:pt>
              </c:strCache>
            </c:strRef>
          </c:tx>
          <c:spPr>
            <a:solidFill>
              <a:srgbClr val="d3d1c7"/>
            </a:solidFill>
            <a:ln w="0">
              <a:solidFill>
                <a:srgbClr val="d3d1c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analysis'!$B$8:$H$8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analysis'!$B$16:$H$16</c:f>
              <c:numCache>
                <c:formatCode>0%</c:formatCode>
                <c:ptCount val="7"/>
                <c:pt idx="0">
                  <c:v>0.0756602426837973</c:v>
                </c:pt>
                <c:pt idx="1">
                  <c:v>0.0429389312977099</c:v>
                </c:pt>
                <c:pt idx="2">
                  <c:v>0.00524909333842336</c:v>
                </c:pt>
                <c:pt idx="3">
                  <c:v>0.0476190476190476</c:v>
                </c:pt>
                <c:pt idx="4">
                  <c:v>0</c:v>
                </c:pt>
                <c:pt idx="5">
                  <c:v>0.0152749490835031</c:v>
                </c:pt>
                <c:pt idx="6">
                  <c:v>0.000915521755848658</c:v>
                </c:pt>
              </c:numCache>
            </c:numRef>
          </c:val>
        </c:ser>
        <c:gapWidth val="150"/>
        <c:overlap val="100"/>
        <c:axId val="14054947"/>
        <c:axId val="77972142"/>
      </c:barChart>
      <c:catAx>
        <c:axId val="14054947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impact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72142"/>
        <c:crosses val="autoZero"/>
        <c:auto val="1"/>
        <c:lblAlgn val="ctr"/>
        <c:lblOffset val="100"/>
        <c:noMultiLvlLbl val="0"/>
      </c:catAx>
      <c:valAx>
        <c:axId val="77972142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impact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549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Contribution per impact category - Semi-extensive pond IMTA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"Feeds"</c:f>
              <c:strCache>
                <c:ptCount val="1"/>
                <c:pt idx="0">
                  <c:v>Feeds</c:v>
                </c:pt>
              </c:strCache>
            </c:strRef>
          </c:tx>
          <c:spPr>
            <a:solidFill>
              <a:srgbClr val="534ab7"/>
            </a:solidFill>
            <a:ln w="0">
              <a:solidFill>
                <a:srgbClr val="534ab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analysis'!$B$27:$H$27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analysis'!$B$28:$H$28</c:f>
              <c:numCache>
                <c:formatCode>0%</c:formatCode>
                <c:ptCount val="7"/>
                <c:pt idx="0">
                  <c:v>0.584529505582137</c:v>
                </c:pt>
                <c:pt idx="1">
                  <c:v>0.413677540975022</c:v>
                </c:pt>
                <c:pt idx="2">
                  <c:v>0.991594729668333</c:v>
                </c:pt>
                <c:pt idx="3">
                  <c:v>0.6</c:v>
                </c:pt>
                <c:pt idx="4">
                  <c:v>0.75</c:v>
                </c:pt>
                <c:pt idx="5">
                  <c:v>0.135135135135135</c:v>
                </c:pt>
                <c:pt idx="6">
                  <c:v>0.000121010960135532</c:v>
                </c:pt>
              </c:numCache>
            </c:numRef>
          </c:val>
        </c:ser>
        <c:ser>
          <c:idx val="1"/>
          <c:order val="1"/>
          <c:tx>
            <c:strRef>
              <c:f>"Rejects fish (uneaten feed, excretion)"</c:f>
              <c:strCache>
                <c:ptCount val="1"/>
                <c:pt idx="0">
                  <c:v>Rejects fish (uneaten feed, excretion)</c:v>
                </c:pt>
              </c:strCache>
            </c:strRef>
          </c:tx>
          <c:spPr>
            <a:solidFill>
              <a:srgbClr val="e24b4a"/>
            </a:solidFill>
            <a:ln w="0">
              <a:solidFill>
                <a:srgbClr val="e24b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analysis'!$B$27:$H$27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analysis'!$B$29:$H$29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-0.25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"Energy consumption"</c:f>
              <c:strCache>
                <c:ptCount val="1"/>
                <c:pt idx="0">
                  <c:v>Energy consumption</c:v>
                </c:pt>
              </c:strCache>
            </c:strRef>
          </c:tx>
          <c:spPr>
            <a:solidFill>
              <a:srgbClr val="ef9f27"/>
            </a:solidFill>
            <a:ln w="0">
              <a:solidFill>
                <a:srgbClr val="ef9f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analysis'!$B$27:$H$27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analysis'!$B$30:$H$30</c:f>
              <c:numCache>
                <c:formatCode>0%</c:formatCode>
                <c:ptCount val="7"/>
                <c:pt idx="0">
                  <c:v>0.00478468899521531</c:v>
                </c:pt>
                <c:pt idx="1">
                  <c:v>0.00429386814682935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"Transports"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analysis'!$B$27:$H$27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analysis'!$B$31:$H$31</c:f>
              <c:numCache>
                <c:formatCode>0%</c:formatCode>
                <c:ptCount val="7"/>
                <c:pt idx="0">
                  <c:v>0.165869218500797</c:v>
                </c:pt>
                <c:pt idx="1">
                  <c:v>0.183117767188564</c:v>
                </c:pt>
                <c:pt idx="2">
                  <c:v>0</c:v>
                </c:pt>
                <c:pt idx="3">
                  <c:v>0.2</c:v>
                </c:pt>
                <c:pt idx="4">
                  <c:v>0</c:v>
                </c:pt>
                <c:pt idx="5">
                  <c:v>0.000614250614250614</c:v>
                </c:pt>
                <c:pt idx="6">
                  <c:v>1.72872800193618E-005</c:v>
                </c:pt>
              </c:numCache>
            </c:numRef>
          </c:val>
        </c:ser>
        <c:ser>
          <c:idx val="4"/>
          <c:order val="4"/>
          <c:tx>
            <c:strRef>
              <c:f>"Equipment"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rgbClr val="5f5e5a"/>
            </a:solidFill>
            <a:ln w="0">
              <a:solidFill>
                <a:srgbClr val="5f5e5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analysis'!$B$27:$H$27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analysis'!$B$32:$H$32</c:f>
              <c:numCache>
                <c:formatCode>0%</c:formatCode>
                <c:ptCount val="7"/>
                <c:pt idx="0">
                  <c:v>0.181818181818182</c:v>
                </c:pt>
                <c:pt idx="1">
                  <c:v>0.327171807090119</c:v>
                </c:pt>
                <c:pt idx="2">
                  <c:v>0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  <c:pt idx="6">
                  <c:v>4.32182000484044E-005</c:v>
                </c:pt>
              </c:numCache>
            </c:numRef>
          </c:val>
        </c:ser>
        <c:ser>
          <c:idx val="5"/>
          <c:order val="5"/>
          <c:tx>
            <c:strRef>
              <c:f>"Direct activity (farm area, water mgmt.)"</c:f>
              <c:strCache>
                <c:ptCount val="1"/>
                <c:pt idx="0">
                  <c:v>Direct activity (farm area, water mgmt.)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analysis'!$B$27:$H$27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analysis'!$B$33:$H$33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0.858722358722359</c:v>
                </c:pt>
                <c:pt idx="6">
                  <c:v>0.607621961760537</c:v>
                </c:pt>
              </c:numCache>
            </c:numRef>
          </c:val>
        </c:ser>
        <c:ser>
          <c:idx val="6"/>
          <c:order val="6"/>
          <c:tx>
            <c:strRef>
              <c:f>"Water consumption"</c:f>
              <c:strCache>
                <c:ptCount val="1"/>
                <c:pt idx="0">
                  <c:v>Water consumption</c:v>
                </c:pt>
              </c:strCache>
            </c:strRef>
          </c:tx>
          <c:spPr>
            <a:solidFill>
              <a:srgbClr val="85b7eb"/>
            </a:solidFill>
            <a:ln w="0">
              <a:solidFill>
                <a:srgbClr val="85b7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analysis'!$B$27:$H$27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analysis'!$B$34:$H$34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0.391323514158282</c:v>
                </c:pt>
              </c:numCache>
            </c:numRef>
          </c:val>
        </c:ser>
        <c:ser>
          <c:idx val="7"/>
          <c:order val="7"/>
          <c:tx>
            <c:strRef>
              <c:f>"Other (buildings, vehicles, chemicals, fry)"</c:f>
              <c:strCache>
                <c:ptCount val="1"/>
                <c:pt idx="0">
                  <c:v>Other (buildings, vehicles, chemicals, fry)</c:v>
                </c:pt>
              </c:strCache>
            </c:strRef>
          </c:tx>
          <c:spPr>
            <a:solidFill>
              <a:srgbClr val="d3d1c7"/>
            </a:solidFill>
            <a:ln w="0">
              <a:solidFill>
                <a:srgbClr val="d3d1c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analysis'!$B$27:$H$27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analysis'!$B$35:$H$35</c:f>
              <c:numCache>
                <c:formatCode>0%</c:formatCode>
                <c:ptCount val="7"/>
                <c:pt idx="0">
                  <c:v>0.0629984051036683</c:v>
                </c:pt>
                <c:pt idx="1">
                  <c:v>0.0717390165994659</c:v>
                </c:pt>
                <c:pt idx="2">
                  <c:v>0.00840527033166742</c:v>
                </c:pt>
                <c:pt idx="3">
                  <c:v>0</c:v>
                </c:pt>
                <c:pt idx="4">
                  <c:v>0</c:v>
                </c:pt>
                <c:pt idx="5">
                  <c:v>0.00552825552825553</c:v>
                </c:pt>
                <c:pt idx="6">
                  <c:v>0.000873007640977769</c:v>
                </c:pt>
              </c:numCache>
            </c:numRef>
          </c:val>
        </c:ser>
        <c:gapWidth val="150"/>
        <c:overlap val="100"/>
        <c:axId val="11486083"/>
        <c:axId val="78357022"/>
      </c:barChart>
      <c:catAx>
        <c:axId val="11486083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impact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57022"/>
        <c:crosses val="autoZero"/>
        <c:auto val="1"/>
        <c:lblAlgn val="ctr"/>
        <c:lblOffset val="100"/>
        <c:noMultiLvlLbl val="0"/>
      </c:catAx>
      <c:valAx>
        <c:axId val="78357022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impact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860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Contribution per impact category - Semi-intensive fish polyculture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"Feeds"</c:f>
              <c:strCache>
                <c:ptCount val="1"/>
                <c:pt idx="0">
                  <c:v>Feeds</c:v>
                </c:pt>
              </c:strCache>
            </c:strRef>
          </c:tx>
          <c:spPr>
            <a:solidFill>
              <a:srgbClr val="534ab7"/>
            </a:solidFill>
            <a:ln w="0">
              <a:solidFill>
                <a:srgbClr val="534ab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analysis'!$B$46:$H$46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analysis'!$B$47:$H$47</c:f>
              <c:numCache>
                <c:formatCode>0%</c:formatCode>
                <c:ptCount val="7"/>
                <c:pt idx="0">
                  <c:v>0.660670194003527</c:v>
                </c:pt>
                <c:pt idx="1">
                  <c:v>0.252109672963152</c:v>
                </c:pt>
                <c:pt idx="2">
                  <c:v>0.999919080757404</c:v>
                </c:pt>
                <c:pt idx="3">
                  <c:v>0.227272727272727</c:v>
                </c:pt>
                <c:pt idx="4">
                  <c:v>0.133333333333333</c:v>
                </c:pt>
                <c:pt idx="5">
                  <c:v>0.798064787547329</c:v>
                </c:pt>
                <c:pt idx="6">
                  <c:v>0.00011195871776734</c:v>
                </c:pt>
              </c:numCache>
            </c:numRef>
          </c:val>
        </c:ser>
        <c:ser>
          <c:idx val="1"/>
          <c:order val="1"/>
          <c:tx>
            <c:strRef>
              <c:f>"Rejects fish (uneaten feed, excretion)"</c:f>
              <c:strCache>
                <c:ptCount val="1"/>
                <c:pt idx="0">
                  <c:v>Rejects fish (uneaten feed, excretion)</c:v>
                </c:pt>
              </c:strCache>
            </c:strRef>
          </c:tx>
          <c:spPr>
            <a:solidFill>
              <a:srgbClr val="e24b4a"/>
            </a:solidFill>
            <a:ln w="0">
              <a:solidFill>
                <a:srgbClr val="e24b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analysis'!$B$46:$H$46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analysis'!$B$48:$H$48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0.659090909090909</c:v>
                </c:pt>
                <c:pt idx="4">
                  <c:v>0.85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"Energy consumption"</c:f>
              <c:strCache>
                <c:ptCount val="1"/>
                <c:pt idx="0">
                  <c:v>Energy consumption</c:v>
                </c:pt>
              </c:strCache>
            </c:strRef>
          </c:tx>
          <c:spPr>
            <a:solidFill>
              <a:srgbClr val="ef9f27"/>
            </a:solidFill>
            <a:ln w="0">
              <a:solidFill>
                <a:srgbClr val="ef9f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analysis'!$B$46:$H$46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analysis'!$B$49:$H$49</c:f>
              <c:numCache>
                <c:formatCode>0%</c:formatCode>
                <c:ptCount val="7"/>
                <c:pt idx="0">
                  <c:v>0.167195767195767</c:v>
                </c:pt>
                <c:pt idx="1">
                  <c:v>0.65791765518484</c:v>
                </c:pt>
                <c:pt idx="2">
                  <c:v>0</c:v>
                </c:pt>
                <c:pt idx="3">
                  <c:v>0.0681818181818182</c:v>
                </c:pt>
                <c:pt idx="4">
                  <c:v>0.0166666666666667</c:v>
                </c:pt>
                <c:pt idx="5">
                  <c:v>0.00504838031131679</c:v>
                </c:pt>
                <c:pt idx="6">
                  <c:v>0.00013740388089628</c:v>
                </c:pt>
              </c:numCache>
            </c:numRef>
          </c:val>
        </c:ser>
        <c:ser>
          <c:idx val="3"/>
          <c:order val="3"/>
          <c:tx>
            <c:strRef>
              <c:f>"Transports"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analysis'!$B$46:$H$46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analysis'!$B$50:$H$50</c:f>
              <c:numCache>
                <c:formatCode>0%</c:formatCode>
                <c:ptCount val="7"/>
                <c:pt idx="0">
                  <c:v>0.1336860670194</c:v>
                </c:pt>
                <c:pt idx="1">
                  <c:v>0.0641560807631861</c:v>
                </c:pt>
                <c:pt idx="2">
                  <c:v>0</c:v>
                </c:pt>
                <c:pt idx="3">
                  <c:v>0.0454545454545455</c:v>
                </c:pt>
                <c:pt idx="4">
                  <c:v>0</c:v>
                </c:pt>
                <c:pt idx="5">
                  <c:v>0.00210349179638199</c:v>
                </c:pt>
                <c:pt idx="6">
                  <c:v>7.63354893868225E-006</c:v>
                </c:pt>
              </c:numCache>
            </c:numRef>
          </c:val>
        </c:ser>
        <c:ser>
          <c:idx val="4"/>
          <c:order val="4"/>
          <c:tx>
            <c:strRef>
              <c:f>"Equipment"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rgbClr val="5f5e5a"/>
            </a:solidFill>
            <a:ln w="0">
              <a:solidFill>
                <a:srgbClr val="5f5e5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analysis'!$B$46:$H$46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analysis'!$B$51:$H$51</c:f>
              <c:numCache>
                <c:formatCode>0%</c:formatCode>
                <c:ptCount val="7"/>
                <c:pt idx="0">
                  <c:v>0.00529100529100529</c:v>
                </c:pt>
                <c:pt idx="1">
                  <c:v>0.00555572239406589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tx>
            <c:strRef>
              <c:f>"Direct activity (farm area, water mgmt.)"</c:f>
              <c:strCache>
                <c:ptCount val="1"/>
                <c:pt idx="0">
                  <c:v>Direct activity (farm area, water mgmt.)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analysis'!$B$46:$H$46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analysis'!$B$52:$H$52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0.193521245267143</c:v>
                </c:pt>
                <c:pt idx="6">
                  <c:v>0.501440196233098</c:v>
                </c:pt>
              </c:numCache>
            </c:numRef>
          </c:val>
        </c:ser>
        <c:ser>
          <c:idx val="6"/>
          <c:order val="6"/>
          <c:tx>
            <c:strRef>
              <c:f>"Water consumption"</c:f>
              <c:strCache>
                <c:ptCount val="1"/>
                <c:pt idx="0">
                  <c:v>Water consumption</c:v>
                </c:pt>
              </c:strCache>
            </c:strRef>
          </c:tx>
          <c:spPr>
            <a:solidFill>
              <a:srgbClr val="85b7eb"/>
            </a:solidFill>
            <a:ln w="0">
              <a:solidFill>
                <a:srgbClr val="85b7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analysis'!$B$46:$H$46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analysis'!$B$53:$H$53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0.498290085037735</c:v>
                </c:pt>
              </c:numCache>
            </c:numRef>
          </c:val>
        </c:ser>
        <c:ser>
          <c:idx val="7"/>
          <c:order val="7"/>
          <c:tx>
            <c:strRef>
              <c:f>"Other (buildings, vehicles, chemicals, fry)"</c:f>
              <c:strCache>
                <c:ptCount val="1"/>
                <c:pt idx="0">
                  <c:v>Other (buildings, vehicles, chemicals, fry)</c:v>
                </c:pt>
              </c:strCache>
            </c:strRef>
          </c:tx>
          <c:spPr>
            <a:solidFill>
              <a:srgbClr val="d3d1c7"/>
            </a:solidFill>
            <a:ln w="0">
              <a:solidFill>
                <a:srgbClr val="d3d1c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analysis'!$B$46:$H$46</c:f>
              <c:multiLvlStrCache>
                <c:ptCount val="1"/>
                <c:lvl>
                  <c:pt idx="0">
                    <c:v>WD</c:v>
                  </c:pt>
                </c:lvl>
                <c:lvl>
                  <c:pt idx="0">
                    <c:v>LC</c:v>
                  </c:pt>
                </c:lvl>
                <c:lvl>
                  <c:pt idx="0">
                    <c:v>EP</c:v>
                  </c:pt>
                </c:lvl>
                <c:lvl>
                  <c:pt idx="0">
                    <c:v>AP</c:v>
                  </c:pt>
                </c:lvl>
                <c:lvl>
                  <c:pt idx="0">
                    <c:v>NPPU</c:v>
                  </c:pt>
                </c:lvl>
                <c:lvl>
                  <c:pt idx="0">
                    <c:v>TCED</c:v>
                  </c:pt>
                </c:lvl>
                <c:lvl>
                  <c:pt idx="0">
                    <c:v>GW</c:v>
                  </c:pt>
                </c:lvl>
              </c:multiLvlStrCache>
            </c:multiLvlStrRef>
          </c:cat>
          <c:val>
            <c:numRef>
              <c:f>'Contribution analysis'!$B$54:$H$54</c:f>
              <c:numCache>
                <c:formatCode>0%</c:formatCode>
                <c:ptCount val="7"/>
                <c:pt idx="0">
                  <c:v>0.0331569664902998</c:v>
                </c:pt>
                <c:pt idx="1">
                  <c:v>0.0202608686947556</c:v>
                </c:pt>
                <c:pt idx="2">
                  <c:v>8.09192425958893E-005</c:v>
                </c:pt>
                <c:pt idx="3">
                  <c:v>0</c:v>
                </c:pt>
                <c:pt idx="4">
                  <c:v>0</c:v>
                </c:pt>
                <c:pt idx="5">
                  <c:v>0.0012620950778292</c:v>
                </c:pt>
                <c:pt idx="6">
                  <c:v>1.27225815644704E-005</c:v>
                </c:pt>
              </c:numCache>
            </c:numRef>
          </c:val>
        </c:ser>
        <c:gapWidth val="150"/>
        <c:overlap val="100"/>
        <c:axId val="22862551"/>
        <c:axId val="27362417"/>
      </c:barChart>
      <c:catAx>
        <c:axId val="22862551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impact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62417"/>
        <c:crosses val="autoZero"/>
        <c:auto val="1"/>
        <c:lblAlgn val="ctr"/>
        <c:lblOffset val="100"/>
        <c:noMultiLvlLbl val="0"/>
      </c:catAx>
      <c:valAx>
        <c:axId val="2736241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impact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625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Global warming by process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"Feeds"</c:f>
              <c:strCache>
                <c:ptCount val="1"/>
                <c:pt idx="0">
                  <c:v>Feeds</c:v>
                </c:pt>
              </c:strCache>
            </c:strRef>
          </c:tx>
          <c:spPr>
            <a:solidFill>
              <a:srgbClr val="534ab7"/>
            </a:solidFill>
            <a:ln w="0">
              <a:solidFill>
                <a:srgbClr val="534ab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analysis'!$C$67:$E$67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analysis'!$C$68:$E$68</c:f>
              <c:numCache>
                <c:formatCode>#,##0</c:formatCode>
                <c:ptCount val="3"/>
                <c:pt idx="0">
                  <c:v>1549</c:v>
                </c:pt>
                <c:pt idx="1">
                  <c:v>733</c:v>
                </c:pt>
                <c:pt idx="2">
                  <c:v>1873</c:v>
                </c:pt>
              </c:numCache>
            </c:numRef>
          </c:val>
        </c:ser>
        <c:ser>
          <c:idx val="1"/>
          <c:order val="1"/>
          <c:tx>
            <c:strRef>
              <c:f>"Rejects fish (uneaten feed, excretion)"</c:f>
              <c:strCache>
                <c:ptCount val="1"/>
                <c:pt idx="0">
                  <c:v>Rejects fish (uneaten feed, excretion)</c:v>
                </c:pt>
              </c:strCache>
            </c:strRef>
          </c:tx>
          <c:spPr>
            <a:solidFill>
              <a:srgbClr val="e24b4a"/>
            </a:solidFill>
            <a:ln w="0">
              <a:solidFill>
                <a:srgbClr val="e24b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analysis'!$C$67:$E$67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analysis'!$C$69:$E$69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"Energy consumption"</c:f>
              <c:strCache>
                <c:ptCount val="1"/>
                <c:pt idx="0">
                  <c:v>Energy consumption</c:v>
                </c:pt>
              </c:strCache>
            </c:strRef>
          </c:tx>
          <c:spPr>
            <a:solidFill>
              <a:srgbClr val="ef9f27"/>
            </a:solidFill>
            <a:ln w="0">
              <a:solidFill>
                <a:srgbClr val="ef9f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analysis'!$C$67:$E$67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analysis'!$C$70:$E$70</c:f>
              <c:numCache>
                <c:formatCode>#,##0</c:formatCode>
                <c:ptCount val="3"/>
                <c:pt idx="0">
                  <c:v>330</c:v>
                </c:pt>
                <c:pt idx="1">
                  <c:v>6</c:v>
                </c:pt>
                <c:pt idx="2">
                  <c:v>474</c:v>
                </c:pt>
              </c:numCache>
            </c:numRef>
          </c:val>
        </c:ser>
        <c:ser>
          <c:idx val="3"/>
          <c:order val="3"/>
          <c:tx>
            <c:strRef>
              <c:f>"Transports"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analysis'!$C$67:$E$67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analysis'!$C$71:$E$71</c:f>
              <c:numCache>
                <c:formatCode>#,##0</c:formatCode>
                <c:ptCount val="3"/>
                <c:pt idx="0">
                  <c:v>325</c:v>
                </c:pt>
                <c:pt idx="1">
                  <c:v>208</c:v>
                </c:pt>
                <c:pt idx="2">
                  <c:v>379</c:v>
                </c:pt>
              </c:numCache>
            </c:numRef>
          </c:val>
        </c:ser>
        <c:ser>
          <c:idx val="4"/>
          <c:order val="4"/>
          <c:tx>
            <c:strRef>
              <c:f>"Equipment"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rgbClr val="5f5e5a"/>
            </a:solidFill>
            <a:ln w="0">
              <a:solidFill>
                <a:srgbClr val="5f5e5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analysis'!$C$67:$E$67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analysis'!$C$72:$E$72</c:f>
              <c:numCache>
                <c:formatCode>#,##0</c:formatCode>
                <c:ptCount val="3"/>
                <c:pt idx="0">
                  <c:v>386</c:v>
                </c:pt>
                <c:pt idx="1">
                  <c:v>228</c:v>
                </c:pt>
                <c:pt idx="2">
                  <c:v>15</c:v>
                </c:pt>
              </c:numCache>
            </c:numRef>
          </c:val>
        </c:ser>
        <c:ser>
          <c:idx val="5"/>
          <c:order val="5"/>
          <c:tx>
            <c:strRef>
              <c:f>"Direct activity (farm area, water mgmt.)"</c:f>
              <c:strCache>
                <c:ptCount val="1"/>
                <c:pt idx="0">
                  <c:v>Direct activity (farm area, water mgmt.)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analysis'!$C$67:$E$67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analysis'!$C$73:$E$73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"Water consumption"</c:f>
              <c:strCache>
                <c:ptCount val="1"/>
                <c:pt idx="0">
                  <c:v>Water consumption</c:v>
                </c:pt>
              </c:strCache>
            </c:strRef>
          </c:tx>
          <c:spPr>
            <a:solidFill>
              <a:srgbClr val="85b7eb"/>
            </a:solidFill>
            <a:ln w="0">
              <a:solidFill>
                <a:srgbClr val="85b7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analysis'!$C$67:$E$67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analysis'!$C$74:$E$74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"Other (buildings, vehicles, chemicals, fry)"</c:f>
              <c:strCache>
                <c:ptCount val="1"/>
                <c:pt idx="0">
                  <c:v>Other (buildings, vehicles, chemicals, fry)</c:v>
                </c:pt>
              </c:strCache>
            </c:strRef>
          </c:tx>
          <c:spPr>
            <a:solidFill>
              <a:srgbClr val="d3d1c7"/>
            </a:solidFill>
            <a:ln w="0">
              <a:solidFill>
                <a:srgbClr val="d3d1c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analysis'!$C$67:$E$67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analysis'!$C$75:$E$75</c:f>
              <c:numCache>
                <c:formatCode>#,##0</c:formatCode>
                <c:ptCount val="3"/>
                <c:pt idx="0">
                  <c:v>212</c:v>
                </c:pt>
                <c:pt idx="1">
                  <c:v>79</c:v>
                </c:pt>
                <c:pt idx="2">
                  <c:v>94</c:v>
                </c:pt>
              </c:numCache>
            </c:numRef>
          </c:val>
        </c:ser>
        <c:gapWidth val="150"/>
        <c:overlap val="100"/>
        <c:axId val="13903709"/>
        <c:axId val="86931048"/>
      </c:barChart>
      <c:catAx>
        <c:axId val="139037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31048"/>
        <c:crosses val="autoZero"/>
        <c:auto val="1"/>
        <c:lblAlgn val="ctr"/>
        <c:lblOffset val="100"/>
        <c:noMultiLvlLbl val="0"/>
      </c:catAx>
      <c:valAx>
        <c:axId val="869310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 CO2-eq per t fish + oyster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037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energy demand by process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"Feeds"</c:f>
              <c:strCache>
                <c:ptCount val="1"/>
                <c:pt idx="0">
                  <c:v>Feeds</c:v>
                </c:pt>
              </c:strCache>
            </c:strRef>
          </c:tx>
          <c:spPr>
            <a:solidFill>
              <a:srgbClr val="534ab7"/>
            </a:solidFill>
            <a:ln w="0">
              <a:solidFill>
                <a:srgbClr val="534ab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analysis'!$C$86:$E$86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analysis'!$C$87:$E$87</c:f>
              <c:numCache>
                <c:formatCode>#,##0</c:formatCode>
                <c:ptCount val="3"/>
                <c:pt idx="0">
                  <c:v>21028</c:v>
                </c:pt>
                <c:pt idx="1">
                  <c:v>7900</c:v>
                </c:pt>
                <c:pt idx="2">
                  <c:v>25185</c:v>
                </c:pt>
              </c:numCache>
            </c:numRef>
          </c:val>
        </c:ser>
        <c:ser>
          <c:idx val="1"/>
          <c:order val="1"/>
          <c:tx>
            <c:strRef>
              <c:f>"Rejects fish (uneaten feed, excretion)"</c:f>
              <c:strCache>
                <c:ptCount val="1"/>
                <c:pt idx="0">
                  <c:v>Rejects fish (uneaten feed, excretion)</c:v>
                </c:pt>
              </c:strCache>
            </c:strRef>
          </c:tx>
          <c:spPr>
            <a:solidFill>
              <a:srgbClr val="e24b4a"/>
            </a:solidFill>
            <a:ln w="0">
              <a:solidFill>
                <a:srgbClr val="e24b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analysis'!$C$86:$E$86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analysis'!$C$88:$E$88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"Energy consumption"</c:f>
              <c:strCache>
                <c:ptCount val="1"/>
                <c:pt idx="0">
                  <c:v>Energy consumption</c:v>
                </c:pt>
              </c:strCache>
            </c:strRef>
          </c:tx>
          <c:spPr>
            <a:solidFill>
              <a:srgbClr val="ef9f27"/>
            </a:solidFill>
            <a:ln w="0">
              <a:solidFill>
                <a:srgbClr val="ef9f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analysis'!$C$86:$E$86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analysis'!$C$89:$E$89</c:f>
              <c:numCache>
                <c:formatCode>#,##0</c:formatCode>
                <c:ptCount val="3"/>
                <c:pt idx="0">
                  <c:v>45724</c:v>
                </c:pt>
                <c:pt idx="1">
                  <c:v>82</c:v>
                </c:pt>
                <c:pt idx="2">
                  <c:v>65724</c:v>
                </c:pt>
              </c:numCache>
            </c:numRef>
          </c:val>
        </c:ser>
        <c:ser>
          <c:idx val="3"/>
          <c:order val="3"/>
          <c:tx>
            <c:strRef>
              <c:f>"Transports"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analysis'!$C$86:$E$86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analysis'!$C$90:$E$90</c:f>
              <c:numCache>
                <c:formatCode>#,##0</c:formatCode>
                <c:ptCount val="3"/>
                <c:pt idx="0">
                  <c:v>5483</c:v>
                </c:pt>
                <c:pt idx="1">
                  <c:v>3497</c:v>
                </c:pt>
                <c:pt idx="2">
                  <c:v>6409</c:v>
                </c:pt>
              </c:numCache>
            </c:numRef>
          </c:val>
        </c:ser>
        <c:ser>
          <c:idx val="4"/>
          <c:order val="4"/>
          <c:tx>
            <c:strRef>
              <c:f>"Equipment"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rgbClr val="5f5e5a"/>
            </a:solidFill>
            <a:ln w="0">
              <a:solidFill>
                <a:srgbClr val="5f5e5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analysis'!$C$86:$E$86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analysis'!$C$91:$E$91</c:f>
              <c:numCache>
                <c:formatCode>#,##0</c:formatCode>
                <c:ptCount val="3"/>
                <c:pt idx="0">
                  <c:v>14023</c:v>
                </c:pt>
                <c:pt idx="1">
                  <c:v>6248</c:v>
                </c:pt>
                <c:pt idx="2">
                  <c:v>555</c:v>
                </c:pt>
              </c:numCache>
            </c:numRef>
          </c:val>
        </c:ser>
        <c:ser>
          <c:idx val="5"/>
          <c:order val="5"/>
          <c:tx>
            <c:strRef>
              <c:f>"Direct activity (farm area, water mgmt.)"</c:f>
              <c:strCache>
                <c:ptCount val="1"/>
                <c:pt idx="0">
                  <c:v>Direct activity (farm area, water mgmt.)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analysis'!$C$86:$E$86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analysis'!$C$92:$E$92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"Water consumption"</c:f>
              <c:strCache>
                <c:ptCount val="1"/>
                <c:pt idx="0">
                  <c:v>Water consumption</c:v>
                </c:pt>
              </c:strCache>
            </c:strRef>
          </c:tx>
          <c:spPr>
            <a:solidFill>
              <a:srgbClr val="85b7eb"/>
            </a:solidFill>
            <a:ln w="0">
              <a:solidFill>
                <a:srgbClr val="85b7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analysis'!$C$86:$E$86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analysis'!$C$93:$E$93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"Other (buildings, vehicles, chemicals, fry)"</c:f>
              <c:strCache>
                <c:ptCount val="1"/>
                <c:pt idx="0">
                  <c:v>Other (buildings, vehicles, chemicals, fry)</c:v>
                </c:pt>
              </c:strCache>
            </c:strRef>
          </c:tx>
          <c:spPr>
            <a:solidFill>
              <a:srgbClr val="d3d1c7"/>
            </a:solidFill>
            <a:ln w="0">
              <a:solidFill>
                <a:srgbClr val="d3d1c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analysis'!$C$86:$E$86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analysis'!$C$94:$E$94</c:f>
              <c:numCache>
                <c:formatCode>#,##0</c:formatCode>
                <c:ptCount val="3"/>
                <c:pt idx="0">
                  <c:v>3870</c:v>
                </c:pt>
                <c:pt idx="1">
                  <c:v>1370</c:v>
                </c:pt>
                <c:pt idx="2">
                  <c:v>2024</c:v>
                </c:pt>
              </c:numCache>
            </c:numRef>
          </c:val>
        </c:ser>
        <c:gapWidth val="150"/>
        <c:overlap val="100"/>
        <c:axId val="71167226"/>
        <c:axId val="29404722"/>
      </c:barChart>
      <c:catAx>
        <c:axId val="71167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04722"/>
        <c:crosses val="autoZero"/>
        <c:auto val="1"/>
        <c:lblAlgn val="ctr"/>
        <c:lblOffset val="100"/>
        <c:noMultiLvlLbl val="0"/>
      </c:catAx>
      <c:valAx>
        <c:axId val="29404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MJ-eq per t fish + oyster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67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primary production use by process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"Feeds"</c:f>
              <c:strCache>
                <c:ptCount val="1"/>
                <c:pt idx="0">
                  <c:v>Feeds</c:v>
                </c:pt>
              </c:strCache>
            </c:strRef>
          </c:tx>
          <c:spPr>
            <a:solidFill>
              <a:srgbClr val="534ab7"/>
            </a:solidFill>
            <a:ln w="0">
              <a:solidFill>
                <a:srgbClr val="534ab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analysis'!$C$105:$E$105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analysis'!$C$106:$E$106</c:f>
              <c:numCache>
                <c:formatCode>#,##0</c:formatCode>
                <c:ptCount val="3"/>
                <c:pt idx="0">
                  <c:v>10423</c:v>
                </c:pt>
                <c:pt idx="1">
                  <c:v>4365</c:v>
                </c:pt>
                <c:pt idx="2">
                  <c:v>12357</c:v>
                </c:pt>
              </c:numCache>
            </c:numRef>
          </c:val>
        </c:ser>
        <c:ser>
          <c:idx val="1"/>
          <c:order val="1"/>
          <c:tx>
            <c:strRef>
              <c:f>"Rejects fish (uneaten feed, excretion)"</c:f>
              <c:strCache>
                <c:ptCount val="1"/>
                <c:pt idx="0">
                  <c:v>Rejects fish (uneaten feed, excretion)</c:v>
                </c:pt>
              </c:strCache>
            </c:strRef>
          </c:tx>
          <c:spPr>
            <a:solidFill>
              <a:srgbClr val="e24b4a"/>
            </a:solidFill>
            <a:ln w="0">
              <a:solidFill>
                <a:srgbClr val="e24b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analysis'!$C$105:$E$105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analysis'!$C$107:$E$107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"Energy consumption"</c:f>
              <c:strCache>
                <c:ptCount val="1"/>
                <c:pt idx="0">
                  <c:v>Energy consumption</c:v>
                </c:pt>
              </c:strCache>
            </c:strRef>
          </c:tx>
          <c:spPr>
            <a:solidFill>
              <a:srgbClr val="ef9f27"/>
            </a:solidFill>
            <a:ln w="0">
              <a:solidFill>
                <a:srgbClr val="ef9f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analysis'!$C$105:$E$105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analysis'!$C$108:$E$108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"Transports"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analysis'!$C$105:$E$105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analysis'!$C$109:$E$109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4"/>
          <c:order val="4"/>
          <c:tx>
            <c:strRef>
              <c:f>"Equipment"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rgbClr val="5f5e5a"/>
            </a:solidFill>
            <a:ln w="0">
              <a:solidFill>
                <a:srgbClr val="5f5e5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analysis'!$C$105:$E$105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analysis'!$C$110:$E$110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"Direct activity (farm area, water mgmt.)"</c:f>
              <c:strCache>
                <c:ptCount val="1"/>
                <c:pt idx="0">
                  <c:v>Direct activity (farm area, water mgmt.)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analysis'!$C$105:$E$105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analysis'!$C$111:$E$111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"Water consumption"</c:f>
              <c:strCache>
                <c:ptCount val="1"/>
                <c:pt idx="0">
                  <c:v>Water consumption</c:v>
                </c:pt>
              </c:strCache>
            </c:strRef>
          </c:tx>
          <c:spPr>
            <a:solidFill>
              <a:srgbClr val="85b7eb"/>
            </a:solidFill>
            <a:ln w="0">
              <a:solidFill>
                <a:srgbClr val="85b7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analysis'!$C$105:$E$105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analysis'!$C$112:$E$112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"Other (buildings, vehicles, chemicals, fry)"</c:f>
              <c:strCache>
                <c:ptCount val="1"/>
                <c:pt idx="0">
                  <c:v>Other (buildings, vehicles, chemicals, fry)</c:v>
                </c:pt>
              </c:strCache>
            </c:strRef>
          </c:tx>
          <c:spPr>
            <a:solidFill>
              <a:srgbClr val="d3d1c7"/>
            </a:solidFill>
            <a:ln w="0">
              <a:solidFill>
                <a:srgbClr val="d3d1c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analysis'!$C$105:$E$105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analysis'!$C$113:$E$113</c:f>
              <c:numCache>
                <c:formatCode>#,##0</c:formatCode>
                <c:ptCount val="3"/>
                <c:pt idx="0">
                  <c:v>55</c:v>
                </c:pt>
                <c:pt idx="1">
                  <c:v>37</c:v>
                </c:pt>
                <c:pt idx="2">
                  <c:v>1</c:v>
                </c:pt>
              </c:numCache>
            </c:numRef>
          </c:val>
        </c:ser>
        <c:gapWidth val="150"/>
        <c:overlap val="100"/>
        <c:axId val="95530969"/>
        <c:axId val="38892050"/>
      </c:barChart>
      <c:catAx>
        <c:axId val="955309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92050"/>
        <c:crosses val="autoZero"/>
        <c:auto val="1"/>
        <c:lblAlgn val="ctr"/>
        <c:lblOffset val="100"/>
        <c:noMultiLvlLbl val="0"/>
      </c:catAx>
      <c:valAx>
        <c:axId val="388920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 C per t fish + oyster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309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Acidification by process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"Feeds"</c:f>
              <c:strCache>
                <c:ptCount val="1"/>
                <c:pt idx="0">
                  <c:v>Feeds</c:v>
                </c:pt>
              </c:strCache>
            </c:strRef>
          </c:tx>
          <c:spPr>
            <a:solidFill>
              <a:srgbClr val="534ab7"/>
            </a:solidFill>
            <a:ln w="0">
              <a:solidFill>
                <a:srgbClr val="534ab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analysis'!$C$124:$E$124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analysis'!$C$125:$E$125</c:f>
              <c:numCache>
                <c:formatCode>#,##0</c:formatCode>
                <c:ptCount val="3"/>
                <c:pt idx="0">
                  <c:v>8</c:v>
                </c:pt>
                <c:pt idx="1">
                  <c:v>3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"Rejects fish (uneaten feed, excretion)"</c:f>
              <c:strCache>
                <c:ptCount val="1"/>
                <c:pt idx="0">
                  <c:v>Rejects fish (uneaten feed, excretion)</c:v>
                </c:pt>
              </c:strCache>
            </c:strRef>
          </c:tx>
          <c:spPr>
            <a:solidFill>
              <a:srgbClr val="e24b4a"/>
            </a:solidFill>
            <a:ln w="0">
              <a:solidFill>
                <a:srgbClr val="e24b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analysis'!$C$124:$E$124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analysis'!$C$126:$E$126</c:f>
              <c:numCache>
                <c:formatCode>#,##0</c:formatCode>
                <c:ptCount val="3"/>
                <c:pt idx="0">
                  <c:v>25</c:v>
                </c:pt>
                <c:pt idx="1">
                  <c:v>0</c:v>
                </c:pt>
                <c:pt idx="2">
                  <c:v>29</c:v>
                </c:pt>
              </c:numCache>
            </c:numRef>
          </c:val>
        </c:ser>
        <c:ser>
          <c:idx val="2"/>
          <c:order val="2"/>
          <c:tx>
            <c:strRef>
              <c:f>"Energy consumption"</c:f>
              <c:strCache>
                <c:ptCount val="1"/>
                <c:pt idx="0">
                  <c:v>Energy consumption</c:v>
                </c:pt>
              </c:strCache>
            </c:strRef>
          </c:tx>
          <c:spPr>
            <a:solidFill>
              <a:srgbClr val="ef9f27"/>
            </a:solidFill>
            <a:ln w="0">
              <a:solidFill>
                <a:srgbClr val="ef9f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analysis'!$C$124:$E$124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analysis'!$C$127:$E$127</c:f>
              <c:numCache>
                <c:formatCode>#,##0</c:formatCode>
                <c:ptCount val="3"/>
                <c:pt idx="0">
                  <c:v>2</c:v>
                </c:pt>
                <c:pt idx="1">
                  <c:v>0</c:v>
                </c:pt>
                <c:pt idx="2">
                  <c:v>3</c:v>
                </c:pt>
              </c:numCache>
            </c:numRef>
          </c:val>
        </c:ser>
        <c:ser>
          <c:idx val="3"/>
          <c:order val="3"/>
          <c:tx>
            <c:strRef>
              <c:f>"Transports"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analysis'!$C$124:$E$124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analysis'!$C$128:$E$128</c:f>
              <c:numCache>
                <c:formatCode>#,##0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</c:ser>
        <c:ser>
          <c:idx val="4"/>
          <c:order val="4"/>
          <c:tx>
            <c:strRef>
              <c:f>"Equipment"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rgbClr val="5f5e5a"/>
            </a:solidFill>
            <a:ln w="0">
              <a:solidFill>
                <a:srgbClr val="5f5e5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analysis'!$C$124:$E$124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analysis'!$C$129:$E$129</c:f>
              <c:numCache>
                <c:formatCode>#,##0</c:formatCode>
                <c:ptCount val="3"/>
                <c:pt idx="0">
                  <c:v>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"Direct activity (farm area, water mgmt.)"</c:f>
              <c:strCache>
                <c:ptCount val="1"/>
                <c:pt idx="0">
                  <c:v>Direct activity (farm area, water mgmt.)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analysis'!$C$124:$E$124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analysis'!$C$130:$E$130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"Water consumption"</c:f>
              <c:strCache>
                <c:ptCount val="1"/>
                <c:pt idx="0">
                  <c:v>Water consumption</c:v>
                </c:pt>
              </c:strCache>
            </c:strRef>
          </c:tx>
          <c:spPr>
            <a:solidFill>
              <a:srgbClr val="85b7eb"/>
            </a:solidFill>
            <a:ln w="0">
              <a:solidFill>
                <a:srgbClr val="85b7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analysis'!$C$124:$E$124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analysis'!$C$131:$E$131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"Other (buildings, vehicles, chemicals, fry)"</c:f>
              <c:strCache>
                <c:ptCount val="1"/>
                <c:pt idx="0">
                  <c:v>Other (buildings, vehicles, chemicals, fry)</c:v>
                </c:pt>
              </c:strCache>
            </c:strRef>
          </c:tx>
          <c:spPr>
            <a:solidFill>
              <a:srgbClr val="d3d1c7"/>
            </a:solidFill>
            <a:ln w="0">
              <a:solidFill>
                <a:srgbClr val="d3d1c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analysis'!$C$124:$E$124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analysis'!$C$132:$E$132</c:f>
              <c:numCache>
                <c:formatCode>#,##0</c:formatCode>
                <c:ptCount val="3"/>
                <c:pt idx="0">
                  <c:v>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100"/>
        <c:axId val="39658494"/>
        <c:axId val="83265790"/>
      </c:barChart>
      <c:catAx>
        <c:axId val="396584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65790"/>
        <c:crosses val="autoZero"/>
        <c:auto val="1"/>
        <c:lblAlgn val="ctr"/>
        <c:lblOffset val="100"/>
        <c:noMultiLvlLbl val="0"/>
      </c:catAx>
      <c:valAx>
        <c:axId val="83265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 SO2-eq per t fish + oyster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584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Eutrophication by process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"Feeds"</c:f>
              <c:strCache>
                <c:ptCount val="1"/>
                <c:pt idx="0">
                  <c:v>Feeds</c:v>
                </c:pt>
              </c:strCache>
            </c:strRef>
          </c:tx>
          <c:spPr>
            <a:solidFill>
              <a:srgbClr val="534ab7"/>
            </a:solidFill>
            <a:ln w="0">
              <a:solidFill>
                <a:srgbClr val="534ab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analysis'!$C$143:$E$143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analysis'!$C$144:$E$144</c:f>
              <c:numCache>
                <c:formatCode>#,##0</c:formatCode>
                <c:ptCount val="3"/>
                <c:pt idx="0">
                  <c:v>8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</c:ser>
        <c:ser>
          <c:idx val="1"/>
          <c:order val="1"/>
          <c:tx>
            <c:strRef>
              <c:f>"Rejects fish (uneaten feed, excretion)"</c:f>
              <c:strCache>
                <c:ptCount val="1"/>
                <c:pt idx="0">
                  <c:v>Rejects fish (uneaten feed, excretion)</c:v>
                </c:pt>
              </c:strCache>
            </c:strRef>
          </c:tx>
          <c:spPr>
            <a:solidFill>
              <a:srgbClr val="e24b4a"/>
            </a:solidFill>
            <a:ln w="0">
              <a:solidFill>
                <a:srgbClr val="e24b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analysis'!$C$143:$E$143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analysis'!$C$145:$E$145</c:f>
              <c:numCache>
                <c:formatCode>#,##0</c:formatCode>
                <c:ptCount val="3"/>
                <c:pt idx="0">
                  <c:v>16</c:v>
                </c:pt>
                <c:pt idx="1">
                  <c:v>-1</c:v>
                </c:pt>
                <c:pt idx="2">
                  <c:v>51</c:v>
                </c:pt>
              </c:numCache>
            </c:numRef>
          </c:val>
        </c:ser>
        <c:ser>
          <c:idx val="2"/>
          <c:order val="2"/>
          <c:tx>
            <c:strRef>
              <c:f>"Energy consumption"</c:f>
              <c:strCache>
                <c:ptCount val="1"/>
                <c:pt idx="0">
                  <c:v>Energy consumption</c:v>
                </c:pt>
              </c:strCache>
            </c:strRef>
          </c:tx>
          <c:spPr>
            <a:solidFill>
              <a:srgbClr val="ef9f27"/>
            </a:solidFill>
            <a:ln w="0">
              <a:solidFill>
                <a:srgbClr val="ef9f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analysis'!$C$143:$E$143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analysis'!$C$146:$E$146</c:f>
              <c:numCache>
                <c:formatCode>#,##0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ser>
          <c:idx val="3"/>
          <c:order val="3"/>
          <c:tx>
            <c:strRef>
              <c:f>"Transports"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analysis'!$C$143:$E$143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analysis'!$C$147:$E$147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4"/>
          <c:order val="4"/>
          <c:tx>
            <c:strRef>
              <c:f>"Equipment"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rgbClr val="5f5e5a"/>
            </a:solidFill>
            <a:ln w="0">
              <a:solidFill>
                <a:srgbClr val="5f5e5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analysis'!$C$143:$E$143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analysis'!$C$148:$E$148</c:f>
              <c:numCache>
                <c:formatCode>#,##0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"Direct activity (farm area, water mgmt.)"</c:f>
              <c:strCache>
                <c:ptCount val="1"/>
                <c:pt idx="0">
                  <c:v>Direct activity (farm area, water mgmt.)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analysis'!$C$143:$E$143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analysis'!$C$149:$E$149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"Water consumption"</c:f>
              <c:strCache>
                <c:ptCount val="1"/>
                <c:pt idx="0">
                  <c:v>Water consumption</c:v>
                </c:pt>
              </c:strCache>
            </c:strRef>
          </c:tx>
          <c:spPr>
            <a:solidFill>
              <a:srgbClr val="85b7eb"/>
            </a:solidFill>
            <a:ln w="0">
              <a:solidFill>
                <a:srgbClr val="85b7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analysis'!$C$143:$E$143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analysis'!$C$150:$E$150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"Other (buildings, vehicles, chemicals, fry)"</c:f>
              <c:strCache>
                <c:ptCount val="1"/>
                <c:pt idx="0">
                  <c:v>Other (buildings, vehicles, chemicals, fry)</c:v>
                </c:pt>
              </c:strCache>
            </c:strRef>
          </c:tx>
          <c:spPr>
            <a:solidFill>
              <a:srgbClr val="d3d1c7"/>
            </a:solidFill>
            <a:ln w="0">
              <a:solidFill>
                <a:srgbClr val="d3d1c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analysis'!$C$143:$E$143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analysis'!$C$151:$E$151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100"/>
        <c:axId val="62742745"/>
        <c:axId val="52793285"/>
      </c:barChart>
      <c:catAx>
        <c:axId val="627427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93285"/>
        <c:crosses val="autoZero"/>
        <c:auto val="1"/>
        <c:lblAlgn val="ctr"/>
        <c:lblOffset val="100"/>
        <c:noMultiLvlLbl val="0"/>
      </c:catAx>
      <c:valAx>
        <c:axId val="52793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 PO4-eq per t fish + oyster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427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Land competition by process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"Feeds"</c:f>
              <c:strCache>
                <c:ptCount val="1"/>
                <c:pt idx="0">
                  <c:v>Feeds</c:v>
                </c:pt>
              </c:strCache>
            </c:strRef>
          </c:tx>
          <c:spPr>
            <a:solidFill>
              <a:srgbClr val="534ab7"/>
            </a:solidFill>
            <a:ln w="0">
              <a:solidFill>
                <a:srgbClr val="534ab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analysis'!$C$162:$E$162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analysis'!$C$163:$E$163</c:f>
              <c:numCache>
                <c:formatCode>#,##0</c:formatCode>
                <c:ptCount val="3"/>
                <c:pt idx="0">
                  <c:v>1942</c:v>
                </c:pt>
                <c:pt idx="1">
                  <c:v>660</c:v>
                </c:pt>
                <c:pt idx="2">
                  <c:v>1897</c:v>
                </c:pt>
              </c:numCache>
            </c:numRef>
          </c:val>
        </c:ser>
        <c:ser>
          <c:idx val="1"/>
          <c:order val="1"/>
          <c:tx>
            <c:strRef>
              <c:f>"Rejects fish (uneaten feed, excretion)"</c:f>
              <c:strCache>
                <c:ptCount val="1"/>
                <c:pt idx="0">
                  <c:v>Rejects fish (uneaten feed, excretion)</c:v>
                </c:pt>
              </c:strCache>
            </c:strRef>
          </c:tx>
          <c:spPr>
            <a:solidFill>
              <a:srgbClr val="e24b4a"/>
            </a:solidFill>
            <a:ln w="0">
              <a:solidFill>
                <a:srgbClr val="e24b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analysis'!$C$162:$E$162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analysis'!$C$164:$E$164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"Energy consumption"</c:f>
              <c:strCache>
                <c:ptCount val="1"/>
                <c:pt idx="0">
                  <c:v>Energy consumption</c:v>
                </c:pt>
              </c:strCache>
            </c:strRef>
          </c:tx>
          <c:spPr>
            <a:solidFill>
              <a:srgbClr val="ef9f27"/>
            </a:solidFill>
            <a:ln w="0">
              <a:solidFill>
                <a:srgbClr val="ef9f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analysis'!$C$162:$E$162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analysis'!$C$165:$E$165</c:f>
              <c:numCache>
                <c:formatCode>#,##0</c:formatCode>
                <c:ptCount val="3"/>
                <c:pt idx="0">
                  <c:v>8</c:v>
                </c:pt>
                <c:pt idx="1">
                  <c:v>0</c:v>
                </c:pt>
                <c:pt idx="2">
                  <c:v>12</c:v>
                </c:pt>
              </c:numCache>
            </c:numRef>
          </c:val>
        </c:ser>
        <c:ser>
          <c:idx val="3"/>
          <c:order val="3"/>
          <c:tx>
            <c:strRef>
              <c:f>"Transports"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analysis'!$C$162:$E$162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analysis'!$C$166:$E$166</c:f>
              <c:numCache>
                <c:formatCode>#,##0</c:formatCode>
                <c:ptCount val="3"/>
                <c:pt idx="0">
                  <c:v>4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"Equipment"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rgbClr val="5f5e5a"/>
            </a:solidFill>
            <a:ln w="0">
              <a:solidFill>
                <a:srgbClr val="5f5e5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analysis'!$C$162:$E$162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analysis'!$C$167:$E$167</c:f>
              <c:numCache>
                <c:formatCode>#,##0</c:formatCode>
                <c:ptCount val="3"/>
                <c:pt idx="0">
                  <c:v>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"Direct activity (farm area, water mgmt.)"</c:f>
              <c:strCache>
                <c:ptCount val="1"/>
                <c:pt idx="0">
                  <c:v>Direct activity (farm area, water mgmt.)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analysis'!$C$162:$E$162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analysis'!$C$168:$E$168</c:f>
              <c:numCache>
                <c:formatCode>#,##0</c:formatCode>
                <c:ptCount val="3"/>
                <c:pt idx="0">
                  <c:v>941</c:v>
                </c:pt>
                <c:pt idx="1">
                  <c:v>4194</c:v>
                </c:pt>
                <c:pt idx="2">
                  <c:v>460</c:v>
                </c:pt>
              </c:numCache>
            </c:numRef>
          </c:val>
        </c:ser>
        <c:ser>
          <c:idx val="6"/>
          <c:order val="6"/>
          <c:tx>
            <c:strRef>
              <c:f>"Water consumption"</c:f>
              <c:strCache>
                <c:ptCount val="1"/>
                <c:pt idx="0">
                  <c:v>Water consumption</c:v>
                </c:pt>
              </c:strCache>
            </c:strRef>
          </c:tx>
          <c:spPr>
            <a:solidFill>
              <a:srgbClr val="85b7eb"/>
            </a:solidFill>
            <a:ln w="0">
              <a:solidFill>
                <a:srgbClr val="85b7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analysis'!$C$162:$E$162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analysis'!$C$169:$E$169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"Other (buildings, vehicles, chemicals, fry)"</c:f>
              <c:strCache>
                <c:ptCount val="1"/>
                <c:pt idx="0">
                  <c:v>Other (buildings, vehicles, chemicals, fry)</c:v>
                </c:pt>
              </c:strCache>
            </c:strRef>
          </c:tx>
          <c:spPr>
            <a:solidFill>
              <a:srgbClr val="d3d1c7"/>
            </a:solidFill>
            <a:ln w="0">
              <a:solidFill>
                <a:srgbClr val="d3d1c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analysis'!$C$162:$E$162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analysis'!$C$170:$E$170</c:f>
              <c:numCache>
                <c:formatCode>#,##0</c:formatCode>
                <c:ptCount val="3"/>
                <c:pt idx="0">
                  <c:v>45</c:v>
                </c:pt>
                <c:pt idx="1">
                  <c:v>27</c:v>
                </c:pt>
                <c:pt idx="2">
                  <c:v>3</c:v>
                </c:pt>
              </c:numCache>
            </c:numRef>
          </c:val>
        </c:ser>
        <c:gapWidth val="150"/>
        <c:overlap val="100"/>
        <c:axId val="87361602"/>
        <c:axId val="43438777"/>
      </c:barChart>
      <c:catAx>
        <c:axId val="873616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38777"/>
        <c:crosses val="autoZero"/>
        <c:auto val="1"/>
        <c:lblAlgn val="ctr"/>
        <c:lblOffset val="100"/>
        <c:noMultiLvlLbl val="0"/>
      </c:catAx>
      <c:valAx>
        <c:axId val="434387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m2a per t fish + oyster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616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Water dependence by process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"Feeds"</c:f>
              <c:strCache>
                <c:ptCount val="1"/>
                <c:pt idx="0">
                  <c:v>Feeds</c:v>
                </c:pt>
              </c:strCache>
            </c:strRef>
          </c:tx>
          <c:spPr>
            <a:solidFill>
              <a:srgbClr val="534ab7"/>
            </a:solidFill>
            <a:ln w="0">
              <a:solidFill>
                <a:srgbClr val="534ab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analysis'!$C$181:$E$181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analysis'!$C$182:$E$182</c:f>
              <c:numCache>
                <c:formatCode>#,##0</c:formatCode>
                <c:ptCount val="3"/>
                <c:pt idx="0">
                  <c:v>47</c:v>
                </c:pt>
                <c:pt idx="1">
                  <c:v>14</c:v>
                </c:pt>
                <c:pt idx="2">
                  <c:v>44</c:v>
                </c:pt>
              </c:numCache>
            </c:numRef>
          </c:val>
        </c:ser>
        <c:ser>
          <c:idx val="1"/>
          <c:order val="1"/>
          <c:tx>
            <c:strRef>
              <c:f>"Rejects fish (uneaten feed, excretion)"</c:f>
              <c:strCache>
                <c:ptCount val="1"/>
                <c:pt idx="0">
                  <c:v>Rejects fish (uneaten feed, excretion)</c:v>
                </c:pt>
              </c:strCache>
            </c:strRef>
          </c:tx>
          <c:spPr>
            <a:solidFill>
              <a:srgbClr val="e24b4a"/>
            </a:solidFill>
            <a:ln w="0">
              <a:solidFill>
                <a:srgbClr val="e24b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analysis'!$C$181:$E$181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analysis'!$C$183:$E$183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"Energy consumption"</c:f>
              <c:strCache>
                <c:ptCount val="1"/>
                <c:pt idx="0">
                  <c:v>Energy consumption</c:v>
                </c:pt>
              </c:strCache>
            </c:strRef>
          </c:tx>
          <c:spPr>
            <a:solidFill>
              <a:srgbClr val="ef9f27"/>
            </a:solidFill>
            <a:ln w="0">
              <a:solidFill>
                <a:srgbClr val="ef9f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analysis'!$C$181:$E$181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analysis'!$C$184:$E$184</c:f>
              <c:numCache>
                <c:formatCode>#,##0</c:formatCode>
                <c:ptCount val="3"/>
                <c:pt idx="0">
                  <c:v>38</c:v>
                </c:pt>
                <c:pt idx="1">
                  <c:v>0</c:v>
                </c:pt>
                <c:pt idx="2">
                  <c:v>54</c:v>
                </c:pt>
              </c:numCache>
            </c:numRef>
          </c:val>
        </c:ser>
        <c:ser>
          <c:idx val="3"/>
          <c:order val="3"/>
          <c:tx>
            <c:strRef>
              <c:f>"Transports"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analysis'!$C$181:$E$181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analysis'!$C$185:$E$185</c:f>
              <c:numCache>
                <c:formatCode>#,##0</c:formatCode>
                <c:ptCount val="3"/>
                <c:pt idx="0">
                  <c:v>3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ser>
          <c:idx val="4"/>
          <c:order val="4"/>
          <c:tx>
            <c:strRef>
              <c:f>"Equipment"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rgbClr val="5f5e5a"/>
            </a:solidFill>
            <a:ln w="0">
              <a:solidFill>
                <a:srgbClr val="5f5e5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analysis'!$C$181:$E$181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analysis'!$C$186:$E$186</c:f>
              <c:numCache>
                <c:formatCode>#,##0</c:formatCode>
                <c:ptCount val="3"/>
                <c:pt idx="0">
                  <c:v>6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"Direct activity (farm area, water mgmt.)"</c:f>
              <c:strCache>
                <c:ptCount val="1"/>
                <c:pt idx="0">
                  <c:v>Direct activity (farm area, water mgmt.)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analysis'!$C$181:$E$181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analysis'!$C$187:$E$187</c:f>
              <c:numCache>
                <c:formatCode>#,##0</c:formatCode>
                <c:ptCount val="3"/>
                <c:pt idx="0">
                  <c:v>81336</c:v>
                </c:pt>
                <c:pt idx="1">
                  <c:v>70297</c:v>
                </c:pt>
                <c:pt idx="2">
                  <c:v>197067</c:v>
                </c:pt>
              </c:numCache>
            </c:numRef>
          </c:val>
        </c:ser>
        <c:ser>
          <c:idx val="6"/>
          <c:order val="6"/>
          <c:tx>
            <c:strRef>
              <c:f>"Water consumption"</c:f>
              <c:strCache>
                <c:ptCount val="1"/>
                <c:pt idx="0">
                  <c:v>Water consumption</c:v>
                </c:pt>
              </c:strCache>
            </c:strRef>
          </c:tx>
          <c:spPr>
            <a:solidFill>
              <a:srgbClr val="85b7eb"/>
            </a:solidFill>
            <a:ln w="0">
              <a:solidFill>
                <a:srgbClr val="85b7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analysis'!$C$181:$E$181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analysis'!$C$188:$E$188</c:f>
              <c:numCache>
                <c:formatCode>#,##0</c:formatCode>
                <c:ptCount val="3"/>
                <c:pt idx="0">
                  <c:v>82261</c:v>
                </c:pt>
                <c:pt idx="1">
                  <c:v>45273</c:v>
                </c:pt>
                <c:pt idx="2">
                  <c:v>195829</c:v>
                </c:pt>
              </c:numCache>
            </c:numRef>
          </c:val>
        </c:ser>
        <c:ser>
          <c:idx val="7"/>
          <c:order val="7"/>
          <c:tx>
            <c:strRef>
              <c:f>"Other (buildings, vehicles, chemicals, fry)"</c:f>
              <c:strCache>
                <c:ptCount val="1"/>
                <c:pt idx="0">
                  <c:v>Other (buildings, vehicles, chemicals, fry)</c:v>
                </c:pt>
              </c:strCache>
            </c:strRef>
          </c:tx>
          <c:spPr>
            <a:solidFill>
              <a:srgbClr val="d3d1c7"/>
            </a:solidFill>
            <a:ln w="0">
              <a:solidFill>
                <a:srgbClr val="d3d1c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'Contribution analysis'!$C$181:$E$181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'Contribution analysis'!$C$189:$E$189</c:f>
              <c:numCache>
                <c:formatCode>#,##0</c:formatCode>
                <c:ptCount val="3"/>
                <c:pt idx="0">
                  <c:v>150</c:v>
                </c:pt>
                <c:pt idx="1">
                  <c:v>101</c:v>
                </c:pt>
                <c:pt idx="2">
                  <c:v>5</c:v>
                </c:pt>
              </c:numCache>
            </c:numRef>
          </c:val>
        </c:ser>
        <c:gapWidth val="150"/>
        <c:overlap val="100"/>
        <c:axId val="52079797"/>
        <c:axId val="46697208"/>
      </c:barChart>
      <c:catAx>
        <c:axId val="52079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97208"/>
        <c:crosses val="autoZero"/>
        <c:auto val="1"/>
        <c:lblAlgn val="ctr"/>
        <c:lblOffset val="100"/>
        <c:noMultiLvlLbl val="0"/>
      </c:catAx>
      <c:valAx>
        <c:axId val="46697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 per t fish + oyster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797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Change against fish polyculture (negative =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Comparison!F4</c:f>
              <c:strCache>
                <c:ptCount val="1"/>
                <c:pt idx="0">
                  <c:v>SI-IMTA vs POLY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Comparison!$A$5:$A$11</c:f>
              <c:strCache>
                <c:ptCount val="7"/>
                <c:pt idx="0">
                  <c:v>GW - Global warming</c:v>
                </c:pt>
                <c:pt idx="1">
                  <c:v>TCED - Cumulative energy demand</c:v>
                </c:pt>
                <c:pt idx="2">
                  <c:v>NPPU - Net primary production use</c:v>
                </c:pt>
                <c:pt idx="3">
                  <c:v>AP - Acidification</c:v>
                </c:pt>
                <c:pt idx="4">
                  <c:v>EP - Eutrophication</c:v>
                </c:pt>
                <c:pt idx="5">
                  <c:v>LC - Land competition</c:v>
                </c:pt>
                <c:pt idx="6">
                  <c:v>WD - Water dependence</c:v>
                </c:pt>
              </c:strCache>
            </c:strRef>
          </c:cat>
          <c:val>
            <c:numRef>
              <c:f>Comparison!$F$5:$F$11</c:f>
              <c:numCache>
                <c:formatCode>\+0%;\-0%;0%</c:formatCode>
                <c:ptCount val="7"/>
                <c:pt idx="0">
                  <c:v>-0.0123413258110014</c:v>
                </c:pt>
                <c:pt idx="1">
                  <c:v>-0.0978007347567995</c:v>
                </c:pt>
                <c:pt idx="2">
                  <c:v>-0.152128176080272</c:v>
                </c:pt>
                <c:pt idx="3">
                  <c:v>-0.0666666666666667</c:v>
                </c:pt>
                <c:pt idx="4">
                  <c:v>-0.573770491803279</c:v>
                </c:pt>
                <c:pt idx="5">
                  <c:v>0.238335435056747</c:v>
                </c:pt>
                <c:pt idx="6">
                  <c:v>-0.583106447295434</c:v>
                </c:pt>
              </c:numCache>
            </c:numRef>
          </c:val>
        </c:ser>
        <c:ser>
          <c:idx val="1"/>
          <c:order val="1"/>
          <c:tx>
            <c:strRef>
              <c:f>Comparison!G4</c:f>
              <c:strCache>
                <c:ptCount val="1"/>
                <c:pt idx="0">
                  <c:v>SE-IMTA vs POLY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Comparison!$A$5:$A$11</c:f>
              <c:strCache>
                <c:ptCount val="7"/>
                <c:pt idx="0">
                  <c:v>GW - Global warming</c:v>
                </c:pt>
                <c:pt idx="1">
                  <c:v>TCED - Cumulative energy demand</c:v>
                </c:pt>
                <c:pt idx="2">
                  <c:v>NPPU - Net primary production use</c:v>
                </c:pt>
                <c:pt idx="3">
                  <c:v>AP - Acidification</c:v>
                </c:pt>
                <c:pt idx="4">
                  <c:v>EP - Eutrophication</c:v>
                </c:pt>
                <c:pt idx="5">
                  <c:v>LC - Land competition</c:v>
                </c:pt>
                <c:pt idx="6">
                  <c:v>WD - Water dependence</c:v>
                </c:pt>
              </c:strCache>
            </c:strRef>
          </c:cat>
          <c:val>
            <c:numRef>
              <c:f>Comparison!$G$5:$G$11</c:f>
              <c:numCache>
                <c:formatCode>\+0%;\-0%;0%</c:formatCode>
                <c:ptCount val="7"/>
                <c:pt idx="0">
                  <c:v>-0.557475317348378</c:v>
                </c:pt>
                <c:pt idx="1">
                  <c:v>-0.808833098091034</c:v>
                </c:pt>
                <c:pt idx="2">
                  <c:v>-0.643793494092895</c:v>
                </c:pt>
                <c:pt idx="3">
                  <c:v>-0.866666666666667</c:v>
                </c:pt>
                <c:pt idx="4">
                  <c:v>-0.967213114754098</c:v>
                </c:pt>
                <c:pt idx="5">
                  <c:v>1.05338377469525</c:v>
                </c:pt>
                <c:pt idx="6">
                  <c:v>-0.705622363244971</c:v>
                </c:pt>
              </c:numCache>
            </c:numRef>
          </c:val>
        </c:ser>
        <c:gapWidth val="150"/>
        <c:overlap val="0"/>
        <c:axId val="35175468"/>
        <c:axId val="58452565"/>
      </c:barChart>
      <c:catAx>
        <c:axId val="351754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52565"/>
        <c:crosses val="autoZero"/>
        <c:auto val="1"/>
        <c:lblAlgn val="ctr"/>
        <c:lblOffset val="100"/>
        <c:noMultiLvlLbl val="0"/>
      </c:catAx>
      <c:valAx>
        <c:axId val="584525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754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Global warming by process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"Building impact"</c:f>
              <c:strCache>
                <c:ptCount val="1"/>
                <c:pt idx="0">
                  <c:v>Building impact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Dashboard!$C$16:$E$16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Dashboard!$C$17:$E$17</c:f>
              <c:numCache>
                <c:formatCode>#,##0</c:formatCode>
                <c:ptCount val="3"/>
                <c:pt idx="0">
                  <c:v>137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</c:ser>
        <c:ser>
          <c:idx val="1"/>
          <c:order val="1"/>
          <c:tx>
            <c:strRef>
              <c:f>"Energy consumption"</c:f>
              <c:strCache>
                <c:ptCount val="1"/>
                <c:pt idx="0">
                  <c:v>Energy consumption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Dashboard!$C$16:$E$16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Dashboard!$C$18:$E$18</c:f>
              <c:numCache>
                <c:formatCode>#,##0</c:formatCode>
                <c:ptCount val="3"/>
                <c:pt idx="0">
                  <c:v>330</c:v>
                </c:pt>
                <c:pt idx="1">
                  <c:v>6</c:v>
                </c:pt>
                <c:pt idx="2">
                  <c:v>474</c:v>
                </c:pt>
              </c:numCache>
            </c:numRef>
          </c:val>
        </c:ser>
        <c:ser>
          <c:idx val="2"/>
          <c:order val="2"/>
          <c:tx>
            <c:strRef>
              <c:f>"Vehicle"</c:f>
              <c:strCache>
                <c:ptCount val="1"/>
                <c:pt idx="0">
                  <c:v>Vehicle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Dashboard!$C$16:$E$16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Dashboard!$C$19:$E$19</c:f>
              <c:numCache>
                <c:formatCode>#,##0</c:formatCode>
                <c:ptCount val="3"/>
                <c:pt idx="0">
                  <c:v>32</c:v>
                </c:pt>
                <c:pt idx="1">
                  <c:v>8</c:v>
                </c:pt>
                <c:pt idx="2">
                  <c:v>80</c:v>
                </c:pt>
              </c:numCache>
            </c:numRef>
          </c:val>
        </c:ser>
        <c:ser>
          <c:idx val="3"/>
          <c:order val="3"/>
          <c:tx>
            <c:strRef>
              <c:f>"Chemical products"</c:f>
              <c:strCache>
                <c:ptCount val="1"/>
                <c:pt idx="0">
                  <c:v>Chemical products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Dashboard!$C$16:$E$16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Dashboard!$C$20:$E$20</c:f>
              <c:numCache>
                <c:formatCode>#,##0</c:formatCode>
                <c:ptCount val="3"/>
                <c:pt idx="0">
                  <c:v>0</c:v>
                </c:pt>
                <c:pt idx="1">
                  <c:v>30</c:v>
                </c:pt>
                <c:pt idx="2">
                  <c:v>0</c:v>
                </c:pt>
              </c:numCache>
            </c:numRef>
          </c:val>
        </c:ser>
        <c:ser>
          <c:idx val="4"/>
          <c:order val="4"/>
          <c:tx>
            <c:strRef>
              <c:f>"Equipment"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Dashboard!$C$16:$E$16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Dashboard!$C$21:$E$21</c:f>
              <c:numCache>
                <c:formatCode>#,##0</c:formatCode>
                <c:ptCount val="3"/>
                <c:pt idx="0">
                  <c:v>386</c:v>
                </c:pt>
                <c:pt idx="1">
                  <c:v>228</c:v>
                </c:pt>
                <c:pt idx="2">
                  <c:v>15</c:v>
                </c:pt>
              </c:numCache>
            </c:numRef>
          </c:val>
        </c:ser>
        <c:ser>
          <c:idx val="5"/>
          <c:order val="5"/>
          <c:tx>
            <c:strRef>
              <c:f>"Fry"</c:f>
              <c:strCache>
                <c:ptCount val="1"/>
                <c:pt idx="0">
                  <c:v>Fry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Dashboard!$C$16:$E$16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Dashboard!$C$22:$E$22</c:f>
              <c:numCache>
                <c:formatCode>#,##0</c:formatCode>
                <c:ptCount val="3"/>
                <c:pt idx="0">
                  <c:v>43</c:v>
                </c:pt>
                <c:pt idx="1">
                  <c:v>29</c:v>
                </c:pt>
                <c:pt idx="2">
                  <c:v>1</c:v>
                </c:pt>
              </c:numCache>
            </c:numRef>
          </c:val>
        </c:ser>
        <c:ser>
          <c:idx val="6"/>
          <c:order val="6"/>
          <c:tx>
            <c:strRef>
              <c:f>"Feeds"</c:f>
              <c:strCache>
                <c:ptCount val="1"/>
                <c:pt idx="0">
                  <c:v>Feeds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Dashboard!$C$16:$E$16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Dashboard!$C$23:$E$23</c:f>
              <c:numCache>
                <c:formatCode>#,##0</c:formatCode>
                <c:ptCount val="3"/>
                <c:pt idx="0">
                  <c:v>1549</c:v>
                </c:pt>
                <c:pt idx="1">
                  <c:v>733</c:v>
                </c:pt>
                <c:pt idx="2">
                  <c:v>1873</c:v>
                </c:pt>
              </c:numCache>
            </c:numRef>
          </c:val>
        </c:ser>
        <c:ser>
          <c:idx val="7"/>
          <c:order val="7"/>
          <c:tx>
            <c:strRef>
              <c:f>"Transports"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Dashboard!$C$16:$E$16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Dashboard!$C$24:$E$24</c:f>
              <c:numCache>
                <c:formatCode>#,##0</c:formatCode>
                <c:ptCount val="3"/>
                <c:pt idx="0">
                  <c:v>325</c:v>
                </c:pt>
                <c:pt idx="1">
                  <c:v>208</c:v>
                </c:pt>
                <c:pt idx="2">
                  <c:v>379</c:v>
                </c:pt>
              </c:numCache>
            </c:numRef>
          </c:val>
        </c:ser>
        <c:gapWidth val="150"/>
        <c:overlap val="100"/>
        <c:axId val="8361300"/>
        <c:axId val="1726106"/>
      </c:barChart>
      <c:catAx>
        <c:axId val="83613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6106"/>
        <c:crosses val="autoZero"/>
        <c:auto val="1"/>
        <c:lblAlgn val="ctr"/>
        <c:lblOffset val="100"/>
        <c:noMultiLvlLbl val="0"/>
      </c:catAx>
      <c:valAx>
        <c:axId val="17261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 CO2-eq per t fish + oyster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13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Eutrophication per tonne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"Eutrophication"</c:f>
              <c:strCache>
                <c:ptCount val="1"/>
                <c:pt idx="0">
                  <c:v>Eutrophication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Dashboard!$C$4:$E$4</c:f>
              <c:multiLvlStrCache>
                <c:ptCount val="1"/>
                <c:lvl>
                  <c:pt idx="0">
                    <c:v>Semi-intensive fish polyculture</c:v>
                  </c:pt>
                </c:lvl>
                <c:lvl>
                  <c:pt idx="0">
                    <c:v>Semi-extensive pond IMTA</c:v>
                  </c:pt>
                </c:lvl>
                <c:lvl>
                  <c:pt idx="0">
                    <c:v>Semi-intensive pond IMTA</c:v>
                  </c:pt>
                </c:lvl>
              </c:multiLvlStrCache>
            </c:multiLvlStrRef>
          </c:cat>
          <c:val>
            <c:numRef>
              <c:f>Dashboard!$C$7:$E$7</c:f>
              <c:numCache>
                <c:formatCode>#,##0</c:formatCode>
                <c:ptCount val="3"/>
                <c:pt idx="0">
                  <c:v>26</c:v>
                </c:pt>
                <c:pt idx="1">
                  <c:v>2</c:v>
                </c:pt>
                <c:pt idx="2">
                  <c:v>61</c:v>
                </c:pt>
              </c:numCache>
            </c:numRef>
          </c:val>
        </c:ser>
        <c:gapWidth val="150"/>
        <c:overlap val="0"/>
        <c:axId val="1101066"/>
        <c:axId val="23851515"/>
      </c:barChart>
      <c:catAx>
        <c:axId val="1101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51515"/>
        <c:crosses val="autoZero"/>
        <c:auto val="1"/>
        <c:lblAlgn val="ctr"/>
        <c:lblOffset val="100"/>
        <c:noMultiLvlLbl val="0"/>
      </c:catAx>
      <c:valAx>
        <c:axId val="238515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 PO4-eq/t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10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Environmental profile (% of fish-only pond; smaller = lower impact)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Charts!C5</c:f>
              <c:strCache>
                <c:ptCount val="1"/>
                <c:pt idx="0">
                  <c:v>Semi-intensive pond IMTA</c:v>
                </c:pt>
              </c:strCache>
            </c:strRef>
          </c:tx>
          <c:spPr>
            <a:solidFill>
              <a:srgbClr val="1d9e75"/>
            </a:solidFill>
            <a:ln w="28080">
              <a:solidFill>
                <a:srgbClr val="1d9e7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Charts!$A$6:$A$12</c:f>
              <c:strCache>
                <c:ptCount val="7"/>
                <c:pt idx="0">
                  <c:v>Global warming</c:v>
                </c:pt>
                <c:pt idx="1">
                  <c:v>Cumulative energy demand</c:v>
                </c:pt>
                <c:pt idx="2">
                  <c:v>Net primary production use</c:v>
                </c:pt>
                <c:pt idx="3">
                  <c:v>Acidification</c:v>
                </c:pt>
                <c:pt idx="4">
                  <c:v>Eutrophication</c:v>
                </c:pt>
                <c:pt idx="5">
                  <c:v>Land competition</c:v>
                </c:pt>
                <c:pt idx="6">
                  <c:v>Water dependence</c:v>
                </c:pt>
              </c:strCache>
            </c:strRef>
          </c:cat>
          <c:val>
            <c:numRef>
              <c:f>Charts!$C$6:$C$12</c:f>
              <c:numCache>
                <c:formatCode>0%</c:formatCode>
                <c:ptCount val="7"/>
                <c:pt idx="0">
                  <c:v>0.987658674188999</c:v>
                </c:pt>
                <c:pt idx="1">
                  <c:v>0.902199265243201</c:v>
                </c:pt>
                <c:pt idx="2">
                  <c:v>0.847871823919728</c:v>
                </c:pt>
                <c:pt idx="3">
                  <c:v>0.933333333333333</c:v>
                </c:pt>
                <c:pt idx="4">
                  <c:v>0.426229508196721</c:v>
                </c:pt>
                <c:pt idx="5">
                  <c:v>1.23833543505675</c:v>
                </c:pt>
                <c:pt idx="6">
                  <c:v>0.416893552704566</c:v>
                </c:pt>
              </c:numCache>
            </c:numRef>
          </c:val>
        </c:ser>
        <c:ser>
          <c:idx val="1"/>
          <c:order val="1"/>
          <c:tx>
            <c:strRef>
              <c:f>Charts!D5</c:f>
              <c:strCache>
                <c:ptCount val="1"/>
                <c:pt idx="0">
                  <c:v>Semi-extensive pond IMTA</c:v>
                </c:pt>
              </c:strCache>
            </c:strRef>
          </c:tx>
          <c:spPr>
            <a:solidFill>
              <a:srgbClr val="378add"/>
            </a:solidFill>
            <a:ln w="28080">
              <a:solidFill>
                <a:srgbClr val="378ad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Charts!$A$6:$A$12</c:f>
              <c:strCache>
                <c:ptCount val="7"/>
                <c:pt idx="0">
                  <c:v>Global warming</c:v>
                </c:pt>
                <c:pt idx="1">
                  <c:v>Cumulative energy demand</c:v>
                </c:pt>
                <c:pt idx="2">
                  <c:v>Net primary production use</c:v>
                </c:pt>
                <c:pt idx="3">
                  <c:v>Acidification</c:v>
                </c:pt>
                <c:pt idx="4">
                  <c:v>Eutrophication</c:v>
                </c:pt>
                <c:pt idx="5">
                  <c:v>Land competition</c:v>
                </c:pt>
                <c:pt idx="6">
                  <c:v>Water dependence</c:v>
                </c:pt>
              </c:strCache>
            </c:strRef>
          </c:cat>
          <c:val>
            <c:numRef>
              <c:f>Charts!$D$6:$D$12</c:f>
              <c:numCache>
                <c:formatCode>0%</c:formatCode>
                <c:ptCount val="7"/>
                <c:pt idx="0">
                  <c:v>0.442524682651622</c:v>
                </c:pt>
                <c:pt idx="1">
                  <c:v>0.191166901908966</c:v>
                </c:pt>
                <c:pt idx="2">
                  <c:v>0.356206505907105</c:v>
                </c:pt>
                <c:pt idx="3">
                  <c:v>0.133333333333333</c:v>
                </c:pt>
                <c:pt idx="4">
                  <c:v>0.0327868852459016</c:v>
                </c:pt>
                <c:pt idx="5">
                  <c:v>2.05338377469525</c:v>
                </c:pt>
                <c:pt idx="6">
                  <c:v>0.294377636755029</c:v>
                </c:pt>
              </c:numCache>
            </c:numRef>
          </c:val>
        </c:ser>
        <c:ser>
          <c:idx val="2"/>
          <c:order val="2"/>
          <c:tx>
            <c:strRef>
              <c:f>Charts!E5</c:f>
              <c:strCache>
                <c:ptCount val="1"/>
                <c:pt idx="0">
                  <c:v>Semi-intensive fish polyculture</c:v>
                </c:pt>
              </c:strCache>
            </c:strRef>
          </c:tx>
          <c:spPr>
            <a:solidFill>
              <a:srgbClr val="888780"/>
            </a:solidFill>
            <a:ln w="28080">
              <a:solidFill>
                <a:srgbClr val="8887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Charts!$A$6:$A$12</c:f>
              <c:strCache>
                <c:ptCount val="7"/>
                <c:pt idx="0">
                  <c:v>Global warming</c:v>
                </c:pt>
                <c:pt idx="1">
                  <c:v>Cumulative energy demand</c:v>
                </c:pt>
                <c:pt idx="2">
                  <c:v>Net primary production use</c:v>
                </c:pt>
                <c:pt idx="3">
                  <c:v>Acidification</c:v>
                </c:pt>
                <c:pt idx="4">
                  <c:v>Eutrophication</c:v>
                </c:pt>
                <c:pt idx="5">
                  <c:v>Land competition</c:v>
                </c:pt>
                <c:pt idx="6">
                  <c:v>Water dependence</c:v>
                </c:pt>
              </c:strCache>
            </c:strRef>
          </c:cat>
          <c:val>
            <c:numRef>
              <c:f>Charts!$E$6:$E$12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axId val="79297140"/>
        <c:axId val="45351505"/>
      </c:radarChart>
      <c:catAx>
        <c:axId val="792971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51505"/>
        <c:crosses val="autoZero"/>
        <c:auto val="1"/>
        <c:lblAlgn val="ctr"/>
        <c:lblOffset val="100"/>
        <c:noMultiLvlLbl val="0"/>
      </c:catAx>
      <c:valAx>
        <c:axId val="45351505"/>
        <c:scaling>
          <c:orientation val="minMax"/>
          <c:max val="2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97140"/>
        <c:crosses val="autoZero"/>
        <c:crossBetween val="midCat"/>
        <c:majorUnit val="0.5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Change against the fish-only pond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Charts!C26</c:f>
              <c:strCache>
                <c:ptCount val="1"/>
                <c:pt idx="0">
                  <c:v>SI-IMTA vs POLY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Charts!$A$27:$A$33</c:f>
              <c:strCache>
                <c:ptCount val="7"/>
                <c:pt idx="0">
                  <c:v>Global warming</c:v>
                </c:pt>
                <c:pt idx="1">
                  <c:v>Cumulative energy demand</c:v>
                </c:pt>
                <c:pt idx="2">
                  <c:v>Net primary production use</c:v>
                </c:pt>
                <c:pt idx="3">
                  <c:v>Acidification</c:v>
                </c:pt>
                <c:pt idx="4">
                  <c:v>Eutrophication</c:v>
                </c:pt>
                <c:pt idx="5">
                  <c:v>Land competition</c:v>
                </c:pt>
                <c:pt idx="6">
                  <c:v>Water dependence</c:v>
                </c:pt>
              </c:strCache>
            </c:strRef>
          </c:cat>
          <c:val>
            <c:numRef>
              <c:f>Charts!$C$27:$C$33</c:f>
              <c:numCache>
                <c:formatCode>\+0%;\-0%;0%</c:formatCode>
                <c:ptCount val="7"/>
                <c:pt idx="0">
                  <c:v>-0.0123413258110014</c:v>
                </c:pt>
                <c:pt idx="1">
                  <c:v>-0.0978007347567995</c:v>
                </c:pt>
                <c:pt idx="2">
                  <c:v>-0.152128176080272</c:v>
                </c:pt>
                <c:pt idx="3">
                  <c:v>-0.0666666666666667</c:v>
                </c:pt>
                <c:pt idx="4">
                  <c:v>-0.573770491803279</c:v>
                </c:pt>
                <c:pt idx="5">
                  <c:v>0.238335435056747</c:v>
                </c:pt>
                <c:pt idx="6">
                  <c:v>-0.583106447295434</c:v>
                </c:pt>
              </c:numCache>
            </c:numRef>
          </c:val>
        </c:ser>
        <c:ser>
          <c:idx val="1"/>
          <c:order val="1"/>
          <c:tx>
            <c:strRef>
              <c:f>Charts!D26</c:f>
              <c:strCache>
                <c:ptCount val="1"/>
                <c:pt idx="0">
                  <c:v>SE-IMTA vs POLY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Charts!$A$27:$A$33</c:f>
              <c:strCache>
                <c:ptCount val="7"/>
                <c:pt idx="0">
                  <c:v>Global warming</c:v>
                </c:pt>
                <c:pt idx="1">
                  <c:v>Cumulative energy demand</c:v>
                </c:pt>
                <c:pt idx="2">
                  <c:v>Net primary production use</c:v>
                </c:pt>
                <c:pt idx="3">
                  <c:v>Acidification</c:v>
                </c:pt>
                <c:pt idx="4">
                  <c:v>Eutrophication</c:v>
                </c:pt>
                <c:pt idx="5">
                  <c:v>Land competition</c:v>
                </c:pt>
                <c:pt idx="6">
                  <c:v>Water dependence</c:v>
                </c:pt>
              </c:strCache>
            </c:strRef>
          </c:cat>
          <c:val>
            <c:numRef>
              <c:f>Charts!$D$27:$D$33</c:f>
              <c:numCache>
                <c:formatCode>\+0%;\-0%;0%</c:formatCode>
                <c:ptCount val="7"/>
                <c:pt idx="0">
                  <c:v>-0.557475317348378</c:v>
                </c:pt>
                <c:pt idx="1">
                  <c:v>-0.808833098091034</c:v>
                </c:pt>
                <c:pt idx="2">
                  <c:v>-0.643793494092895</c:v>
                </c:pt>
                <c:pt idx="3">
                  <c:v>-0.866666666666667</c:v>
                </c:pt>
                <c:pt idx="4">
                  <c:v>-0.967213114754098</c:v>
                </c:pt>
                <c:pt idx="5">
                  <c:v>1.05338377469525</c:v>
                </c:pt>
                <c:pt idx="6">
                  <c:v>-0.705622363244971</c:v>
                </c:pt>
              </c:numCache>
            </c:numRef>
          </c:val>
        </c:ser>
        <c:gapWidth val="150"/>
        <c:overlap val="0"/>
        <c:axId val="49815001"/>
        <c:axId val="22341772"/>
      </c:barChart>
      <c:catAx>
        <c:axId val="4981500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41772"/>
        <c:crosses val="autoZero"/>
        <c:auto val="1"/>
        <c:lblAlgn val="ctr"/>
        <c:lblOffset val="100"/>
        <c:noMultiLvlLbl val="0"/>
      </c:catAx>
      <c:valAx>
        <c:axId val="22341772"/>
        <c:scaling>
          <c:orientation val="minMax"/>
          <c:max val="1.5"/>
          <c:min val="-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15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the feed nitrogen goes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Charts!C47</c:f>
              <c:strCache>
                <c:ptCount val="1"/>
                <c:pt idx="0">
                  <c:v>in fish + oysters</c:v>
                </c:pt>
              </c:strCache>
            </c:strRef>
          </c:tx>
          <c:spPr>
            <a:solidFill>
              <a:srgbClr val="534ab7"/>
            </a:solidFill>
            <a:ln w="0">
              <a:solidFill>
                <a:srgbClr val="534ab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Charts!$A$48:$A$50</c:f>
              <c:strCache>
                <c:ptCount val="3"/>
                <c:pt idx="0">
                  <c:v>Semi-intensive pond IMTA</c:v>
                </c:pt>
                <c:pt idx="1">
                  <c:v>Semi-extensive pond IMTA</c:v>
                </c:pt>
                <c:pt idx="2">
                  <c:v>Semi-intensive fish polyculture</c:v>
                </c:pt>
              </c:strCache>
            </c:strRef>
          </c:cat>
          <c:val>
            <c:numRef>
              <c:f>Charts!$C$48:$C$50</c:f>
              <c:numCache>
                <c:formatCode>#,##0.0</c:formatCode>
                <c:ptCount val="3"/>
                <c:pt idx="0">
                  <c:v>23.5964198535395</c:v>
                </c:pt>
                <c:pt idx="1">
                  <c:v>28.3018867924528</c:v>
                </c:pt>
                <c:pt idx="2">
                  <c:v>24.246374450057</c:v>
                </c:pt>
              </c:numCache>
            </c:numRef>
          </c:val>
        </c:ser>
        <c:ser>
          <c:idx val="1"/>
          <c:order val="1"/>
          <c:tx>
            <c:strRef>
              <c:f>Charts!D47</c:f>
              <c:strCache>
                <c:ptCount val="1"/>
                <c:pt idx="0">
                  <c:v>in macroalgae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Charts!$A$48:$A$50</c:f>
              <c:strCache>
                <c:ptCount val="3"/>
                <c:pt idx="0">
                  <c:v>Semi-intensive pond IMTA</c:v>
                </c:pt>
                <c:pt idx="1">
                  <c:v>Semi-extensive pond IMTA</c:v>
                </c:pt>
                <c:pt idx="2">
                  <c:v>Semi-intensive fish polyculture</c:v>
                </c:pt>
              </c:strCache>
            </c:strRef>
          </c:cat>
          <c:val>
            <c:numRef>
              <c:f>Charts!$D$48:$D$50</c:f>
              <c:numCache>
                <c:formatCode>#,##0.0</c:formatCode>
                <c:ptCount val="3"/>
                <c:pt idx="0">
                  <c:v>24.8982912937347</c:v>
                </c:pt>
                <c:pt idx="1">
                  <c:v>11.3207547169811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Charts!E47</c:f>
              <c:strCache>
                <c:ptCount val="1"/>
                <c:pt idx="0">
                  <c:v>released to water (net)</c:v>
                </c:pt>
              </c:strCache>
            </c:strRef>
          </c:tx>
          <c:spPr>
            <a:solidFill>
              <a:srgbClr val="e24b4a"/>
            </a:solidFill>
            <a:ln w="0">
              <a:solidFill>
                <a:srgbClr val="e24b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Charts!$A$48:$A$50</c:f>
              <c:strCache>
                <c:ptCount val="3"/>
                <c:pt idx="0">
                  <c:v>Semi-intensive pond IMTA</c:v>
                </c:pt>
                <c:pt idx="1">
                  <c:v>Semi-extensive pond IMTA</c:v>
                </c:pt>
                <c:pt idx="2">
                  <c:v>Semi-intensive fish polyculture</c:v>
                </c:pt>
              </c:strCache>
            </c:strRef>
          </c:cat>
          <c:val>
            <c:numRef>
              <c:f>Charts!$E$48:$E$50</c:f>
              <c:numCache>
                <c:formatCode>#,##0.0</c:formatCode>
                <c:ptCount val="3"/>
                <c:pt idx="0">
                  <c:v>54.7384865744508</c:v>
                </c:pt>
                <c:pt idx="1">
                  <c:v>-3.79874213836478</c:v>
                </c:pt>
                <c:pt idx="2">
                  <c:v>95.9296072999837</c:v>
                </c:pt>
              </c:numCache>
            </c:numRef>
          </c:val>
        </c:ser>
        <c:gapWidth val="150"/>
        <c:overlap val="100"/>
        <c:axId val="74692944"/>
        <c:axId val="80342433"/>
      </c:barChart>
      <c:catAx>
        <c:axId val="7469294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42433"/>
        <c:crosses val="autoZero"/>
        <c:auto val="1"/>
        <c:lblAlgn val="ctr"/>
        <c:lblOffset val="100"/>
        <c:noMultiLvlLbl val="0"/>
      </c:catAx>
      <c:valAx>
        <c:axId val="80342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 N per t fish + oyster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929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the feed phosphorus goes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Charts!C65</c:f>
              <c:strCache>
                <c:ptCount val="1"/>
                <c:pt idx="0">
                  <c:v>in fish + oysters</c:v>
                </c:pt>
              </c:strCache>
            </c:strRef>
          </c:tx>
          <c:spPr>
            <a:solidFill>
              <a:srgbClr val="534ab7"/>
            </a:solidFill>
            <a:ln w="0">
              <a:solidFill>
                <a:srgbClr val="534ab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Charts!$A$66:$A$68</c:f>
              <c:strCache>
                <c:ptCount val="3"/>
                <c:pt idx="0">
                  <c:v>Semi-intensive pond IMTA</c:v>
                </c:pt>
                <c:pt idx="1">
                  <c:v>Semi-extensive pond IMTA</c:v>
                </c:pt>
                <c:pt idx="2">
                  <c:v>Semi-intensive fish polyculture</c:v>
                </c:pt>
              </c:strCache>
            </c:strRef>
          </c:cat>
          <c:val>
            <c:numRef>
              <c:f>Charts!$C$66:$C$68</c:f>
              <c:numCache>
                <c:formatCode>#,##0.0</c:formatCode>
                <c:ptCount val="3"/>
                <c:pt idx="0">
                  <c:v>4.8006509357201</c:v>
                </c:pt>
                <c:pt idx="1">
                  <c:v>6.28930817610063</c:v>
                </c:pt>
                <c:pt idx="2">
                  <c:v>4.07365162131335</c:v>
                </c:pt>
              </c:numCache>
            </c:numRef>
          </c:val>
        </c:ser>
        <c:ser>
          <c:idx val="1"/>
          <c:order val="1"/>
          <c:tx>
            <c:strRef>
              <c:f>Charts!D65</c:f>
              <c:strCache>
                <c:ptCount val="1"/>
                <c:pt idx="0">
                  <c:v>in macroalgae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Charts!$A$66:$A$68</c:f>
              <c:strCache>
                <c:ptCount val="3"/>
                <c:pt idx="0">
                  <c:v>Semi-intensive pond IMTA</c:v>
                </c:pt>
                <c:pt idx="1">
                  <c:v>Semi-extensive pond IMTA</c:v>
                </c:pt>
                <c:pt idx="2">
                  <c:v>Semi-intensive fish polyculture</c:v>
                </c:pt>
              </c:strCache>
            </c:strRef>
          </c:cat>
          <c:val>
            <c:numRef>
              <c:f>Charts!$D$66:$D$68</c:f>
              <c:numCache>
                <c:formatCode>#,##0.0</c:formatCode>
                <c:ptCount val="3"/>
                <c:pt idx="0">
                  <c:v>2.11554109031733</c:v>
                </c:pt>
                <c:pt idx="1">
                  <c:v>0.628930817610063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Charts!E65</c:f>
              <c:strCache>
                <c:ptCount val="1"/>
                <c:pt idx="0">
                  <c:v>released to water (net)</c:v>
                </c:pt>
              </c:strCache>
            </c:strRef>
          </c:tx>
          <c:spPr>
            <a:solidFill>
              <a:srgbClr val="e24b4a"/>
            </a:solidFill>
            <a:ln w="0">
              <a:solidFill>
                <a:srgbClr val="e24b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Charts!$A$66:$A$68</c:f>
              <c:strCache>
                <c:ptCount val="3"/>
                <c:pt idx="0">
                  <c:v>Semi-intensive pond IMTA</c:v>
                </c:pt>
                <c:pt idx="1">
                  <c:v>Semi-extensive pond IMTA</c:v>
                </c:pt>
                <c:pt idx="2">
                  <c:v>Semi-intensive fish polyculture</c:v>
                </c:pt>
              </c:strCache>
            </c:strRef>
          </c:cat>
          <c:val>
            <c:numRef>
              <c:f>Charts!$E$66:$E$68</c:f>
              <c:numCache>
                <c:formatCode>#,##0.0</c:formatCode>
                <c:ptCount val="3"/>
                <c:pt idx="0">
                  <c:v>14.5907241659886</c:v>
                </c:pt>
                <c:pt idx="1">
                  <c:v>0.358490566037736</c:v>
                </c:pt>
                <c:pt idx="2">
                  <c:v>20.9630112432785</c:v>
                </c:pt>
              </c:numCache>
            </c:numRef>
          </c:val>
        </c:ser>
        <c:gapWidth val="150"/>
        <c:overlap val="100"/>
        <c:axId val="90076127"/>
        <c:axId val="96347946"/>
      </c:barChart>
      <c:catAx>
        <c:axId val="9007612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47946"/>
        <c:crosses val="autoZero"/>
        <c:auto val="1"/>
        <c:lblAlgn val="ctr"/>
        <c:lblOffset val="100"/>
        <c:noMultiLvlLbl val="0"/>
      </c:catAx>
      <c:valAx>
        <c:axId val="963479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 P per t fish + oyster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761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KPI targets met (of 13)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Charts!C83</c:f>
              <c:strCache>
                <c:ptCount val="1"/>
                <c:pt idx="0">
                  <c:v>Environmental (of 7)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Charts!$A$84:$A$86</c:f>
              <c:strCache>
                <c:ptCount val="3"/>
                <c:pt idx="0">
                  <c:v>Semi-intensive pond IMTA</c:v>
                </c:pt>
                <c:pt idx="1">
                  <c:v>Semi-extensive pond IMTA</c:v>
                </c:pt>
                <c:pt idx="2">
                  <c:v>Semi-intensive fish polyculture</c:v>
                </c:pt>
              </c:strCache>
            </c:strRef>
          </c:cat>
          <c:val>
            <c:numRef>
              <c:f>Charts!$C$84:$C$86</c:f>
              <c:numCache>
                <c:formatCode>0</c:formatCode>
                <c:ptCount val="3"/>
                <c:pt idx="0">
                  <c:v>3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Charts!D83</c:f>
              <c:strCache>
                <c:ptCount val="1"/>
                <c:pt idx="0">
                  <c:v>Circularity (of 6)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Charts!$A$84:$A$86</c:f>
              <c:strCache>
                <c:ptCount val="3"/>
                <c:pt idx="0">
                  <c:v>Semi-intensive pond IMTA</c:v>
                </c:pt>
                <c:pt idx="1">
                  <c:v>Semi-extensive pond IMTA</c:v>
                </c:pt>
                <c:pt idx="2">
                  <c:v>Semi-intensive fish polyculture</c:v>
                </c:pt>
              </c:strCache>
            </c:strRef>
          </c:cat>
          <c:val>
            <c:numRef>
              <c:f>Charts!$D$84:$D$86</c:f>
              <c:numCache>
                <c:formatCode>0</c:formatCode>
                <c:ptCount val="3"/>
                <c:pt idx="0">
                  <c:v>6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</c:ser>
        <c:gapWidth val="150"/>
        <c:overlap val="100"/>
        <c:axId val="42872171"/>
        <c:axId val="8908290"/>
      </c:barChart>
      <c:catAx>
        <c:axId val="428721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8290"/>
        <c:crosses val="autoZero"/>
        <c:auto val="1"/>
        <c:lblAlgn val="ctr"/>
        <c:lblOffset val="100"/>
        <c:noMultiLvlLbl val="0"/>
      </c:catAx>
      <c:valAx>
        <c:axId val="8908290"/>
        <c:scaling>
          <c:orientation val="minMax"/>
          <c:max val="1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targets met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72171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 to KPI target (right of 0 = met)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Charts!C102</c:f>
              <c:strCache>
                <c:ptCount val="1"/>
                <c:pt idx="0">
                  <c:v>Semi-intensive pond IMTA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Charts!$A$103:$A$115</c:f>
              <c:strCache>
                <c:ptCount val="13"/>
                <c:pt idx="0">
                  <c:v>E1 Global warming</c:v>
                </c:pt>
                <c:pt idx="1">
                  <c:v>E2 Cumulative energy demand</c:v>
                </c:pt>
                <c:pt idx="2">
                  <c:v>E3 Net primary production use</c:v>
                </c:pt>
                <c:pt idx="3">
                  <c:v>E4 Acidification</c:v>
                </c:pt>
                <c:pt idx="4">
                  <c:v>E5 Eutrophication</c:v>
                </c:pt>
                <c:pt idx="5">
                  <c:v>E6 Land competition</c:v>
                </c:pt>
                <c:pt idx="6">
                  <c:v>E7 Water dependence</c:v>
                </c:pt>
                <c:pt idx="7">
                  <c:v>C1 Nitrogen use efficiency</c:v>
                </c:pt>
                <c:pt idx="8">
                  <c:v>C2 Phosphorus use efficiency</c:v>
                </c:pt>
                <c:pt idx="9">
                  <c:v>C3 Net N released to water</c:v>
                </c:pt>
                <c:pt idx="10">
                  <c:v>C4 Fish feed conversion ratio</c:v>
                </c:pt>
                <c:pt idx="11">
                  <c:v>C5 Share of non-fed (extractive) biomass</c:v>
                </c:pt>
                <c:pt idx="12">
                  <c:v>C6 Feed share of global warming</c:v>
                </c:pt>
              </c:strCache>
            </c:strRef>
          </c:cat>
          <c:val>
            <c:numRef>
              <c:f>Charts!$C$103:$C$115</c:f>
              <c:numCache>
                <c:formatCode>\+0%;\-0%;0%</c:formatCode>
                <c:ptCount val="13"/>
                <c:pt idx="0">
                  <c:v>-0.0973985268766651</c:v>
                </c:pt>
                <c:pt idx="1">
                  <c:v>-0.00244362804800052</c:v>
                </c:pt>
                <c:pt idx="2">
                  <c:v>0.0579201956447466</c:v>
                </c:pt>
                <c:pt idx="3">
                  <c:v>-0.037037037037037</c:v>
                </c:pt>
                <c:pt idx="4">
                  <c:v>0.526411657559199</c:v>
                </c:pt>
                <c:pt idx="5">
                  <c:v>-0.375928261174163</c:v>
                </c:pt>
                <c:pt idx="6">
                  <c:v>0.536784941439371</c:v>
                </c:pt>
                <c:pt idx="7">
                  <c:v>0.342168223221492</c:v>
                </c:pt>
                <c:pt idx="8">
                  <c:v>0.0719330104923327</c:v>
                </c:pt>
                <c:pt idx="9">
                  <c:v>0.0876918904258202</c:v>
                </c:pt>
                <c:pt idx="10">
                  <c:v>0.0183283504484597</c:v>
                </c:pt>
                <c:pt idx="11">
                  <c:v>0.103954341622503</c:v>
                </c:pt>
                <c:pt idx="12">
                  <c:v>0.0783053671307865</c:v>
                </c:pt>
              </c:numCache>
            </c:numRef>
          </c:val>
        </c:ser>
        <c:ser>
          <c:idx val="1"/>
          <c:order val="1"/>
          <c:tx>
            <c:strRef>
              <c:f>Charts!D102</c:f>
              <c:strCache>
                <c:ptCount val="1"/>
                <c:pt idx="0">
                  <c:v>Semi-extensive pond IMTA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Charts!$A$103:$A$115</c:f>
              <c:strCache>
                <c:ptCount val="13"/>
                <c:pt idx="0">
                  <c:v>E1 Global warming</c:v>
                </c:pt>
                <c:pt idx="1">
                  <c:v>E2 Cumulative energy demand</c:v>
                </c:pt>
                <c:pt idx="2">
                  <c:v>E3 Net primary production use</c:v>
                </c:pt>
                <c:pt idx="3">
                  <c:v>E4 Acidification</c:v>
                </c:pt>
                <c:pt idx="4">
                  <c:v>E5 Eutrophication</c:v>
                </c:pt>
                <c:pt idx="5">
                  <c:v>E6 Land competition</c:v>
                </c:pt>
                <c:pt idx="6">
                  <c:v>E7 Water dependence</c:v>
                </c:pt>
                <c:pt idx="7">
                  <c:v>C1 Nitrogen use efficiency</c:v>
                </c:pt>
                <c:pt idx="8">
                  <c:v>C2 Phosphorus use efficiency</c:v>
                </c:pt>
                <c:pt idx="9">
                  <c:v>C3 Net N released to water</c:v>
                </c:pt>
                <c:pt idx="10">
                  <c:v>C4 Fish feed conversion ratio</c:v>
                </c:pt>
                <c:pt idx="11">
                  <c:v>C5 Share of non-fed (extractive) biomass</c:v>
                </c:pt>
                <c:pt idx="12">
                  <c:v>C6 Feed share of global warming</c:v>
                </c:pt>
              </c:strCache>
            </c:strRef>
          </c:cat>
          <c:val>
            <c:numRef>
              <c:f>Charts!$D$103:$D$115</c:f>
              <c:numCache>
                <c:formatCode>\+0%;\-0%;0%</c:formatCode>
                <c:ptCount val="13"/>
                <c:pt idx="0">
                  <c:v>0.508305908164864</c:v>
                </c:pt>
                <c:pt idx="1">
                  <c:v>0.78759233121226</c:v>
                </c:pt>
                <c:pt idx="2">
                  <c:v>0.60421499343655</c:v>
                </c:pt>
                <c:pt idx="3">
                  <c:v>0.851851851851852</c:v>
                </c:pt>
                <c:pt idx="4">
                  <c:v>0.963570127504554</c:v>
                </c:pt>
                <c:pt idx="5">
                  <c:v>-1</c:v>
                </c:pt>
                <c:pt idx="6">
                  <c:v>0.672913736938856</c:v>
                </c:pt>
                <c:pt idx="7">
                  <c:v>1.5</c:v>
                </c:pt>
                <c:pt idx="8">
                  <c:v>1.5</c:v>
                </c:pt>
                <c:pt idx="9">
                  <c:v>1.06331236897275</c:v>
                </c:pt>
                <c:pt idx="10">
                  <c:v>0.217582417582418</c:v>
                </c:pt>
                <c:pt idx="11">
                  <c:v>0.996344104164909</c:v>
                </c:pt>
                <c:pt idx="12">
                  <c:v>0.0265604249667994</c:v>
                </c:pt>
              </c:numCache>
            </c:numRef>
          </c:val>
        </c:ser>
        <c:ser>
          <c:idx val="2"/>
          <c:order val="2"/>
          <c:tx>
            <c:strRef>
              <c:f>Charts!E102</c:f>
              <c:strCache>
                <c:ptCount val="1"/>
                <c:pt idx="0">
                  <c:v>Semi-intensive fish polyculture</c:v>
                </c:pt>
              </c:strCache>
            </c:strRef>
          </c:tx>
          <c:spPr>
            <a:solidFill>
              <a:srgbClr val="888780"/>
            </a:solidFill>
            <a:ln w="0">
              <a:solidFill>
                <a:srgbClr val="88878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Charts!$A$103:$A$115</c:f>
              <c:strCache>
                <c:ptCount val="13"/>
                <c:pt idx="0">
                  <c:v>E1 Global warming</c:v>
                </c:pt>
                <c:pt idx="1">
                  <c:v>E2 Cumulative energy demand</c:v>
                </c:pt>
                <c:pt idx="2">
                  <c:v>E3 Net primary production use</c:v>
                </c:pt>
                <c:pt idx="3">
                  <c:v>E4 Acidification</c:v>
                </c:pt>
                <c:pt idx="4">
                  <c:v>E5 Eutrophication</c:v>
                </c:pt>
                <c:pt idx="5">
                  <c:v>E6 Land competition</c:v>
                </c:pt>
                <c:pt idx="6">
                  <c:v>E7 Water dependence</c:v>
                </c:pt>
                <c:pt idx="7">
                  <c:v>C1 Nitrogen use efficiency</c:v>
                </c:pt>
                <c:pt idx="8">
                  <c:v>C2 Phosphorus use efficiency</c:v>
                </c:pt>
                <c:pt idx="9">
                  <c:v>C3 Net N released to water</c:v>
                </c:pt>
                <c:pt idx="10">
                  <c:v>C4 Fish feed conversion ratio</c:v>
                </c:pt>
                <c:pt idx="11">
                  <c:v>C5 Share of non-fed (extractive) biomass</c:v>
                </c:pt>
                <c:pt idx="12">
                  <c:v>C6 Feed share of global warming</c:v>
                </c:pt>
              </c:strCache>
            </c:strRef>
          </c:cat>
          <c:val>
            <c:numRef>
              <c:f>Charts!$E$103:$E$115</c:f>
              <c:numCache>
                <c:formatCode>\+0%;\-0%;0%</c:formatCode>
                <c:ptCount val="13"/>
                <c:pt idx="7">
                  <c:v>-0.423550741481103</c:v>
                </c:pt>
                <c:pt idx="8">
                  <c:v>-0.457641826662328</c:v>
                </c:pt>
                <c:pt idx="9">
                  <c:v>-0.598826788333062</c:v>
                </c:pt>
                <c:pt idx="10">
                  <c:v>-0.0219046067180334</c:v>
                </c:pt>
                <c:pt idx="11">
                  <c:v>-1</c:v>
                </c:pt>
                <c:pt idx="12">
                  <c:v>-0.100728725905031</c:v>
                </c:pt>
              </c:numCache>
            </c:numRef>
          </c:val>
        </c:ser>
        <c:gapWidth val="150"/>
        <c:overlap val="0"/>
        <c:axId val="88994162"/>
        <c:axId val="33147115"/>
      </c:barChart>
      <c:catAx>
        <c:axId val="8899416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47115"/>
        <c:crosses val="autoZero"/>
        <c:auto val="1"/>
        <c:lblAlgn val="ctr"/>
        <c:lblOffset val="100"/>
        <c:noMultiLvlLbl val="0"/>
      </c:catAx>
      <c:valAx>
        <c:axId val="33147115"/>
        <c:scaling>
          <c:orientation val="minMax"/>
          <c:max val="1.5"/>
          <c:min val="-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94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5" Type="http://schemas.openxmlformats.org/officeDocument/2006/relationships/chart" Target="../charts/chart18.xml"/><Relationship Id="rId6" Type="http://schemas.openxmlformats.org/officeDocument/2006/relationships/chart" Target="../charts/chart19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160560</xdr:rowOff>
    </xdr:from>
    <xdr:to>
      <xdr:col>14</xdr:col>
      <xdr:colOff>11160</xdr:colOff>
      <xdr:row>28</xdr:row>
      <xdr:rowOff>93600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952560"/>
          <a:ext cx="8572320" cy="450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</xdr:row>
      <xdr:rowOff>160560</xdr:rowOff>
    </xdr:from>
    <xdr:to>
      <xdr:col>14</xdr:col>
      <xdr:colOff>11160</xdr:colOff>
      <xdr:row>55</xdr:row>
      <xdr:rowOff>93600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6095880"/>
          <a:ext cx="8572320" cy="450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</xdr:row>
      <xdr:rowOff>160560</xdr:rowOff>
    </xdr:from>
    <xdr:to>
      <xdr:col>14</xdr:col>
      <xdr:colOff>11160</xdr:colOff>
      <xdr:row>82</xdr:row>
      <xdr:rowOff>93600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11239560"/>
          <a:ext cx="8572320" cy="4505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5</xdr:row>
      <xdr:rowOff>160560</xdr:rowOff>
    </xdr:from>
    <xdr:to>
      <xdr:col>20</xdr:col>
      <xdr:colOff>473400</xdr:colOff>
      <xdr:row>21</xdr:row>
      <xdr:rowOff>172440</xdr:rowOff>
    </xdr:to>
    <xdr:graphicFrame>
      <xdr:nvGraphicFramePr>
        <xdr:cNvPr id="3" name="Chart 1"/>
        <xdr:cNvGraphicFramePr/>
      </xdr:nvGraphicFramePr>
      <xdr:xfrm>
        <a:off x="9774720" y="114300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160560</xdr:rowOff>
    </xdr:from>
    <xdr:to>
      <xdr:col>20</xdr:col>
      <xdr:colOff>473400</xdr:colOff>
      <xdr:row>40</xdr:row>
      <xdr:rowOff>172080</xdr:rowOff>
    </xdr:to>
    <xdr:graphicFrame>
      <xdr:nvGraphicFramePr>
        <xdr:cNvPr id="4" name="Chart 2"/>
        <xdr:cNvGraphicFramePr/>
      </xdr:nvGraphicFramePr>
      <xdr:xfrm>
        <a:off x="9774720" y="476244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43</xdr:row>
      <xdr:rowOff>160560</xdr:rowOff>
    </xdr:from>
    <xdr:to>
      <xdr:col>20</xdr:col>
      <xdr:colOff>473400</xdr:colOff>
      <xdr:row>59</xdr:row>
      <xdr:rowOff>172080</xdr:rowOff>
    </xdr:to>
    <xdr:graphicFrame>
      <xdr:nvGraphicFramePr>
        <xdr:cNvPr id="5" name="Chart 3"/>
        <xdr:cNvGraphicFramePr/>
      </xdr:nvGraphicFramePr>
      <xdr:xfrm>
        <a:off x="9774720" y="838188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64</xdr:row>
      <xdr:rowOff>160560</xdr:rowOff>
    </xdr:from>
    <xdr:to>
      <xdr:col>20</xdr:col>
      <xdr:colOff>473400</xdr:colOff>
      <xdr:row>80</xdr:row>
      <xdr:rowOff>21960</xdr:rowOff>
    </xdr:to>
    <xdr:graphicFrame>
      <xdr:nvGraphicFramePr>
        <xdr:cNvPr id="6" name="Chart 4"/>
        <xdr:cNvGraphicFramePr/>
      </xdr:nvGraphicFramePr>
      <xdr:xfrm>
        <a:off x="9774720" y="1238256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83</xdr:row>
      <xdr:rowOff>10080</xdr:rowOff>
    </xdr:from>
    <xdr:to>
      <xdr:col>20</xdr:col>
      <xdr:colOff>473400</xdr:colOff>
      <xdr:row>98</xdr:row>
      <xdr:rowOff>61920</xdr:rowOff>
    </xdr:to>
    <xdr:graphicFrame>
      <xdr:nvGraphicFramePr>
        <xdr:cNvPr id="7" name="Chart 5"/>
        <xdr:cNvGraphicFramePr/>
      </xdr:nvGraphicFramePr>
      <xdr:xfrm>
        <a:off x="9774720" y="1600200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101</xdr:row>
      <xdr:rowOff>50040</xdr:rowOff>
    </xdr:from>
    <xdr:to>
      <xdr:col>20</xdr:col>
      <xdr:colOff>473400</xdr:colOff>
      <xdr:row>116</xdr:row>
      <xdr:rowOff>101880</xdr:rowOff>
    </xdr:to>
    <xdr:graphicFrame>
      <xdr:nvGraphicFramePr>
        <xdr:cNvPr id="8" name="Chart 6"/>
        <xdr:cNvGraphicFramePr/>
      </xdr:nvGraphicFramePr>
      <xdr:xfrm>
        <a:off x="9774720" y="1962144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119</xdr:row>
      <xdr:rowOff>90000</xdr:rowOff>
    </xdr:from>
    <xdr:to>
      <xdr:col>20</xdr:col>
      <xdr:colOff>473400</xdr:colOff>
      <xdr:row>134</xdr:row>
      <xdr:rowOff>141840</xdr:rowOff>
    </xdr:to>
    <xdr:graphicFrame>
      <xdr:nvGraphicFramePr>
        <xdr:cNvPr id="9" name="Chart 7"/>
        <xdr:cNvGraphicFramePr/>
      </xdr:nvGraphicFramePr>
      <xdr:xfrm>
        <a:off x="9774720" y="2324088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137</xdr:row>
      <xdr:rowOff>130320</xdr:rowOff>
    </xdr:from>
    <xdr:to>
      <xdr:col>20</xdr:col>
      <xdr:colOff>473400</xdr:colOff>
      <xdr:row>152</xdr:row>
      <xdr:rowOff>182160</xdr:rowOff>
    </xdr:to>
    <xdr:graphicFrame>
      <xdr:nvGraphicFramePr>
        <xdr:cNvPr id="10" name="Chart 8"/>
        <xdr:cNvGraphicFramePr/>
      </xdr:nvGraphicFramePr>
      <xdr:xfrm>
        <a:off x="9774720" y="2686068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0</xdr:colOff>
      <xdr:row>155</xdr:row>
      <xdr:rowOff>170280</xdr:rowOff>
    </xdr:from>
    <xdr:to>
      <xdr:col>20</xdr:col>
      <xdr:colOff>473400</xdr:colOff>
      <xdr:row>171</xdr:row>
      <xdr:rowOff>31320</xdr:rowOff>
    </xdr:to>
    <xdr:graphicFrame>
      <xdr:nvGraphicFramePr>
        <xdr:cNvPr id="11" name="Chart 9"/>
        <xdr:cNvGraphicFramePr/>
      </xdr:nvGraphicFramePr>
      <xdr:xfrm>
        <a:off x="9774720" y="3048012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0</xdr:colOff>
      <xdr:row>174</xdr:row>
      <xdr:rowOff>19800</xdr:rowOff>
    </xdr:from>
    <xdr:to>
      <xdr:col>20</xdr:col>
      <xdr:colOff>473400</xdr:colOff>
      <xdr:row>189</xdr:row>
      <xdr:rowOff>71280</xdr:rowOff>
    </xdr:to>
    <xdr:graphicFrame>
      <xdr:nvGraphicFramePr>
        <xdr:cNvPr id="12" name="Chart 10"/>
        <xdr:cNvGraphicFramePr/>
      </xdr:nvGraphicFramePr>
      <xdr:xfrm>
        <a:off x="9774720" y="3409956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50040</xdr:rowOff>
    </xdr:from>
    <xdr:to>
      <xdr:col>4</xdr:col>
      <xdr:colOff>65520</xdr:colOff>
      <xdr:row>35</xdr:row>
      <xdr:rowOff>51120</xdr:rowOff>
    </xdr:to>
    <xdr:graphicFrame>
      <xdr:nvGraphicFramePr>
        <xdr:cNvPr id="13" name="Chart 1"/>
        <xdr:cNvGraphicFramePr/>
      </xdr:nvGraphicFramePr>
      <xdr:xfrm>
        <a:off x="0" y="3809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17</xdr:col>
      <xdr:colOff>473040</xdr:colOff>
      <xdr:row>20</xdr:row>
      <xdr:rowOff>30600</xdr:rowOff>
    </xdr:to>
    <xdr:graphicFrame>
      <xdr:nvGraphicFramePr>
        <xdr:cNvPr id="14" name="Chart 1"/>
        <xdr:cNvGraphicFramePr/>
      </xdr:nvGraphicFramePr>
      <xdr:xfrm>
        <a:off x="850572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50040</xdr:rowOff>
    </xdr:from>
    <xdr:to>
      <xdr:col>17</xdr:col>
      <xdr:colOff>473040</xdr:colOff>
      <xdr:row>38</xdr:row>
      <xdr:rowOff>72360</xdr:rowOff>
    </xdr:to>
    <xdr:graphicFrame>
      <xdr:nvGraphicFramePr>
        <xdr:cNvPr id="15" name="Chart 2"/>
        <xdr:cNvGraphicFramePr/>
      </xdr:nvGraphicFramePr>
      <xdr:xfrm>
        <a:off x="8505720" y="47624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16</xdr:col>
      <xdr:colOff>256320</xdr:colOff>
      <xdr:row>20</xdr:row>
      <xdr:rowOff>181080</xdr:rowOff>
    </xdr:to>
    <xdr:graphicFrame>
      <xdr:nvGraphicFramePr>
        <xdr:cNvPr id="16" name="Chart 1"/>
        <xdr:cNvGraphicFramePr/>
      </xdr:nvGraphicFramePr>
      <xdr:xfrm>
        <a:off x="7660080" y="5716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23</xdr:row>
      <xdr:rowOff>10080</xdr:rowOff>
    </xdr:from>
    <xdr:to>
      <xdr:col>16</xdr:col>
      <xdr:colOff>256320</xdr:colOff>
      <xdr:row>39</xdr:row>
      <xdr:rowOff>51480</xdr:rowOff>
    </xdr:to>
    <xdr:graphicFrame>
      <xdr:nvGraphicFramePr>
        <xdr:cNvPr id="17" name="Chart 2"/>
        <xdr:cNvGraphicFramePr/>
      </xdr:nvGraphicFramePr>
      <xdr:xfrm>
        <a:off x="7660080" y="4572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43</xdr:row>
      <xdr:rowOff>50400</xdr:rowOff>
    </xdr:from>
    <xdr:to>
      <xdr:col>16</xdr:col>
      <xdr:colOff>256320</xdr:colOff>
      <xdr:row>56</xdr:row>
      <xdr:rowOff>123120</xdr:rowOff>
    </xdr:to>
    <xdr:graphicFrame>
      <xdr:nvGraphicFramePr>
        <xdr:cNvPr id="18" name="Chart 3"/>
        <xdr:cNvGraphicFramePr/>
      </xdr:nvGraphicFramePr>
      <xdr:xfrm>
        <a:off x="766008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60</xdr:row>
      <xdr:rowOff>90360</xdr:rowOff>
    </xdr:from>
    <xdr:to>
      <xdr:col>16</xdr:col>
      <xdr:colOff>256320</xdr:colOff>
      <xdr:row>73</xdr:row>
      <xdr:rowOff>163080</xdr:rowOff>
    </xdr:to>
    <xdr:graphicFrame>
      <xdr:nvGraphicFramePr>
        <xdr:cNvPr id="19" name="Chart 4"/>
        <xdr:cNvGraphicFramePr/>
      </xdr:nvGraphicFramePr>
      <xdr:xfrm>
        <a:off x="7660080" y="1200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77</xdr:row>
      <xdr:rowOff>130320</xdr:rowOff>
    </xdr:from>
    <xdr:to>
      <xdr:col>16</xdr:col>
      <xdr:colOff>256320</xdr:colOff>
      <xdr:row>92</xdr:row>
      <xdr:rowOff>2160</xdr:rowOff>
    </xdr:to>
    <xdr:graphicFrame>
      <xdr:nvGraphicFramePr>
        <xdr:cNvPr id="20" name="Chart 5"/>
        <xdr:cNvGraphicFramePr/>
      </xdr:nvGraphicFramePr>
      <xdr:xfrm>
        <a:off x="7660080" y="1543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95</xdr:row>
      <xdr:rowOff>170280</xdr:rowOff>
    </xdr:from>
    <xdr:to>
      <xdr:col>17</xdr:col>
      <xdr:colOff>364680</xdr:colOff>
      <xdr:row>119</xdr:row>
      <xdr:rowOff>127440</xdr:rowOff>
    </xdr:to>
    <xdr:graphicFrame>
      <xdr:nvGraphicFramePr>
        <xdr:cNvPr id="21" name="Chart 6"/>
        <xdr:cNvGraphicFramePr/>
      </xdr:nvGraphicFramePr>
      <xdr:xfrm>
        <a:off x="7660080" y="1905012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160560</xdr:rowOff>
    </xdr:from>
    <xdr:to>
      <xdr:col>14</xdr:col>
      <xdr:colOff>11160</xdr:colOff>
      <xdr:row>21</xdr:row>
      <xdr:rowOff>39240</xdr:rowOff>
    </xdr:to>
    <xdr:pic>
      <xdr:nvPicPr>
        <xdr:cNvPr id="22" name="Image 1" descr="Picture"/>
        <xdr:cNvPicPr/>
      </xdr:nvPicPr>
      <xdr:blipFill>
        <a:blip r:embed="rId1"/>
        <a:stretch/>
      </xdr:blipFill>
      <xdr:spPr>
        <a:xfrm>
          <a:off x="0" y="952560"/>
          <a:ext cx="857232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39600</xdr:rowOff>
    </xdr:from>
    <xdr:to>
      <xdr:col>14</xdr:col>
      <xdr:colOff>11160</xdr:colOff>
      <xdr:row>48</xdr:row>
      <xdr:rowOff>79200</xdr:rowOff>
    </xdr:to>
    <xdr:pic>
      <xdr:nvPicPr>
        <xdr:cNvPr id="23" name="Image 2" descr="Picture"/>
        <xdr:cNvPicPr/>
      </xdr:nvPicPr>
      <xdr:blipFill>
        <a:blip r:embed="rId2"/>
        <a:stretch/>
      </xdr:blipFill>
      <xdr:spPr>
        <a:xfrm>
          <a:off x="0" y="5143680"/>
          <a:ext cx="85723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</xdr:row>
      <xdr:rowOff>79200</xdr:rowOff>
    </xdr:from>
    <xdr:to>
      <xdr:col>14</xdr:col>
      <xdr:colOff>11160</xdr:colOff>
      <xdr:row>75</xdr:row>
      <xdr:rowOff>147960</xdr:rowOff>
    </xdr:to>
    <xdr:pic>
      <xdr:nvPicPr>
        <xdr:cNvPr id="24" name="Image 3" descr="Picture"/>
        <xdr:cNvPicPr/>
      </xdr:nvPicPr>
      <xdr:blipFill>
        <a:blip r:embed="rId3"/>
        <a:stretch/>
      </xdr:blipFill>
      <xdr:spPr>
        <a:xfrm>
          <a:off x="0" y="10477440"/>
          <a:ext cx="85723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</xdr:row>
      <xdr:rowOff>148680</xdr:rowOff>
    </xdr:from>
    <xdr:to>
      <xdr:col>14</xdr:col>
      <xdr:colOff>11160</xdr:colOff>
      <xdr:row>100</xdr:row>
      <xdr:rowOff>17280</xdr:rowOff>
    </xdr:to>
    <xdr:pic>
      <xdr:nvPicPr>
        <xdr:cNvPr id="25" name="Image 4" descr="Picture"/>
        <xdr:cNvPicPr/>
      </xdr:nvPicPr>
      <xdr:blipFill>
        <a:blip r:embed="rId4"/>
        <a:stretch/>
      </xdr:blipFill>
      <xdr:spPr>
        <a:xfrm>
          <a:off x="0" y="16002000"/>
          <a:ext cx="8572320" cy="418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27360</xdr:rowOff>
    </xdr:from>
    <xdr:to>
      <xdr:col>14</xdr:col>
      <xdr:colOff>11160</xdr:colOff>
      <xdr:row>121</xdr:row>
      <xdr:rowOff>93600</xdr:rowOff>
    </xdr:to>
    <xdr:pic>
      <xdr:nvPicPr>
        <xdr:cNvPr id="26" name="Image 5" descr="Picture"/>
        <xdr:cNvPicPr/>
      </xdr:nvPicPr>
      <xdr:blipFill>
        <a:blip r:embed="rId5"/>
        <a:stretch/>
      </xdr:blipFill>
      <xdr:spPr>
        <a:xfrm>
          <a:off x="0" y="20764440"/>
          <a:ext cx="8572320" cy="349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</xdr:row>
      <xdr:rowOff>27360</xdr:rowOff>
    </xdr:from>
    <xdr:to>
      <xdr:col>14</xdr:col>
      <xdr:colOff>11160</xdr:colOff>
      <xdr:row>170</xdr:row>
      <xdr:rowOff>114120</xdr:rowOff>
    </xdr:to>
    <xdr:pic>
      <xdr:nvPicPr>
        <xdr:cNvPr id="27" name="Image 6" descr="Picture"/>
        <xdr:cNvPicPr/>
      </xdr:nvPicPr>
      <xdr:blipFill>
        <a:blip r:embed="rId6"/>
        <a:stretch/>
      </xdr:blipFill>
      <xdr:spPr>
        <a:xfrm>
          <a:off x="0" y="27812880"/>
          <a:ext cx="8572320" cy="5952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174</xdr:row>
      <xdr:rowOff>67320</xdr:rowOff>
    </xdr:from>
    <xdr:to>
      <xdr:col>14</xdr:col>
      <xdr:colOff>11160</xdr:colOff>
      <xdr:row>210</xdr:row>
      <xdr:rowOff>126720</xdr:rowOff>
    </xdr:to>
    <xdr:pic>
      <xdr:nvPicPr>
        <xdr:cNvPr id="28" name="Image 7" descr="Picture"/>
        <xdr:cNvPicPr/>
      </xdr:nvPicPr>
      <xdr:blipFill>
        <a:blip r:embed="rId7"/>
        <a:stretch/>
      </xdr:blipFill>
      <xdr:spPr>
        <a:xfrm>
          <a:off x="0" y="34480440"/>
          <a:ext cx="8572320" cy="7229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213</xdr:row>
      <xdr:rowOff>136440</xdr:rowOff>
    </xdr:from>
    <xdr:to>
      <xdr:col>14</xdr:col>
      <xdr:colOff>11160</xdr:colOff>
      <xdr:row>230</xdr:row>
      <xdr:rowOff>147960</xdr:rowOff>
    </xdr:to>
    <xdr:pic>
      <xdr:nvPicPr>
        <xdr:cNvPr id="29" name="Image 8" descr="Picture"/>
        <xdr:cNvPicPr/>
      </xdr:nvPicPr>
      <xdr:blipFill>
        <a:blip r:embed="rId8"/>
        <a:stretch/>
      </xdr:blipFill>
      <xdr:spPr>
        <a:xfrm>
          <a:off x="0" y="42291000"/>
          <a:ext cx="8572320" cy="356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234</xdr:row>
      <xdr:rowOff>15480</xdr:rowOff>
    </xdr:from>
    <xdr:to>
      <xdr:col>14</xdr:col>
      <xdr:colOff>11160</xdr:colOff>
      <xdr:row>262</xdr:row>
      <xdr:rowOff>141480</xdr:rowOff>
    </xdr:to>
    <xdr:pic>
      <xdr:nvPicPr>
        <xdr:cNvPr id="30" name="Image 9" descr="Picture"/>
        <xdr:cNvPicPr/>
      </xdr:nvPicPr>
      <xdr:blipFill>
        <a:blip r:embed="rId9"/>
        <a:stretch/>
      </xdr:blipFill>
      <xdr:spPr>
        <a:xfrm>
          <a:off x="0" y="46482120"/>
          <a:ext cx="8572320" cy="5771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../home/user/imta/excel/IMTA_KPI_decision_tool.xlsx" TargetMode="External"/><Relationship Id="rId2" Type="http://schemas.openxmlformats.org/officeDocument/2006/relationships/hyperlink" Target="../../../../../../home/user/imta/excel/IMTA_KPI_decision_tool.xlsx" TargetMode="External"/><Relationship Id="rId3" Type="http://schemas.openxmlformats.org/officeDocument/2006/relationships/hyperlink" Target="../../../../../../home/user/imta/excel/IMTA_KPI_decision_tool.xlsx" TargetMode="External"/><Relationship Id="rId4" Type="http://schemas.openxmlformats.org/officeDocument/2006/relationships/hyperlink" Target="../../../../../../home/user/imta/excel/IMTA_KPI_decision_tool.xlsx" TargetMode="External"/><Relationship Id="rId5" Type="http://schemas.openxmlformats.org/officeDocument/2006/relationships/hyperlink" Target="../../../../../../home/user/imta/excel/IMTA_KPI_decision_tool.xlsx" TargetMode="External"/><Relationship Id="rId6" Type="http://schemas.openxmlformats.org/officeDocument/2006/relationships/hyperlink" Target="../../../../../../home/user/imta/excel/IMTA_KPI_decision_tool.xlsx" TargetMode="External"/><Relationship Id="rId7" Type="http://schemas.openxmlformats.org/officeDocument/2006/relationships/hyperlink" Target="../../../../../../home/user/imta/excel/IMTA_KPI_decision_tool.xlsx" TargetMode="External"/><Relationship Id="rId8" Type="http://schemas.openxmlformats.org/officeDocument/2006/relationships/hyperlink" Target="../../../../../../home/user/imta/excel/IMTA_KPI_decision_tool.xlsx" TargetMode="External"/><Relationship Id="rId9" Type="http://schemas.openxmlformats.org/officeDocument/2006/relationships/hyperlink" Target="../../../../../../home/user/imta/excel/IMTA_KPI_decision_tool.xlsx" TargetMode="External"/><Relationship Id="rId10" Type="http://schemas.openxmlformats.org/officeDocument/2006/relationships/hyperlink" Target="../../../../../../home/user/imta/excel/IMTA_KPI_decision_tool.xlsx" TargetMode="External"/><Relationship Id="rId11" Type="http://schemas.openxmlformats.org/officeDocument/2006/relationships/hyperlink" Target="../../../../../../home/user/imta/excel/IMTA_KPI_decision_tool.xlsx" TargetMode="External"/><Relationship Id="rId12" Type="http://schemas.openxmlformats.org/officeDocument/2006/relationships/hyperlink" Target="../../../../../../home/user/imta/excel/IMTA_KPI_decision_tool.xlsx" TargetMode="External"/><Relationship Id="rId13" Type="http://schemas.openxmlformats.org/officeDocument/2006/relationships/hyperlink" Target="../../../../../../home/user/imta/excel/IMTA_KPI_decision_tool.xlsx" TargetMode="External"/><Relationship Id="rId14" Type="http://schemas.openxmlformats.org/officeDocument/2006/relationships/hyperlink" Target="../../../../../../home/user/imta/excel/IMTA_KPI_decision_tool.xlsx" TargetMode="External"/><Relationship Id="rId15" Type="http://schemas.openxmlformats.org/officeDocument/2006/relationships/hyperlink" Target="../../../../../../home/user/imta/excel/IMTA_KPI_decision_tool.xlsx" TargetMode="External"/><Relationship Id="rId16" Type="http://schemas.openxmlformats.org/officeDocument/2006/relationships/hyperlink" Target="../../../../../../home/user/imta/excel/IMTA_KPI_decision_tool.xlsx" TargetMode="External"/><Relationship Id="rId17" Type="http://schemas.openxmlformats.org/officeDocument/2006/relationships/hyperlink" Target="../../../../../../home/user/imta/excel/IMTA_KPI_decision_tool.xlsx" TargetMode="External"/><Relationship Id="rId18" Type="http://schemas.openxmlformats.org/officeDocument/2006/relationships/hyperlink" Target="../../../../../../home/user/imta/excel/IMTA_KPI_decision_tool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0"/>
    <col collapsed="false" customWidth="true" hidden="false" outlineLevel="0" max="5" min="4" style="0" width="24"/>
    <col collapsed="false" customWidth="true" hidden="false" outlineLevel="0" max="6" min="6" style="0" width="52"/>
  </cols>
  <sheetData>
    <row r="1" customFormat="false" ht="30" hidden="false" customHeight="true" outlineLevel="0" collapsed="false">
      <c r="A1" s="1"/>
      <c r="B1" s="2" t="s">
        <v>0</v>
      </c>
      <c r="C1" s="1"/>
      <c r="D1" s="1"/>
      <c r="E1" s="1"/>
      <c r="F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</row>
    <row r="4" customFormat="false" ht="19.5" hidden="false" customHeight="true" outlineLevel="0" collapsed="false">
      <c r="B4" s="4" t="s">
        <v>2</v>
      </c>
      <c r="C4" s="5"/>
      <c r="D4" s="5"/>
      <c r="E4" s="5"/>
      <c r="F4" s="5"/>
    </row>
    <row r="6" customFormat="false" ht="48" hidden="false" customHeight="true" outlineLevel="0" collapsed="false">
      <c r="B6" s="6" t="s">
        <v>3</v>
      </c>
      <c r="C6" s="6"/>
      <c r="D6" s="6"/>
      <c r="E6" s="6"/>
      <c r="F6" s="6"/>
    </row>
    <row r="7" customFormat="false" ht="31.5" hidden="false" customHeight="true" outlineLevel="0" collapsed="false">
      <c r="B7" s="7" t="s">
        <v>4</v>
      </c>
      <c r="C7" s="7"/>
      <c r="D7" s="7"/>
      <c r="E7" s="7"/>
      <c r="F7" s="7"/>
    </row>
    <row r="9" customFormat="false" ht="19.5" hidden="false" customHeight="true" outlineLevel="0" collapsed="false">
      <c r="B9" s="4" t="s">
        <v>5</v>
      </c>
      <c r="C9" s="5"/>
      <c r="D9" s="5"/>
      <c r="E9" s="5"/>
      <c r="F9" s="5"/>
    </row>
    <row r="11" customFormat="false" ht="15" hidden="false" customHeight="true" outlineLevel="0" collapsed="false">
      <c r="B11" s="8" t="s">
        <v>6</v>
      </c>
      <c r="C11" s="8" t="s">
        <v>7</v>
      </c>
      <c r="D11" s="8" t="s">
        <v>8</v>
      </c>
      <c r="E11" s="8"/>
      <c r="F11" s="8" t="s">
        <v>9</v>
      </c>
    </row>
    <row r="12" customFormat="false" ht="31.5" hidden="false" customHeight="true" outlineLevel="0" collapsed="false">
      <c r="B12" s="9" t="s">
        <v>10</v>
      </c>
      <c r="C12" s="10" t="s">
        <v>11</v>
      </c>
      <c r="D12" s="11" t="s">
        <v>12</v>
      </c>
      <c r="E12" s="11"/>
      <c r="F12" s="11" t="s">
        <v>13</v>
      </c>
    </row>
    <row r="13" customFormat="false" ht="31.5" hidden="false" customHeight="true" outlineLevel="0" collapsed="false">
      <c r="B13" s="12" t="s">
        <v>14</v>
      </c>
      <c r="C13" s="10" t="s">
        <v>15</v>
      </c>
      <c r="D13" s="11" t="s">
        <v>16</v>
      </c>
      <c r="E13" s="11"/>
      <c r="F13" s="11" t="s">
        <v>17</v>
      </c>
    </row>
    <row r="14" customFormat="false" ht="31.5" hidden="false" customHeight="true" outlineLevel="0" collapsed="false">
      <c r="B14" s="13" t="s">
        <v>18</v>
      </c>
      <c r="C14" s="10" t="s">
        <v>19</v>
      </c>
      <c r="D14" s="11" t="s">
        <v>12</v>
      </c>
      <c r="E14" s="11"/>
      <c r="F14" s="11" t="s">
        <v>20</v>
      </c>
    </row>
    <row r="16" customFormat="false" ht="19.5" hidden="false" customHeight="true" outlineLevel="0" collapsed="false">
      <c r="B16" s="4" t="s">
        <v>21</v>
      </c>
      <c r="C16" s="5"/>
      <c r="D16" s="5"/>
      <c r="E16" s="5"/>
      <c r="F16" s="5"/>
    </row>
    <row r="18" customFormat="false" ht="26.85" hidden="false" customHeight="true" outlineLevel="0" collapsed="false">
      <c r="B18" s="8" t="s">
        <v>22</v>
      </c>
      <c r="C18" s="8"/>
      <c r="D18" s="8" t="s">
        <v>11</v>
      </c>
      <c r="E18" s="8" t="s">
        <v>15</v>
      </c>
      <c r="F18" s="8" t="s">
        <v>19</v>
      </c>
    </row>
    <row r="19" customFormat="false" ht="15" hidden="false" customHeight="false" outlineLevel="0" collapsed="false">
      <c r="B19" s="14" t="s">
        <v>23</v>
      </c>
      <c r="C19" s="14"/>
      <c r="D19" s="15" t="str">
        <f aca="false">'KPI framework'!J22</f>
        <v>9 / 13</v>
      </c>
      <c r="E19" s="15" t="str">
        <f aca="false">'KPI framework'!K22</f>
        <v>12 / 13</v>
      </c>
      <c r="F19" s="15" t="str">
        <f aca="false">'KPI framework'!L22</f>
        <v>0 / 13</v>
      </c>
    </row>
    <row r="20" customFormat="false" ht="15" hidden="false" customHeight="false" outlineLevel="0" collapsed="false">
      <c r="B20" s="14" t="s">
        <v>24</v>
      </c>
      <c r="C20" s="14"/>
      <c r="D20" s="16" t="n">
        <f aca="false">Comparison!C5</f>
        <v>2801</v>
      </c>
      <c r="E20" s="16" t="n">
        <f aca="false">Comparison!D5</f>
        <v>1255</v>
      </c>
      <c r="F20" s="16" t="n">
        <f aca="false">Comparison!E5</f>
        <v>2836</v>
      </c>
    </row>
    <row r="21" customFormat="false" ht="15" hidden="false" customHeight="false" outlineLevel="0" collapsed="false">
      <c r="B21" s="14" t="s">
        <v>25</v>
      </c>
      <c r="C21" s="14"/>
      <c r="D21" s="16" t="n">
        <f aca="false">Comparison!C9</f>
        <v>26</v>
      </c>
      <c r="E21" s="16" t="n">
        <f aca="false">Comparison!D9</f>
        <v>2</v>
      </c>
      <c r="F21" s="16" t="n">
        <f aca="false">Comparison!E9</f>
        <v>61</v>
      </c>
    </row>
    <row r="22" customFormat="false" ht="15" hidden="false" customHeight="false" outlineLevel="0" collapsed="false">
      <c r="B22" s="14" t="s">
        <v>26</v>
      </c>
      <c r="C22" s="14"/>
      <c r="D22" s="16" t="n">
        <f aca="false">Comparison!C10</f>
        <v>2946</v>
      </c>
      <c r="E22" s="16" t="n">
        <f aca="false">Comparison!D10</f>
        <v>4885</v>
      </c>
      <c r="F22" s="16" t="n">
        <f aca="false">Comparison!E10</f>
        <v>2379</v>
      </c>
    </row>
    <row r="23" customFormat="false" ht="15" hidden="false" customHeight="false" outlineLevel="0" collapsed="false">
      <c r="B23" s="14" t="s">
        <v>27</v>
      </c>
      <c r="C23" s="14"/>
      <c r="D23" s="16" t="n">
        <f aca="false">Comparison!C11</f>
        <v>163840</v>
      </c>
      <c r="E23" s="16" t="n">
        <f aca="false">Comparison!D11</f>
        <v>115691</v>
      </c>
      <c r="F23" s="16" t="n">
        <f aca="false">Comparison!E11</f>
        <v>393002</v>
      </c>
    </row>
    <row r="24" customFormat="false" ht="15" hidden="false" customHeight="false" outlineLevel="0" collapsed="false">
      <c r="B24" s="14" t="s">
        <v>28</v>
      </c>
      <c r="C24" s="14"/>
      <c r="D24" s="17" t="n">
        <f aca="false">'Nutrient balance'!C13</f>
        <v>0.469758878127522</v>
      </c>
      <c r="E24" s="17" t="n">
        <f aca="false">'Nutrient balance'!D13</f>
        <v>1.1060393258427</v>
      </c>
      <c r="F24" s="17" t="n">
        <f aca="false">'Nutrient balance'!E13</f>
        <v>0.201757240481614</v>
      </c>
    </row>
    <row r="25" customFormat="false" ht="15" hidden="false" customHeight="false" outlineLevel="0" collapsed="false">
      <c r="B25" s="14" t="s">
        <v>29</v>
      </c>
      <c r="C25" s="14"/>
      <c r="D25" s="18" t="n">
        <f aca="false">'Nutrient balance'!C14</f>
        <v>54.7384865744508</v>
      </c>
      <c r="E25" s="18" t="n">
        <f aca="false">'Nutrient balance'!D14</f>
        <v>-3.79874213836478</v>
      </c>
      <c r="F25" s="18" t="n">
        <f aca="false">'Nutrient balance'!E14</f>
        <v>95.9296072999837</v>
      </c>
    </row>
    <row r="26" customFormat="false" ht="15" hidden="false" customHeight="true" outlineLevel="0" collapsed="false">
      <c r="B26" s="19" t="s">
        <v>30</v>
      </c>
      <c r="C26" s="19"/>
      <c r="D26" s="19"/>
      <c r="E26" s="19"/>
      <c r="F26" s="19"/>
    </row>
    <row r="28" customFormat="false" ht="19.5" hidden="false" customHeight="true" outlineLevel="0" collapsed="false">
      <c r="B28" s="4" t="s">
        <v>31</v>
      </c>
      <c r="C28" s="5"/>
      <c r="D28" s="5"/>
      <c r="E28" s="5"/>
      <c r="F28" s="5"/>
    </row>
    <row r="30" customFormat="false" ht="15" hidden="false" customHeight="true" outlineLevel="0" collapsed="false">
      <c r="B30" s="8" t="s">
        <v>32</v>
      </c>
      <c r="C30" s="8" t="s">
        <v>33</v>
      </c>
      <c r="D30" s="8"/>
      <c r="E30" s="8"/>
      <c r="F30" s="8" t="s">
        <v>34</v>
      </c>
    </row>
    <row r="31" customFormat="false" ht="15" hidden="false" customHeight="false" outlineLevel="0" collapsed="false">
      <c r="B31" s="20" t="s">
        <v>35</v>
      </c>
      <c r="C31" s="14" t="s">
        <v>36</v>
      </c>
      <c r="D31" s="14"/>
      <c r="E31" s="14"/>
      <c r="F31" s="21" t="s">
        <v>37</v>
      </c>
    </row>
    <row r="32" customFormat="false" ht="15" hidden="false" customHeight="false" outlineLevel="0" collapsed="false">
      <c r="B32" s="20" t="s">
        <v>38</v>
      </c>
      <c r="C32" s="14" t="s">
        <v>39</v>
      </c>
      <c r="D32" s="14"/>
      <c r="E32" s="14"/>
      <c r="F32" s="21" t="s">
        <v>40</v>
      </c>
    </row>
    <row r="33" customFormat="false" ht="15" hidden="false" customHeight="false" outlineLevel="0" collapsed="false">
      <c r="B33" s="20" t="s">
        <v>41</v>
      </c>
      <c r="C33" s="14" t="s">
        <v>42</v>
      </c>
      <c r="D33" s="14"/>
      <c r="E33" s="14"/>
      <c r="F33" s="21" t="s">
        <v>37</v>
      </c>
    </row>
    <row r="34" customFormat="false" ht="15" hidden="false" customHeight="false" outlineLevel="0" collapsed="false">
      <c r="B34" s="20" t="s">
        <v>43</v>
      </c>
      <c r="C34" s="14" t="s">
        <v>44</v>
      </c>
      <c r="D34" s="14"/>
      <c r="E34" s="14"/>
      <c r="F34" s="21" t="s">
        <v>45</v>
      </c>
    </row>
    <row r="35" customFormat="false" ht="15" hidden="false" customHeight="false" outlineLevel="0" collapsed="false">
      <c r="B35" s="20" t="s">
        <v>46</v>
      </c>
      <c r="C35" s="14" t="s">
        <v>47</v>
      </c>
      <c r="D35" s="14"/>
      <c r="E35" s="14"/>
      <c r="F35" s="21" t="s">
        <v>45</v>
      </c>
    </row>
    <row r="36" customFormat="false" ht="15" hidden="false" customHeight="false" outlineLevel="0" collapsed="false">
      <c r="B36" s="20" t="s">
        <v>48</v>
      </c>
      <c r="C36" s="14" t="s">
        <v>49</v>
      </c>
      <c r="D36" s="14"/>
      <c r="E36" s="14"/>
      <c r="F36" s="21" t="s">
        <v>50</v>
      </c>
    </row>
    <row r="37" customFormat="false" ht="15" hidden="false" customHeight="false" outlineLevel="0" collapsed="false">
      <c r="B37" s="20" t="s">
        <v>51</v>
      </c>
      <c r="C37" s="14" t="s">
        <v>52</v>
      </c>
      <c r="D37" s="14"/>
      <c r="E37" s="14"/>
      <c r="F37" s="21" t="s">
        <v>45</v>
      </c>
    </row>
    <row r="38" customFormat="false" ht="15" hidden="false" customHeight="false" outlineLevel="0" collapsed="false">
      <c r="B38" s="20" t="s">
        <v>53</v>
      </c>
      <c r="C38" s="14" t="s">
        <v>54</v>
      </c>
      <c r="D38" s="14"/>
      <c r="E38" s="14"/>
      <c r="F38" s="21" t="s">
        <v>55</v>
      </c>
    </row>
    <row r="39" customFormat="false" ht="15" hidden="false" customHeight="false" outlineLevel="0" collapsed="false">
      <c r="B39" s="20" t="s">
        <v>56</v>
      </c>
      <c r="C39" s="14" t="s">
        <v>57</v>
      </c>
      <c r="D39" s="14"/>
      <c r="E39" s="14"/>
      <c r="F39" s="21" t="s">
        <v>58</v>
      </c>
    </row>
    <row r="40" customFormat="false" ht="15" hidden="false" customHeight="false" outlineLevel="0" collapsed="false">
      <c r="B40" s="20" t="s">
        <v>59</v>
      </c>
      <c r="C40" s="14" t="s">
        <v>60</v>
      </c>
      <c r="D40" s="14"/>
      <c r="E40" s="14"/>
      <c r="F40" s="21" t="s">
        <v>45</v>
      </c>
    </row>
    <row r="41" customFormat="false" ht="15" hidden="false" customHeight="false" outlineLevel="0" collapsed="false">
      <c r="B41" s="20" t="s">
        <v>61</v>
      </c>
      <c r="C41" s="14" t="s">
        <v>62</v>
      </c>
      <c r="D41" s="14"/>
      <c r="E41" s="14"/>
      <c r="F41" s="21" t="s">
        <v>63</v>
      </c>
    </row>
    <row r="42" customFormat="false" ht="15" hidden="false" customHeight="false" outlineLevel="0" collapsed="false">
      <c r="B42" s="20" t="s">
        <v>64</v>
      </c>
      <c r="C42" s="14" t="s">
        <v>65</v>
      </c>
      <c r="D42" s="14"/>
      <c r="E42" s="14"/>
      <c r="F42" s="21" t="s">
        <v>66</v>
      </c>
    </row>
    <row r="43" customFormat="false" ht="15" hidden="false" customHeight="false" outlineLevel="0" collapsed="false">
      <c r="B43" s="20" t="s">
        <v>67</v>
      </c>
      <c r="C43" s="14" t="s">
        <v>68</v>
      </c>
      <c r="D43" s="14"/>
      <c r="E43" s="14"/>
      <c r="F43" s="21" t="s">
        <v>40</v>
      </c>
    </row>
    <row r="44" customFormat="false" ht="15" hidden="false" customHeight="false" outlineLevel="0" collapsed="false">
      <c r="B44" s="20" t="s">
        <v>69</v>
      </c>
      <c r="C44" s="14" t="s">
        <v>70</v>
      </c>
      <c r="D44" s="14"/>
      <c r="E44" s="14"/>
      <c r="F44" s="21" t="s">
        <v>71</v>
      </c>
    </row>
    <row r="45" customFormat="false" ht="15" hidden="false" customHeight="false" outlineLevel="0" collapsed="false">
      <c r="B45" s="20" t="s">
        <v>72</v>
      </c>
      <c r="C45" s="14" t="s">
        <v>73</v>
      </c>
      <c r="D45" s="14"/>
      <c r="E45" s="14"/>
      <c r="F45" s="21" t="s">
        <v>37</v>
      </c>
    </row>
    <row r="47" customFormat="false" ht="19.5" hidden="false" customHeight="true" outlineLevel="0" collapsed="false">
      <c r="B47" s="4" t="s">
        <v>74</v>
      </c>
      <c r="C47" s="5"/>
      <c r="D47" s="5"/>
      <c r="E47" s="5"/>
      <c r="F47" s="5"/>
    </row>
    <row r="49" customFormat="false" ht="15" hidden="false" customHeight="false" outlineLevel="0" collapsed="false">
      <c r="B49" s="22" t="n">
        <v>1888</v>
      </c>
      <c r="C49" s="23" t="s">
        <v>75</v>
      </c>
      <c r="D49" s="23"/>
      <c r="E49" s="23"/>
      <c r="F49" s="23"/>
    </row>
    <row r="50" customFormat="false" ht="15" hidden="false" customHeight="false" outlineLevel="0" collapsed="false">
      <c r="B50" s="24" t="n">
        <f aca="false">B49*2</f>
        <v>3776</v>
      </c>
      <c r="C50" s="23" t="s">
        <v>76</v>
      </c>
      <c r="D50" s="23"/>
      <c r="E50" s="23"/>
      <c r="F50" s="23"/>
    </row>
    <row r="51" customFormat="false" ht="15" hidden="false" customHeight="false" outlineLevel="0" collapsed="false">
      <c r="B51" s="25" t="s">
        <v>77</v>
      </c>
      <c r="C51" s="23" t="s">
        <v>78</v>
      </c>
      <c r="D51" s="23"/>
      <c r="E51" s="23"/>
      <c r="F51" s="23"/>
    </row>
    <row r="52" customFormat="false" ht="15" hidden="false" customHeight="false" outlineLevel="0" collapsed="false">
      <c r="B52" s="26" t="s">
        <v>79</v>
      </c>
      <c r="C52" s="23" t="s">
        <v>80</v>
      </c>
      <c r="D52" s="23"/>
      <c r="E52" s="23"/>
      <c r="F52" s="23"/>
    </row>
    <row r="54" customFormat="false" ht="19.5" hidden="false" customHeight="true" outlineLevel="0" collapsed="false">
      <c r="B54" s="4" t="s">
        <v>81</v>
      </c>
      <c r="C54" s="5"/>
      <c r="D54" s="5"/>
      <c r="E54" s="5"/>
      <c r="F54" s="5"/>
    </row>
    <row r="56" customFormat="false" ht="15" hidden="false" customHeight="false" outlineLevel="0" collapsed="false">
      <c r="B56" s="8" t="s">
        <v>82</v>
      </c>
      <c r="C56" s="8" t="s">
        <v>83</v>
      </c>
      <c r="D56" s="8"/>
      <c r="E56" s="8"/>
      <c r="F56" s="8"/>
    </row>
    <row r="57" customFormat="false" ht="30" hidden="false" customHeight="true" outlineLevel="0" collapsed="false">
      <c r="B57" s="11" t="s">
        <v>84</v>
      </c>
      <c r="C57" s="27" t="s">
        <v>85</v>
      </c>
      <c r="D57" s="11" t="s">
        <v>86</v>
      </c>
      <c r="E57" s="11"/>
      <c r="F57" s="11"/>
    </row>
    <row r="58" customFormat="false" ht="30" hidden="false" customHeight="true" outlineLevel="0" collapsed="false">
      <c r="B58" s="11" t="s">
        <v>87</v>
      </c>
      <c r="C58" s="27" t="s">
        <v>88</v>
      </c>
      <c r="D58" s="11" t="s">
        <v>89</v>
      </c>
      <c r="E58" s="11"/>
      <c r="F58" s="11"/>
    </row>
    <row r="59" customFormat="false" ht="30" hidden="false" customHeight="true" outlineLevel="0" collapsed="false">
      <c r="B59" s="11" t="s">
        <v>90</v>
      </c>
      <c r="C59" s="27" t="s">
        <v>91</v>
      </c>
      <c r="D59" s="11" t="s">
        <v>92</v>
      </c>
      <c r="E59" s="11"/>
      <c r="F59" s="11"/>
    </row>
    <row r="61" customFormat="false" ht="19.5" hidden="false" customHeight="true" outlineLevel="0" collapsed="false">
      <c r="B61" s="4" t="s">
        <v>93</v>
      </c>
      <c r="C61" s="5"/>
      <c r="D61" s="5"/>
      <c r="E61" s="5"/>
      <c r="F61" s="5"/>
    </row>
    <row r="63" customFormat="false" ht="30" hidden="false" customHeight="true" outlineLevel="0" collapsed="false">
      <c r="B63" s="10" t="s">
        <v>94</v>
      </c>
      <c r="C63" s="11" t="s">
        <v>95</v>
      </c>
      <c r="D63" s="11"/>
      <c r="E63" s="11"/>
      <c r="F63" s="11"/>
    </row>
    <row r="64" customFormat="false" ht="30" hidden="false" customHeight="true" outlineLevel="0" collapsed="false">
      <c r="B64" s="10" t="s">
        <v>96</v>
      </c>
      <c r="C64" s="11" t="s">
        <v>97</v>
      </c>
      <c r="D64" s="11"/>
      <c r="E64" s="11"/>
      <c r="F64" s="11"/>
    </row>
    <row r="65" customFormat="false" ht="15" hidden="false" customHeight="true" outlineLevel="0" collapsed="false">
      <c r="B65" s="10" t="s">
        <v>98</v>
      </c>
      <c r="C65" s="11" t="s">
        <v>99</v>
      </c>
      <c r="D65" s="11"/>
      <c r="E65" s="11"/>
      <c r="F65" s="11"/>
    </row>
    <row r="66" customFormat="false" ht="15" hidden="false" customHeight="true" outlineLevel="0" collapsed="false">
      <c r="B66" s="10" t="s">
        <v>100</v>
      </c>
      <c r="C66" s="11" t="s">
        <v>101</v>
      </c>
      <c r="D66" s="11"/>
      <c r="E66" s="11"/>
      <c r="F66" s="11"/>
    </row>
    <row r="67" customFormat="false" ht="15" hidden="false" customHeight="true" outlineLevel="0" collapsed="false">
      <c r="B67" s="10" t="s">
        <v>102</v>
      </c>
      <c r="C67" s="11" t="s">
        <v>103</v>
      </c>
      <c r="D67" s="11"/>
      <c r="E67" s="11"/>
      <c r="F67" s="11"/>
    </row>
    <row r="68" customFormat="false" ht="15" hidden="false" customHeight="true" outlineLevel="0" collapsed="false">
      <c r="B68" s="10" t="s">
        <v>104</v>
      </c>
      <c r="C68" s="11" t="s">
        <v>105</v>
      </c>
      <c r="D68" s="11"/>
      <c r="E68" s="11"/>
      <c r="F68" s="11"/>
    </row>
  </sheetData>
  <mergeCells count="45">
    <mergeCell ref="B6:F6"/>
    <mergeCell ref="B7:F7"/>
    <mergeCell ref="D11:E11"/>
    <mergeCell ref="D12:E12"/>
    <mergeCell ref="D13:E13"/>
    <mergeCell ref="D14:E14"/>
    <mergeCell ref="B18:C18"/>
    <mergeCell ref="B19:C19"/>
    <mergeCell ref="B20:C20"/>
    <mergeCell ref="B21:C21"/>
    <mergeCell ref="B22:C22"/>
    <mergeCell ref="B23:C23"/>
    <mergeCell ref="B24:C24"/>
    <mergeCell ref="B25:C25"/>
    <mergeCell ref="B26:F26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9:F49"/>
    <mergeCell ref="C50:F50"/>
    <mergeCell ref="C51:F51"/>
    <mergeCell ref="C52:F52"/>
    <mergeCell ref="D56:F56"/>
    <mergeCell ref="D57:F57"/>
    <mergeCell ref="D58:F58"/>
    <mergeCell ref="D59:F59"/>
    <mergeCell ref="C63:F63"/>
    <mergeCell ref="C64:F64"/>
    <mergeCell ref="C65:F65"/>
    <mergeCell ref="C66:F66"/>
    <mergeCell ref="C67:F67"/>
    <mergeCell ref="C68:F68"/>
  </mergeCells>
  <hyperlinks>
    <hyperlink ref="B31" r:id="rId1" location="'Goal%20&amp;%20scope'!A1" display="Goal &amp; scope"/>
    <hyperlink ref="B32" r:id="rId2" location="'Flow%20diagrams'!A1" display="Flow diagrams"/>
    <hyperlink ref="B33" r:id="rId3" location="'Metadata'!A1" display="Metadata"/>
    <hyperlink ref="B34" r:id="rId4" location="'Inventory'!A1" display="Inventory"/>
    <hyperlink ref="B35" r:id="rId5" location="'Nutrient%20balance'!A1" display="Nutrient balance"/>
    <hyperlink ref="B36" r:id="rId6" location="'LCI%20per%20tonne'!A1" display="LCI per tonne"/>
    <hyperlink ref="B37" r:id="rId7" location="'LCIA%20(Annex%201)'!A1" display="LCIA (Annex 1)"/>
    <hyperlink ref="B38" r:id="rId8" location="'Contribution%20analysis'!A1" display="Contribution analysis"/>
    <hyperlink ref="B39" r:id="rId9" location="'Comparison'!A1" display="Comparison"/>
    <hyperlink ref="B40" r:id="rId10" location="'KPI%20framework'!A1" display="KPI framework"/>
    <hyperlink ref="B41" r:id="rId11" location="'Dashboard'!A1" display="Dashboard"/>
    <hyperlink ref="B42" r:id="rId12" location="'Charts'!A1" display="Charts"/>
    <hyperlink ref="B43" r:id="rId13" location="'Figures'!A1" display="Figures"/>
    <hyperlink ref="B44" r:id="rId14" location="'Data%20checks'!A1" display="Data checks"/>
    <hyperlink ref="B45" r:id="rId15" location="'Sources'!A1" display="Sources"/>
    <hyperlink ref="C57" r:id="rId16" location="'KPI%20framework'!F5" display="KPI framework F5"/>
    <hyperlink ref="C58" r:id="rId17" location="'Inventory'!C6" display="Inventory C6"/>
    <hyperlink ref="C59" r:id="rId18" location="'Inventory'!C19" display="Inventory C1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28" t="s">
        <v>106</v>
      </c>
    </row>
    <row r="2" customFormat="false" ht="15" hidden="false" customHeight="false" outlineLevel="0" collapsed="false">
      <c r="A2" s="29" t="s">
        <v>107</v>
      </c>
    </row>
    <row r="4" customFormat="false" ht="15" hidden="false" customHeight="false" outlineLevel="0" collapsed="false">
      <c r="A4" s="8" t="s">
        <v>108</v>
      </c>
      <c r="B4" s="8" t="s">
        <v>109</v>
      </c>
      <c r="C4" s="8" t="s">
        <v>110</v>
      </c>
    </row>
    <row r="5" customFormat="false" ht="26.85" hidden="false" customHeight="false" outlineLevel="0" collapsed="false">
      <c r="A5" s="10" t="s">
        <v>111</v>
      </c>
      <c r="B5" s="11" t="s">
        <v>112</v>
      </c>
      <c r="C5" s="11" t="s">
        <v>113</v>
      </c>
    </row>
    <row r="6" customFormat="false" ht="26.85" hidden="false" customHeight="false" outlineLevel="0" collapsed="false">
      <c r="A6" s="10" t="s">
        <v>114</v>
      </c>
      <c r="B6" s="11" t="s">
        <v>115</v>
      </c>
      <c r="C6" s="11" t="s">
        <v>116</v>
      </c>
    </row>
    <row r="7" customFormat="false" ht="39.55" hidden="false" customHeight="false" outlineLevel="0" collapsed="false">
      <c r="A7" s="10" t="s">
        <v>117</v>
      </c>
      <c r="B7" s="11" t="s">
        <v>118</v>
      </c>
      <c r="C7" s="11" t="s">
        <v>119</v>
      </c>
    </row>
    <row r="8" customFormat="false" ht="26.85" hidden="false" customHeight="false" outlineLevel="0" collapsed="false">
      <c r="A8" s="10" t="s">
        <v>120</v>
      </c>
      <c r="B8" s="11" t="s">
        <v>121</v>
      </c>
      <c r="C8" s="11" t="s">
        <v>122</v>
      </c>
    </row>
    <row r="9" customFormat="false" ht="26.85" hidden="false" customHeight="false" outlineLevel="0" collapsed="false">
      <c r="A9" s="10" t="s">
        <v>123</v>
      </c>
      <c r="B9" s="11" t="s">
        <v>124</v>
      </c>
      <c r="C9" s="11" t="s">
        <v>125</v>
      </c>
    </row>
    <row r="10" customFormat="false" ht="15" hidden="false" customHeight="false" outlineLevel="0" collapsed="false">
      <c r="A10" s="10" t="s">
        <v>126</v>
      </c>
      <c r="B10" s="11" t="s">
        <v>127</v>
      </c>
      <c r="C10" s="11" t="s">
        <v>128</v>
      </c>
    </row>
    <row r="11" customFormat="false" ht="26.85" hidden="false" customHeight="false" outlineLevel="0" collapsed="false">
      <c r="A11" s="10" t="s">
        <v>129</v>
      </c>
      <c r="B11" s="11" t="s">
        <v>130</v>
      </c>
      <c r="C11" s="11" t="s">
        <v>131</v>
      </c>
    </row>
    <row r="12" customFormat="false" ht="26.85" hidden="false" customHeight="false" outlineLevel="0" collapsed="false">
      <c r="A12" s="10" t="s">
        <v>132</v>
      </c>
      <c r="B12" s="11" t="s">
        <v>133</v>
      </c>
      <c r="C12" s="11" t="s">
        <v>134</v>
      </c>
    </row>
    <row r="13" customFormat="false" ht="15" hidden="false" customHeight="false" outlineLevel="0" collapsed="false">
      <c r="A13" s="10" t="s">
        <v>135</v>
      </c>
      <c r="B13" s="11" t="s">
        <v>136</v>
      </c>
      <c r="C13" s="11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6" style="0" width="44"/>
    <col collapsed="false" customWidth="true" hidden="false" outlineLevel="0" max="17" min="17" style="0" width="14"/>
    <col collapsed="false" customWidth="true" hidden="false" outlineLevel="0" max="18" min="18" style="0" width="8"/>
  </cols>
  <sheetData>
    <row r="1" customFormat="false" ht="17.35" hidden="false" customHeight="false" outlineLevel="0" collapsed="false">
      <c r="A1" s="28" t="s">
        <v>138</v>
      </c>
    </row>
    <row r="2" customFormat="false" ht="15" hidden="false" customHeight="false" outlineLevel="0" collapsed="false">
      <c r="A2" s="29" t="s">
        <v>107</v>
      </c>
    </row>
    <row r="3" customFormat="false" ht="15" hidden="false" customHeight="false" outlineLevel="0" collapsed="false">
      <c r="A3" s="29" t="s">
        <v>139</v>
      </c>
    </row>
    <row r="5" customFormat="false" ht="15" hidden="false" customHeight="false" outlineLevel="0" collapsed="false">
      <c r="A5" s="30" t="s">
        <v>11</v>
      </c>
    </row>
    <row r="6" customFormat="false" ht="15" hidden="false" customHeight="false" outlineLevel="0" collapsed="false">
      <c r="P6" s="31" t="s">
        <v>140</v>
      </c>
    </row>
    <row r="7" customFormat="false" ht="15" hidden="false" customHeight="false" outlineLevel="0" collapsed="false">
      <c r="P7" s="32" t="s">
        <v>141</v>
      </c>
      <c r="Q7" s="32" t="s">
        <v>142</v>
      </c>
      <c r="R7" s="32" t="s">
        <v>143</v>
      </c>
    </row>
    <row r="8" customFormat="false" ht="15" hidden="false" customHeight="false" outlineLevel="0" collapsed="false">
      <c r="P8" s="33" t="s">
        <v>144</v>
      </c>
      <c r="Q8" s="34" t="n">
        <f aca="false">Inventory!C6</f>
        <v>1888</v>
      </c>
      <c r="R8" s="33" t="s">
        <v>145</v>
      </c>
    </row>
    <row r="9" customFormat="false" ht="15" hidden="false" customHeight="false" outlineLevel="0" collapsed="false">
      <c r="P9" s="33" t="s">
        <v>146</v>
      </c>
      <c r="Q9" s="35" t="n">
        <f aca="false">'Nutrient balance'!C8</f>
        <v>126.8736</v>
      </c>
      <c r="R9" s="33" t="s">
        <v>147</v>
      </c>
    </row>
    <row r="10" customFormat="false" ht="15" hidden="false" customHeight="false" outlineLevel="0" collapsed="false">
      <c r="P10" s="33" t="s">
        <v>148</v>
      </c>
      <c r="Q10" s="34" t="n">
        <f aca="false">Inventory!C8+Inventory!C9</f>
        <v>682.5</v>
      </c>
      <c r="R10" s="33" t="s">
        <v>145</v>
      </c>
    </row>
    <row r="11" customFormat="false" ht="15" hidden="false" customHeight="false" outlineLevel="0" collapsed="false">
      <c r="P11" s="33" t="s">
        <v>149</v>
      </c>
      <c r="Q11" s="34" t="n">
        <f aca="false">Inventory!C7</f>
        <v>101110</v>
      </c>
      <c r="R11" s="33" t="s">
        <v>150</v>
      </c>
    </row>
    <row r="12" customFormat="false" ht="15" hidden="false" customHeight="false" outlineLevel="0" collapsed="false">
      <c r="P12" s="33" t="s">
        <v>151</v>
      </c>
      <c r="Q12" s="34" t="n">
        <f aca="false">Inventory!C18</f>
        <v>1099</v>
      </c>
      <c r="R12" s="33" t="s">
        <v>145</v>
      </c>
    </row>
    <row r="13" customFormat="false" ht="15" hidden="false" customHeight="false" outlineLevel="0" collapsed="false">
      <c r="P13" s="33" t="s">
        <v>152</v>
      </c>
      <c r="Q13" s="34" t="n">
        <f aca="false">Inventory!C19</f>
        <v>130</v>
      </c>
      <c r="R13" s="33" t="s">
        <v>145</v>
      </c>
    </row>
    <row r="14" customFormat="false" ht="15" hidden="false" customHeight="false" outlineLevel="0" collapsed="false">
      <c r="P14" s="33" t="s">
        <v>153</v>
      </c>
      <c r="Q14" s="34" t="n">
        <f aca="false">Inventory!C20</f>
        <v>1224</v>
      </c>
      <c r="R14" s="33" t="s">
        <v>145</v>
      </c>
    </row>
    <row r="15" customFormat="false" ht="15" hidden="false" customHeight="false" outlineLevel="0" collapsed="false">
      <c r="P15" s="33" t="s">
        <v>154</v>
      </c>
      <c r="Q15" s="35" t="n">
        <f aca="false">'Nutrient balance'!C9</f>
        <v>29</v>
      </c>
      <c r="R15" s="33" t="s">
        <v>147</v>
      </c>
    </row>
    <row r="16" customFormat="false" ht="15" hidden="false" customHeight="false" outlineLevel="0" collapsed="false">
      <c r="P16" s="33" t="s">
        <v>155</v>
      </c>
      <c r="Q16" s="35" t="n">
        <f aca="false">'Nutrient balance'!C10</f>
        <v>30.6</v>
      </c>
      <c r="R16" s="33" t="s">
        <v>147</v>
      </c>
    </row>
    <row r="17" customFormat="false" ht="15" hidden="false" customHeight="false" outlineLevel="0" collapsed="false">
      <c r="P17" s="33" t="s">
        <v>156</v>
      </c>
      <c r="Q17" s="36" t="n">
        <f aca="false">'Nutrient balance'!C9+'Nutrient balance'!C10</f>
        <v>59.6</v>
      </c>
      <c r="R17" s="33" t="s">
        <v>147</v>
      </c>
    </row>
    <row r="18" customFormat="false" ht="15" hidden="false" customHeight="false" outlineLevel="0" collapsed="false">
      <c r="P18" s="33" t="s">
        <v>157</v>
      </c>
      <c r="Q18" s="35" t="n">
        <f aca="false">'Nutrient balance'!C12</f>
        <v>67.2</v>
      </c>
      <c r="R18" s="33" t="s">
        <v>147</v>
      </c>
    </row>
    <row r="19" customFormat="false" ht="15" hidden="false" customHeight="false" outlineLevel="0" collapsed="false">
      <c r="P19" s="33" t="s">
        <v>158</v>
      </c>
      <c r="Q19" s="37" t="n">
        <f aca="false">'Nutrient balance'!C13</f>
        <v>0.469758878127522</v>
      </c>
      <c r="R19" s="33" t="s">
        <v>159</v>
      </c>
    </row>
    <row r="32" customFormat="false" ht="15" hidden="false" customHeight="false" outlineLevel="0" collapsed="false">
      <c r="A32" s="38" t="s">
        <v>15</v>
      </c>
    </row>
    <row r="33" customFormat="false" ht="15" hidden="false" customHeight="false" outlineLevel="0" collapsed="false">
      <c r="P33" s="31" t="s">
        <v>160</v>
      </c>
    </row>
    <row r="34" customFormat="false" ht="15" hidden="false" customHeight="false" outlineLevel="0" collapsed="false">
      <c r="P34" s="32" t="s">
        <v>141</v>
      </c>
      <c r="Q34" s="32" t="s">
        <v>142</v>
      </c>
      <c r="R34" s="32" t="s">
        <v>143</v>
      </c>
    </row>
    <row r="35" customFormat="false" ht="15" hidden="false" customHeight="false" outlineLevel="0" collapsed="false">
      <c r="P35" s="33" t="s">
        <v>144</v>
      </c>
      <c r="Q35" s="34" t="n">
        <f aca="false">Inventory!D6</f>
        <v>89</v>
      </c>
      <c r="R35" s="33" t="s">
        <v>145</v>
      </c>
    </row>
    <row r="36" customFormat="false" ht="15" hidden="false" customHeight="false" outlineLevel="0" collapsed="false">
      <c r="P36" s="33" t="s">
        <v>146</v>
      </c>
      <c r="Q36" s="35" t="n">
        <f aca="false">'Nutrient balance'!D8</f>
        <v>5.696</v>
      </c>
      <c r="R36" s="33" t="s">
        <v>147</v>
      </c>
    </row>
    <row r="37" customFormat="false" ht="15" hidden="false" customHeight="false" outlineLevel="0" collapsed="false">
      <c r="P37" s="33" t="s">
        <v>148</v>
      </c>
      <c r="Q37" s="34" t="n">
        <f aca="false">Inventory!D8+Inventory!D9</f>
        <v>59.4</v>
      </c>
      <c r="R37" s="33" t="s">
        <v>145</v>
      </c>
    </row>
    <row r="38" customFormat="false" ht="15" hidden="false" customHeight="false" outlineLevel="0" collapsed="false">
      <c r="P38" s="33" t="s">
        <v>149</v>
      </c>
      <c r="Q38" s="34" t="n">
        <f aca="false">Inventory!D7</f>
        <v>7185</v>
      </c>
      <c r="R38" s="33" t="s">
        <v>150</v>
      </c>
    </row>
    <row r="39" customFormat="false" ht="15" hidden="false" customHeight="false" outlineLevel="0" collapsed="false">
      <c r="P39" s="33" t="s">
        <v>151</v>
      </c>
      <c r="Q39" s="34" t="n">
        <f aca="false">Inventory!D18</f>
        <v>65</v>
      </c>
      <c r="R39" s="33" t="s">
        <v>145</v>
      </c>
    </row>
    <row r="40" customFormat="false" ht="15" hidden="false" customHeight="false" outlineLevel="0" collapsed="false">
      <c r="P40" s="33" t="s">
        <v>152</v>
      </c>
      <c r="Q40" s="34" t="n">
        <f aca="false">Inventory!D19</f>
        <v>94</v>
      </c>
      <c r="R40" s="33" t="s">
        <v>145</v>
      </c>
    </row>
    <row r="41" customFormat="false" ht="15" hidden="false" customHeight="false" outlineLevel="0" collapsed="false">
      <c r="P41" s="33" t="s">
        <v>153</v>
      </c>
      <c r="Q41" s="34" t="n">
        <f aca="false">Inventory!D20</f>
        <v>35400</v>
      </c>
      <c r="R41" s="33" t="s">
        <v>145</v>
      </c>
    </row>
    <row r="42" customFormat="false" ht="15" hidden="false" customHeight="false" outlineLevel="0" collapsed="false">
      <c r="P42" s="33" t="s">
        <v>154</v>
      </c>
      <c r="Q42" s="35" t="n">
        <f aca="false">'Nutrient balance'!D9</f>
        <v>4.5</v>
      </c>
      <c r="R42" s="33" t="s">
        <v>147</v>
      </c>
    </row>
    <row r="43" customFormat="false" ht="15" hidden="false" customHeight="false" outlineLevel="0" collapsed="false">
      <c r="P43" s="33" t="s">
        <v>155</v>
      </c>
      <c r="Q43" s="35" t="n">
        <f aca="false">'Nutrient balance'!D10</f>
        <v>1.8</v>
      </c>
      <c r="R43" s="33" t="s">
        <v>147</v>
      </c>
    </row>
    <row r="44" customFormat="false" ht="15" hidden="false" customHeight="false" outlineLevel="0" collapsed="false">
      <c r="P44" s="33" t="s">
        <v>156</v>
      </c>
      <c r="Q44" s="36" t="n">
        <f aca="false">'Nutrient balance'!D9+'Nutrient balance'!D10</f>
        <v>6.3</v>
      </c>
      <c r="R44" s="33" t="s">
        <v>147</v>
      </c>
    </row>
    <row r="45" customFormat="false" ht="15" hidden="false" customHeight="false" outlineLevel="0" collapsed="false">
      <c r="P45" s="33" t="s">
        <v>157</v>
      </c>
      <c r="Q45" s="35" t="n">
        <f aca="false">'Nutrient balance'!D12</f>
        <v>-0.5</v>
      </c>
      <c r="R45" s="33" t="s">
        <v>147</v>
      </c>
    </row>
    <row r="46" customFormat="false" ht="15" hidden="false" customHeight="false" outlineLevel="0" collapsed="false">
      <c r="P46" s="33" t="s">
        <v>158</v>
      </c>
      <c r="Q46" s="37" t="n">
        <f aca="false">'Nutrient balance'!D13</f>
        <v>1.1060393258427</v>
      </c>
      <c r="R46" s="33" t="s">
        <v>159</v>
      </c>
    </row>
    <row r="59" customFormat="false" ht="15" hidden="false" customHeight="false" outlineLevel="0" collapsed="false">
      <c r="A59" s="39" t="s">
        <v>19</v>
      </c>
    </row>
    <row r="60" customFormat="false" ht="15" hidden="false" customHeight="false" outlineLevel="0" collapsed="false">
      <c r="P60" s="31" t="s">
        <v>161</v>
      </c>
    </row>
    <row r="61" customFormat="false" ht="15" hidden="false" customHeight="false" outlineLevel="0" collapsed="false">
      <c r="P61" s="32" t="s">
        <v>141</v>
      </c>
      <c r="Q61" s="32" t="s">
        <v>142</v>
      </c>
      <c r="R61" s="32" t="s">
        <v>143</v>
      </c>
    </row>
    <row r="62" customFormat="false" ht="15" hidden="false" customHeight="false" outlineLevel="0" collapsed="false">
      <c r="P62" s="33" t="s">
        <v>144</v>
      </c>
      <c r="Q62" s="34" t="n">
        <f aca="false">Inventory!E6</f>
        <v>10975</v>
      </c>
      <c r="R62" s="33" t="s">
        <v>145</v>
      </c>
    </row>
    <row r="63" customFormat="false" ht="15" hidden="false" customHeight="false" outlineLevel="0" collapsed="false">
      <c r="P63" s="33" t="s">
        <v>146</v>
      </c>
      <c r="Q63" s="35" t="n">
        <f aca="false">'Nutrient balance'!E8</f>
        <v>737.52</v>
      </c>
      <c r="R63" s="33" t="s">
        <v>147</v>
      </c>
    </row>
    <row r="64" customFormat="false" ht="15" hidden="false" customHeight="false" outlineLevel="0" collapsed="false">
      <c r="P64" s="33" t="s">
        <v>148</v>
      </c>
      <c r="Q64" s="34" t="n">
        <f aca="false">Inventory!E8+Inventory!E9</f>
        <v>91</v>
      </c>
      <c r="R64" s="33" t="s">
        <v>145</v>
      </c>
    </row>
    <row r="65" customFormat="false" ht="15" hidden="false" customHeight="false" outlineLevel="0" collapsed="false">
      <c r="P65" s="33" t="s">
        <v>149</v>
      </c>
      <c r="Q65" s="34" t="n">
        <f aca="false">Inventory!E7</f>
        <v>1201764</v>
      </c>
      <c r="R65" s="33" t="s">
        <v>150</v>
      </c>
    </row>
    <row r="66" customFormat="false" ht="15" hidden="false" customHeight="false" outlineLevel="0" collapsed="false">
      <c r="P66" s="33" t="s">
        <v>151</v>
      </c>
      <c r="Q66" s="34" t="n">
        <f aca="false">Inventory!E18</f>
        <v>6137</v>
      </c>
      <c r="R66" s="33" t="s">
        <v>145</v>
      </c>
    </row>
    <row r="67" customFormat="false" ht="15" hidden="false" customHeight="false" outlineLevel="0" collapsed="false">
      <c r="P67" s="33" t="s">
        <v>152</v>
      </c>
      <c r="Q67" s="34" t="n">
        <f aca="false">Inventory!E19</f>
        <v>0</v>
      </c>
      <c r="R67" s="33" t="s">
        <v>145</v>
      </c>
    </row>
    <row r="68" customFormat="false" ht="15" hidden="false" customHeight="false" outlineLevel="0" collapsed="false">
      <c r="P68" s="33" t="s">
        <v>153</v>
      </c>
      <c r="Q68" s="34" t="n">
        <f aca="false">Inventory!E20</f>
        <v>0</v>
      </c>
      <c r="R68" s="33" t="s">
        <v>145</v>
      </c>
    </row>
    <row r="69" customFormat="false" ht="15" hidden="false" customHeight="false" outlineLevel="0" collapsed="false">
      <c r="P69" s="33" t="s">
        <v>154</v>
      </c>
      <c r="Q69" s="35" t="n">
        <f aca="false">'Nutrient balance'!E9</f>
        <v>148.8</v>
      </c>
      <c r="R69" s="33" t="s">
        <v>147</v>
      </c>
    </row>
    <row r="70" customFormat="false" ht="15" hidden="false" customHeight="false" outlineLevel="0" collapsed="false">
      <c r="P70" s="33" t="s">
        <v>155</v>
      </c>
      <c r="Q70" s="35" t="n">
        <f aca="false">'Nutrient balance'!E10</f>
        <v>0</v>
      </c>
      <c r="R70" s="33" t="s">
        <v>147</v>
      </c>
    </row>
    <row r="71" customFormat="false" ht="15" hidden="false" customHeight="false" outlineLevel="0" collapsed="false">
      <c r="P71" s="33" t="s">
        <v>156</v>
      </c>
      <c r="Q71" s="36" t="n">
        <f aca="false">'Nutrient balance'!E9+'Nutrient balance'!E10</f>
        <v>148.8</v>
      </c>
      <c r="R71" s="33" t="s">
        <v>147</v>
      </c>
    </row>
    <row r="72" customFormat="false" ht="15" hidden="false" customHeight="false" outlineLevel="0" collapsed="false">
      <c r="P72" s="33" t="s">
        <v>157</v>
      </c>
      <c r="Q72" s="35" t="n">
        <f aca="false">'Nutrient balance'!E12</f>
        <v>588.7</v>
      </c>
      <c r="R72" s="33" t="s">
        <v>147</v>
      </c>
    </row>
    <row r="73" customFormat="false" ht="15" hidden="false" customHeight="false" outlineLevel="0" collapsed="false">
      <c r="P73" s="33" t="s">
        <v>158</v>
      </c>
      <c r="Q73" s="37" t="n">
        <f aca="false">'Nutrient balance'!E13</f>
        <v>0.201757240481614</v>
      </c>
      <c r="R73" s="33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28" t="s">
        <v>162</v>
      </c>
    </row>
    <row r="2" customFormat="false" ht="15" hidden="false" customHeight="false" outlineLevel="0" collapsed="false">
      <c r="A2" s="29" t="s">
        <v>107</v>
      </c>
    </row>
    <row r="4" customFormat="false" ht="15" hidden="false" customHeight="false" outlineLevel="0" collapsed="false">
      <c r="A4" s="8" t="s">
        <v>163</v>
      </c>
      <c r="B4" s="8" t="s">
        <v>164</v>
      </c>
      <c r="C4" s="8" t="s">
        <v>142</v>
      </c>
    </row>
    <row r="5" customFormat="false" ht="15" hidden="false" customHeight="false" outlineLevel="0" collapsed="false">
      <c r="A5" s="11" t="s">
        <v>165</v>
      </c>
      <c r="B5" s="11" t="s">
        <v>166</v>
      </c>
      <c r="C5" s="11" t="s">
        <v>167</v>
      </c>
    </row>
    <row r="6" customFormat="false" ht="15" hidden="false" customHeight="false" outlineLevel="0" collapsed="false">
      <c r="A6" s="11" t="s">
        <v>165</v>
      </c>
      <c r="B6" s="11" t="s">
        <v>168</v>
      </c>
      <c r="C6" s="11" t="s">
        <v>169</v>
      </c>
    </row>
    <row r="7" customFormat="false" ht="15" hidden="false" customHeight="false" outlineLevel="0" collapsed="false">
      <c r="A7" s="11" t="s">
        <v>165</v>
      </c>
      <c r="B7" s="11" t="s">
        <v>170</v>
      </c>
      <c r="C7" s="11" t="s">
        <v>171</v>
      </c>
    </row>
    <row r="8" customFormat="false" ht="15" hidden="false" customHeight="false" outlineLevel="0" collapsed="false">
      <c r="A8" s="11" t="s">
        <v>165</v>
      </c>
      <c r="B8" s="11" t="s">
        <v>172</v>
      </c>
      <c r="C8" s="11" t="s">
        <v>173</v>
      </c>
    </row>
    <row r="9" customFormat="false" ht="15" hidden="false" customHeight="false" outlineLevel="0" collapsed="false">
      <c r="A9" s="11" t="s">
        <v>165</v>
      </c>
      <c r="B9" s="11" t="s">
        <v>114</v>
      </c>
      <c r="C9" s="11" t="s">
        <v>174</v>
      </c>
    </row>
    <row r="10" customFormat="false" ht="15" hidden="false" customHeight="false" outlineLevel="0" collapsed="false">
      <c r="A10" s="11" t="s">
        <v>165</v>
      </c>
      <c r="B10" s="11" t="s">
        <v>175</v>
      </c>
      <c r="C10" s="11" t="s">
        <v>176</v>
      </c>
    </row>
    <row r="11" customFormat="false" ht="15" hidden="false" customHeight="false" outlineLevel="0" collapsed="false">
      <c r="A11" s="11" t="s">
        <v>165</v>
      </c>
      <c r="B11" s="11" t="s">
        <v>177</v>
      </c>
      <c r="C11" s="11" t="s">
        <v>178</v>
      </c>
    </row>
    <row r="12" customFormat="false" ht="26.85" hidden="false" customHeight="false" outlineLevel="0" collapsed="false">
      <c r="A12" s="11" t="s">
        <v>179</v>
      </c>
      <c r="B12" s="11" t="s">
        <v>180</v>
      </c>
      <c r="C12" s="11" t="s">
        <v>181</v>
      </c>
    </row>
    <row r="13" customFormat="false" ht="15" hidden="false" customHeight="false" outlineLevel="0" collapsed="false">
      <c r="A13" s="11" t="s">
        <v>179</v>
      </c>
      <c r="B13" s="11" t="s">
        <v>182</v>
      </c>
      <c r="C13" s="11" t="s">
        <v>183</v>
      </c>
    </row>
    <row r="14" customFormat="false" ht="15" hidden="false" customHeight="false" outlineLevel="0" collapsed="false">
      <c r="A14" s="11" t="s">
        <v>179</v>
      </c>
      <c r="B14" s="11" t="s">
        <v>126</v>
      </c>
      <c r="C14" s="11" t="s">
        <v>184</v>
      </c>
    </row>
    <row r="15" customFormat="false" ht="15" hidden="false" customHeight="false" outlineLevel="0" collapsed="false">
      <c r="A15" s="11" t="s">
        <v>100</v>
      </c>
      <c r="B15" s="11" t="s">
        <v>132</v>
      </c>
      <c r="C15" s="11" t="s">
        <v>185</v>
      </c>
    </row>
    <row r="16" customFormat="false" ht="15" hidden="false" customHeight="false" outlineLevel="0" collapsed="false">
      <c r="A16" s="11" t="s">
        <v>100</v>
      </c>
      <c r="B16" s="11" t="s">
        <v>6</v>
      </c>
      <c r="C16" s="11" t="s">
        <v>186</v>
      </c>
    </row>
    <row r="17" customFormat="false" ht="39.55" hidden="false" customHeight="false" outlineLevel="0" collapsed="false">
      <c r="A17" s="11" t="s">
        <v>187</v>
      </c>
      <c r="B17" s="11" t="s">
        <v>188</v>
      </c>
      <c r="C17" s="11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5" min="3" style="0" width="2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28" t="s">
        <v>190</v>
      </c>
    </row>
    <row r="2" customFormat="false" ht="15" hidden="false" customHeight="false" outlineLevel="0" collapsed="false">
      <c r="A2" s="29" t="s">
        <v>107</v>
      </c>
    </row>
    <row r="4" customFormat="false" ht="26.85" hidden="false" customHeight="false" outlineLevel="0" collapsed="false">
      <c r="A4" s="8" t="s">
        <v>191</v>
      </c>
      <c r="B4" s="8" t="s">
        <v>143</v>
      </c>
      <c r="C4" s="8" t="s">
        <v>11</v>
      </c>
      <c r="D4" s="8" t="s">
        <v>15</v>
      </c>
      <c r="E4" s="8" t="s">
        <v>19</v>
      </c>
      <c r="F4" s="8" t="s">
        <v>192</v>
      </c>
    </row>
    <row r="5" customFormat="false" ht="15" hidden="false" customHeight="false" outlineLevel="0" collapsed="false">
      <c r="A5" s="33" t="s">
        <v>193</v>
      </c>
      <c r="B5" s="33" t="s">
        <v>194</v>
      </c>
      <c r="C5" s="40" t="n">
        <v>5.3</v>
      </c>
      <c r="D5" s="40" t="n">
        <v>8.5</v>
      </c>
      <c r="E5" s="40" t="n">
        <v>26</v>
      </c>
      <c r="F5" s="29" t="s">
        <v>195</v>
      </c>
    </row>
    <row r="6" customFormat="false" ht="15" hidden="false" customHeight="false" outlineLevel="0" collapsed="false">
      <c r="A6" s="33" t="s">
        <v>196</v>
      </c>
      <c r="B6" s="33" t="s">
        <v>145</v>
      </c>
      <c r="C6" s="40" t="n">
        <v>1888</v>
      </c>
      <c r="D6" s="40" t="n">
        <v>89</v>
      </c>
      <c r="E6" s="40" t="n">
        <v>10975</v>
      </c>
      <c r="F6" s="29" t="s">
        <v>195</v>
      </c>
    </row>
    <row r="7" customFormat="false" ht="15" hidden="false" customHeight="false" outlineLevel="0" collapsed="false">
      <c r="A7" s="33" t="s">
        <v>197</v>
      </c>
      <c r="B7" s="33" t="s">
        <v>150</v>
      </c>
      <c r="C7" s="40" t="n">
        <v>101110</v>
      </c>
      <c r="D7" s="40" t="n">
        <v>7185</v>
      </c>
      <c r="E7" s="40" t="n">
        <v>1201764</v>
      </c>
      <c r="F7" s="29" t="s">
        <v>195</v>
      </c>
    </row>
    <row r="8" customFormat="false" ht="15" hidden="false" customHeight="false" outlineLevel="0" collapsed="false">
      <c r="A8" s="33" t="s">
        <v>198</v>
      </c>
      <c r="B8" s="33" t="s">
        <v>145</v>
      </c>
      <c r="C8" s="40" t="n">
        <v>677</v>
      </c>
      <c r="D8" s="40" t="n">
        <v>45</v>
      </c>
      <c r="E8" s="40" t="n">
        <v>91</v>
      </c>
      <c r="F8" s="29" t="s">
        <v>199</v>
      </c>
    </row>
    <row r="9" customFormat="false" ht="15" hidden="false" customHeight="false" outlineLevel="0" collapsed="false">
      <c r="A9" s="33" t="s">
        <v>200</v>
      </c>
      <c r="B9" s="33" t="s">
        <v>201</v>
      </c>
      <c r="C9" s="40" t="n">
        <v>5.5</v>
      </c>
      <c r="D9" s="40" t="n">
        <v>14.4</v>
      </c>
      <c r="E9" s="40" t="n">
        <v>0</v>
      </c>
      <c r="F9" s="29" t="s">
        <v>202</v>
      </c>
    </row>
    <row r="10" customFormat="false" ht="15" hidden="false" customHeight="false" outlineLevel="0" collapsed="false">
      <c r="A10" s="33" t="s">
        <v>203</v>
      </c>
      <c r="B10" s="33" t="s">
        <v>159</v>
      </c>
      <c r="C10" s="40" t="n">
        <v>42</v>
      </c>
      <c r="D10" s="40" t="n">
        <v>40</v>
      </c>
      <c r="E10" s="40" t="n">
        <v>42</v>
      </c>
      <c r="F10" s="29" t="s">
        <v>195</v>
      </c>
    </row>
    <row r="11" customFormat="false" ht="15" hidden="false" customHeight="false" outlineLevel="0" collapsed="false">
      <c r="A11" s="33" t="s">
        <v>204</v>
      </c>
      <c r="B11" s="33" t="s">
        <v>159</v>
      </c>
      <c r="C11" s="40" t="n">
        <v>18</v>
      </c>
      <c r="D11" s="40" t="n">
        <v>18</v>
      </c>
      <c r="E11" s="40" t="n">
        <v>18</v>
      </c>
      <c r="F11" s="29" t="s">
        <v>195</v>
      </c>
    </row>
    <row r="12" customFormat="false" ht="15" hidden="false" customHeight="false" outlineLevel="0" collapsed="false">
      <c r="A12" s="33" t="s">
        <v>205</v>
      </c>
      <c r="B12" s="33" t="s">
        <v>159</v>
      </c>
      <c r="C12" s="40" t="n">
        <v>3</v>
      </c>
      <c r="D12" s="40" t="n">
        <v>3.5</v>
      </c>
      <c r="E12" s="40" t="n">
        <v>3</v>
      </c>
      <c r="F12" s="29" t="s">
        <v>195</v>
      </c>
    </row>
    <row r="13" customFormat="false" ht="15" hidden="false" customHeight="false" outlineLevel="0" collapsed="false">
      <c r="A13" s="33" t="s">
        <v>206</v>
      </c>
      <c r="B13" s="33" t="s">
        <v>159</v>
      </c>
      <c r="C13" s="40" t="n">
        <v>9</v>
      </c>
      <c r="D13" s="40" t="n">
        <v>9</v>
      </c>
      <c r="E13" s="40" t="n">
        <v>9</v>
      </c>
      <c r="F13" s="29" t="s">
        <v>195</v>
      </c>
    </row>
    <row r="14" customFormat="false" ht="15" hidden="false" customHeight="false" outlineLevel="0" collapsed="false">
      <c r="A14" s="33" t="s">
        <v>207</v>
      </c>
      <c r="B14" s="33" t="s">
        <v>159</v>
      </c>
      <c r="C14" s="40" t="n">
        <v>1.4</v>
      </c>
      <c r="D14" s="40" t="n">
        <v>1.3</v>
      </c>
      <c r="E14" s="40" t="n">
        <v>1.4</v>
      </c>
      <c r="F14" s="29" t="s">
        <v>195</v>
      </c>
    </row>
    <row r="15" customFormat="false" ht="15" hidden="false" customHeight="false" outlineLevel="0" collapsed="false">
      <c r="A15" s="33" t="s">
        <v>208</v>
      </c>
      <c r="B15" s="33" t="s">
        <v>209</v>
      </c>
      <c r="C15" s="40" t="n">
        <v>90000</v>
      </c>
      <c r="D15" s="40" t="n">
        <v>285000</v>
      </c>
      <c r="E15" s="40" t="n">
        <v>90000</v>
      </c>
      <c r="F15" s="29" t="s">
        <v>195</v>
      </c>
    </row>
    <row r="16" customFormat="false" ht="15" hidden="false" customHeight="false" outlineLevel="0" collapsed="false">
      <c r="A16" s="33" t="s">
        <v>210</v>
      </c>
      <c r="B16" s="33" t="s">
        <v>209</v>
      </c>
      <c r="C16" s="40" t="n">
        <v>23600</v>
      </c>
      <c r="D16" s="40" t="n">
        <v>200000</v>
      </c>
      <c r="E16" s="40" t="n">
        <v>23600</v>
      </c>
      <c r="F16" s="29" t="s">
        <v>195</v>
      </c>
    </row>
    <row r="17" customFormat="false" ht="15" hidden="false" customHeight="false" outlineLevel="0" collapsed="false">
      <c r="A17" s="33" t="s">
        <v>211</v>
      </c>
      <c r="B17" s="33" t="s">
        <v>209</v>
      </c>
      <c r="C17" s="40" t="n">
        <v>700</v>
      </c>
      <c r="D17" s="40" t="n">
        <v>665</v>
      </c>
      <c r="E17" s="40" t="n">
        <v>1700</v>
      </c>
      <c r="F17" s="29" t="s">
        <v>195</v>
      </c>
    </row>
    <row r="18" customFormat="false" ht="15" hidden="false" customHeight="false" outlineLevel="0" collapsed="false">
      <c r="A18" s="33" t="s">
        <v>212</v>
      </c>
      <c r="B18" s="33" t="s">
        <v>145</v>
      </c>
      <c r="C18" s="40" t="n">
        <v>1099</v>
      </c>
      <c r="D18" s="40" t="n">
        <v>65</v>
      </c>
      <c r="E18" s="40" t="n">
        <v>6137</v>
      </c>
      <c r="F18" s="29" t="s">
        <v>195</v>
      </c>
    </row>
    <row r="19" customFormat="false" ht="15" hidden="false" customHeight="false" outlineLevel="0" collapsed="false">
      <c r="A19" s="33" t="s">
        <v>213</v>
      </c>
      <c r="B19" s="33" t="s">
        <v>201</v>
      </c>
      <c r="C19" s="40" t="n">
        <v>130</v>
      </c>
      <c r="D19" s="40" t="n">
        <v>94</v>
      </c>
      <c r="E19" s="40" t="n">
        <v>0</v>
      </c>
      <c r="F19" s="29" t="s">
        <v>195</v>
      </c>
    </row>
    <row r="20" customFormat="false" ht="15" hidden="false" customHeight="false" outlineLevel="0" collapsed="false">
      <c r="A20" s="33" t="s">
        <v>214</v>
      </c>
      <c r="B20" s="33" t="s">
        <v>145</v>
      </c>
      <c r="C20" s="40" t="n">
        <v>1224</v>
      </c>
      <c r="D20" s="40" t="n">
        <v>35400</v>
      </c>
      <c r="E20" s="40" t="n">
        <v>0</v>
      </c>
      <c r="F20" s="29" t="s">
        <v>215</v>
      </c>
    </row>
    <row r="21" customFormat="false" ht="15" hidden="false" customHeight="false" outlineLevel="0" collapsed="false">
      <c r="A21" s="33" t="s">
        <v>216</v>
      </c>
      <c r="B21" s="33" t="s">
        <v>217</v>
      </c>
      <c r="C21" s="40" t="n">
        <v>1.72</v>
      </c>
      <c r="D21" s="40" t="n">
        <v>0.56</v>
      </c>
      <c r="E21" s="40" t="n">
        <v>1.79</v>
      </c>
      <c r="F21" s="29" t="s">
        <v>195</v>
      </c>
    </row>
    <row r="23" customFormat="false" ht="15" hidden="false" customHeight="false" outlineLevel="0" collapsed="false">
      <c r="A23" s="41" t="s">
        <v>218</v>
      </c>
      <c r="B23" s="5"/>
      <c r="C23" s="5"/>
      <c r="D23" s="5"/>
      <c r="E23" s="5"/>
      <c r="F23" s="5"/>
    </row>
    <row r="24" customFormat="false" ht="15" hidden="false" customHeight="false" outlineLevel="0" collapsed="false">
      <c r="A24" s="33" t="s">
        <v>219</v>
      </c>
      <c r="B24" s="33" t="s">
        <v>145</v>
      </c>
      <c r="C24" s="42" t="n">
        <f aca="false">C18+C19</f>
        <v>1229</v>
      </c>
      <c r="D24" s="42" t="n">
        <f aca="false">D18+D19</f>
        <v>159</v>
      </c>
      <c r="E24" s="42" t="n">
        <f aca="false">E18+E19</f>
        <v>6137</v>
      </c>
      <c r="F24" s="29" t="s">
        <v>220</v>
      </c>
    </row>
    <row r="25" customFormat="false" ht="15" hidden="false" customHeight="false" outlineLevel="0" collapsed="false">
      <c r="A25" s="33" t="s">
        <v>221</v>
      </c>
      <c r="B25" s="33" t="s">
        <v>217</v>
      </c>
      <c r="C25" s="42" t="n">
        <f aca="false">1000/C24</f>
        <v>0.813669650122051</v>
      </c>
      <c r="D25" s="42" t="n">
        <f aca="false">1000/D24</f>
        <v>6.28930817610063</v>
      </c>
      <c r="E25" s="42" t="n">
        <f aca="false">1000/E24</f>
        <v>0.162946064852534</v>
      </c>
      <c r="F25" s="29" t="s">
        <v>222</v>
      </c>
    </row>
    <row r="26" customFormat="false" ht="15" hidden="false" customHeight="false" outlineLevel="0" collapsed="false">
      <c r="A26" s="33" t="s">
        <v>223</v>
      </c>
      <c r="B26" s="33" t="s">
        <v>224</v>
      </c>
      <c r="C26" s="42" t="n">
        <f aca="false">C6/C18</f>
        <v>1.7179253867152</v>
      </c>
      <c r="D26" s="42" t="n">
        <f aca="false">D6/D18</f>
        <v>1.36923076923077</v>
      </c>
      <c r="E26" s="42" t="n">
        <f aca="false">E6/E18</f>
        <v>1.78833306175656</v>
      </c>
      <c r="F26" s="29" t="s">
        <v>225</v>
      </c>
    </row>
    <row r="27" customFormat="false" ht="15" hidden="false" customHeight="false" outlineLevel="0" collapsed="false">
      <c r="A27" s="33" t="s">
        <v>226</v>
      </c>
      <c r="B27" s="33" t="s">
        <v>224</v>
      </c>
      <c r="C27" s="42" t="n">
        <f aca="false">C6/C24</f>
        <v>1.53620829943043</v>
      </c>
      <c r="D27" s="42" t="n">
        <f aca="false">D6/D24</f>
        <v>0.559748427672956</v>
      </c>
      <c r="E27" s="42" t="n">
        <f aca="false">E6/E24</f>
        <v>1.78833306175656</v>
      </c>
      <c r="F27" s="29" t="s">
        <v>227</v>
      </c>
    </row>
    <row r="28" customFormat="false" ht="15" hidden="false" customHeight="false" outlineLevel="0" collapsed="false">
      <c r="A28" s="33" t="s">
        <v>228</v>
      </c>
      <c r="B28" s="33" t="s">
        <v>229</v>
      </c>
      <c r="C28" s="42" t="n">
        <f aca="false">C15*C17/C16*C5/12</f>
        <v>1179.02542372881</v>
      </c>
      <c r="D28" s="42" t="n">
        <f aca="false">D15*D17/D16*D5/12</f>
        <v>671.234375</v>
      </c>
      <c r="E28" s="42" t="n">
        <f aca="false">E15*E17/E16*E5/12</f>
        <v>14046.6101694915</v>
      </c>
      <c r="F28" s="29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5" min="3" style="0" width="22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28" t="s">
        <v>231</v>
      </c>
    </row>
    <row r="2" customFormat="false" ht="15" hidden="false" customHeight="false" outlineLevel="0" collapsed="false">
      <c r="A2" s="29" t="s">
        <v>107</v>
      </c>
    </row>
    <row r="4" customFormat="false" ht="26.85" hidden="false" customHeight="false" outlineLevel="0" collapsed="false">
      <c r="A4" s="8" t="s">
        <v>108</v>
      </c>
      <c r="B4" s="8" t="s">
        <v>143</v>
      </c>
      <c r="C4" s="8" t="s">
        <v>11</v>
      </c>
      <c r="D4" s="8" t="s">
        <v>15</v>
      </c>
      <c r="E4" s="8" t="s">
        <v>19</v>
      </c>
      <c r="F4" s="8" t="s">
        <v>192</v>
      </c>
    </row>
    <row r="5" customFormat="false" ht="15" hidden="false" customHeight="false" outlineLevel="0" collapsed="false">
      <c r="A5" s="43" t="s">
        <v>232</v>
      </c>
      <c r="C5" s="44" t="n">
        <v>6.25</v>
      </c>
      <c r="F5" s="29" t="s">
        <v>233</v>
      </c>
    </row>
    <row r="7" customFormat="false" ht="15" hidden="false" customHeight="false" outlineLevel="0" collapsed="false">
      <c r="A7" s="41" t="s">
        <v>234</v>
      </c>
      <c r="B7" s="5"/>
      <c r="C7" s="5"/>
      <c r="D7" s="5"/>
      <c r="E7" s="5"/>
      <c r="F7" s="5"/>
    </row>
    <row r="8" customFormat="false" ht="15" hidden="false" customHeight="false" outlineLevel="0" collapsed="false">
      <c r="A8" s="0" t="s">
        <v>146</v>
      </c>
      <c r="B8" s="0" t="s">
        <v>145</v>
      </c>
      <c r="C8" s="45" t="n">
        <f aca="false">Inventory!C6*Inventory!C10/100/$C$5</f>
        <v>126.8736</v>
      </c>
      <c r="D8" s="45" t="n">
        <f aca="false">Inventory!D6*Inventory!D10/100/$C$5</f>
        <v>5.696</v>
      </c>
      <c r="E8" s="45" t="n">
        <f aca="false">Inventory!E6*Inventory!E10/100/$C$5</f>
        <v>737.52</v>
      </c>
      <c r="F8" s="29" t="s">
        <v>235</v>
      </c>
    </row>
    <row r="9" customFormat="false" ht="15" hidden="false" customHeight="false" outlineLevel="0" collapsed="false">
      <c r="A9" s="0" t="s">
        <v>154</v>
      </c>
      <c r="B9" s="0" t="s">
        <v>145</v>
      </c>
      <c r="C9" s="46" t="n">
        <v>29</v>
      </c>
      <c r="D9" s="46" t="n">
        <v>4.5</v>
      </c>
      <c r="E9" s="46" t="n">
        <v>148.8</v>
      </c>
      <c r="F9" s="29" t="s">
        <v>125</v>
      </c>
    </row>
    <row r="10" customFormat="false" ht="15" hidden="false" customHeight="false" outlineLevel="0" collapsed="false">
      <c r="A10" s="0" t="s">
        <v>155</v>
      </c>
      <c r="B10" s="0" t="s">
        <v>145</v>
      </c>
      <c r="C10" s="46" t="n">
        <v>30.6</v>
      </c>
      <c r="D10" s="46" t="n">
        <v>1.8</v>
      </c>
      <c r="E10" s="46" t="n">
        <v>0</v>
      </c>
      <c r="F10" s="29" t="s">
        <v>125</v>
      </c>
    </row>
    <row r="11" customFormat="false" ht="15" hidden="false" customHeight="false" outlineLevel="0" collapsed="false">
      <c r="A11" s="0" t="s">
        <v>236</v>
      </c>
      <c r="B11" s="0" t="s">
        <v>145</v>
      </c>
      <c r="C11" s="35" t="n">
        <f aca="false">C8-C9-C10</f>
        <v>67.2736</v>
      </c>
      <c r="D11" s="35" t="n">
        <f aca="false">D8-D9-D10</f>
        <v>-0.603999999999999</v>
      </c>
      <c r="E11" s="35" t="n">
        <f aca="false">E8-E9-E10</f>
        <v>588.72</v>
      </c>
      <c r="F11" s="29" t="s">
        <v>237</v>
      </c>
    </row>
    <row r="12" customFormat="false" ht="15" hidden="false" customHeight="false" outlineLevel="0" collapsed="false">
      <c r="A12" s="0" t="s">
        <v>238</v>
      </c>
      <c r="B12" s="0" t="s">
        <v>145</v>
      </c>
      <c r="C12" s="46" t="n">
        <v>67.2</v>
      </c>
      <c r="D12" s="46" t="n">
        <v>-0.5</v>
      </c>
      <c r="E12" s="46" t="n">
        <v>588.7</v>
      </c>
      <c r="F12" s="29" t="s">
        <v>239</v>
      </c>
    </row>
    <row r="13" customFormat="false" ht="15" hidden="false" customHeight="false" outlineLevel="0" collapsed="false">
      <c r="A13" s="0" t="s">
        <v>158</v>
      </c>
      <c r="B13" s="0" t="s">
        <v>159</v>
      </c>
      <c r="C13" s="47" t="n">
        <f aca="false">(C9+C10)/C8</f>
        <v>0.469758878127522</v>
      </c>
      <c r="D13" s="47" t="n">
        <f aca="false">(D9+D10)/D8</f>
        <v>1.1060393258427</v>
      </c>
      <c r="E13" s="47" t="n">
        <f aca="false">(E9+E10)/E8</f>
        <v>0.201757240481614</v>
      </c>
      <c r="F13" s="29" t="s">
        <v>240</v>
      </c>
    </row>
    <row r="14" customFormat="false" ht="15" hidden="false" customHeight="false" outlineLevel="0" collapsed="false">
      <c r="A14" s="0" t="s">
        <v>241</v>
      </c>
      <c r="B14" s="0" t="s">
        <v>145</v>
      </c>
      <c r="C14" s="48" t="n">
        <f aca="false">C11*Inventory!C25</f>
        <v>54.7384865744508</v>
      </c>
      <c r="D14" s="48" t="n">
        <f aca="false">D11*Inventory!D25</f>
        <v>-3.79874213836478</v>
      </c>
      <c r="E14" s="48" t="n">
        <f aca="false">E11*Inventory!E25</f>
        <v>95.9296072999837</v>
      </c>
      <c r="F14" s="29" t="s">
        <v>242</v>
      </c>
    </row>
    <row r="16" customFormat="false" ht="15" hidden="false" customHeight="false" outlineLevel="0" collapsed="false">
      <c r="A16" s="41" t="s">
        <v>243</v>
      </c>
      <c r="B16" s="5"/>
      <c r="C16" s="5"/>
      <c r="D16" s="5"/>
      <c r="E16" s="5"/>
      <c r="F16" s="5"/>
    </row>
    <row r="17" customFormat="false" ht="15" hidden="false" customHeight="false" outlineLevel="0" collapsed="false">
      <c r="A17" s="0" t="s">
        <v>244</v>
      </c>
      <c r="B17" s="0" t="s">
        <v>145</v>
      </c>
      <c r="C17" s="45" t="n">
        <f aca="false">Inventory!C6*Inventory!C14/100</f>
        <v>26.432</v>
      </c>
      <c r="D17" s="45" t="n">
        <f aca="false">Inventory!D6*Inventory!D14/100</f>
        <v>1.157</v>
      </c>
      <c r="E17" s="45" t="n">
        <f aca="false">Inventory!E6*Inventory!E14/100</f>
        <v>153.65</v>
      </c>
      <c r="F17" s="29" t="s">
        <v>235</v>
      </c>
    </row>
    <row r="18" customFormat="false" ht="15" hidden="false" customHeight="false" outlineLevel="0" collapsed="false">
      <c r="A18" s="0" t="s">
        <v>245</v>
      </c>
      <c r="B18" s="0" t="s">
        <v>145</v>
      </c>
      <c r="C18" s="46" t="n">
        <v>5.9</v>
      </c>
      <c r="D18" s="46" t="n">
        <v>1</v>
      </c>
      <c r="E18" s="46" t="n">
        <v>25</v>
      </c>
      <c r="F18" s="29" t="s">
        <v>125</v>
      </c>
    </row>
    <row r="19" customFormat="false" ht="15" hidden="false" customHeight="false" outlineLevel="0" collapsed="false">
      <c r="A19" s="0" t="s">
        <v>246</v>
      </c>
      <c r="B19" s="0" t="s">
        <v>145</v>
      </c>
      <c r="C19" s="46" t="n">
        <v>2.6</v>
      </c>
      <c r="D19" s="46" t="n">
        <v>0.1</v>
      </c>
      <c r="E19" s="46" t="n">
        <v>0</v>
      </c>
      <c r="F19" s="29" t="s">
        <v>125</v>
      </c>
    </row>
    <row r="20" customFormat="false" ht="15" hidden="false" customHeight="false" outlineLevel="0" collapsed="false">
      <c r="A20" s="0" t="s">
        <v>247</v>
      </c>
      <c r="B20" s="0" t="s">
        <v>145</v>
      </c>
      <c r="C20" s="35" t="n">
        <f aca="false">C17-C18-C19</f>
        <v>17.932</v>
      </c>
      <c r="D20" s="35" t="n">
        <f aca="false">D17-D18-D19</f>
        <v>0.057</v>
      </c>
      <c r="E20" s="35" t="n">
        <f aca="false">E17-E18-E19</f>
        <v>128.65</v>
      </c>
      <c r="F20" s="29" t="s">
        <v>237</v>
      </c>
    </row>
    <row r="21" customFormat="false" ht="15" hidden="false" customHeight="false" outlineLevel="0" collapsed="false">
      <c r="A21" s="0" t="s">
        <v>248</v>
      </c>
      <c r="B21" s="0" t="s">
        <v>145</v>
      </c>
      <c r="C21" s="46" t="n">
        <v>18</v>
      </c>
      <c r="D21" s="46" t="n">
        <v>0</v>
      </c>
      <c r="E21" s="46" t="n">
        <v>128.7</v>
      </c>
      <c r="F21" s="29" t="s">
        <v>239</v>
      </c>
    </row>
    <row r="22" customFormat="false" ht="15" hidden="false" customHeight="false" outlineLevel="0" collapsed="false">
      <c r="A22" s="0" t="s">
        <v>249</v>
      </c>
      <c r="B22" s="0" t="s">
        <v>159</v>
      </c>
      <c r="C22" s="47" t="n">
        <f aca="false">(C18+C19)/C17</f>
        <v>0.3215799031477</v>
      </c>
      <c r="D22" s="47" t="n">
        <f aca="false">(D18+D19)/D17</f>
        <v>0.950734658599827</v>
      </c>
      <c r="E22" s="47" t="n">
        <f aca="false">(E18+E19)/E17</f>
        <v>0.162707452001302</v>
      </c>
      <c r="F22" s="29" t="s">
        <v>240</v>
      </c>
    </row>
    <row r="23" customFormat="false" ht="15" hidden="false" customHeight="false" outlineLevel="0" collapsed="false">
      <c r="A23" s="0" t="s">
        <v>250</v>
      </c>
      <c r="B23" s="0" t="s">
        <v>145</v>
      </c>
      <c r="C23" s="48" t="n">
        <f aca="false">C20*Inventory!C25</f>
        <v>14.5907241659886</v>
      </c>
      <c r="D23" s="48" t="n">
        <f aca="false">D20*Inventory!D25</f>
        <v>0.358490566037736</v>
      </c>
      <c r="E23" s="48" t="n">
        <f aca="false">E20*Inventory!E25</f>
        <v>20.9630112432785</v>
      </c>
      <c r="F23" s="29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5" min="3" style="0" width="22"/>
    <col collapsed="false" customWidth="true" hidden="false" outlineLevel="0" max="6" min="6" style="0" width="8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28" t="s">
        <v>251</v>
      </c>
    </row>
    <row r="2" customFormat="false" ht="15" hidden="false" customHeight="false" outlineLevel="0" collapsed="false">
      <c r="A2" s="29" t="s">
        <v>107</v>
      </c>
    </row>
    <row r="3" customFormat="false" ht="15" hidden="false" customHeight="false" outlineLevel="0" collapsed="false">
      <c r="A3" s="29" t="s">
        <v>252</v>
      </c>
    </row>
    <row r="5" customFormat="false" ht="21.75" hidden="false" customHeight="true" outlineLevel="0" collapsed="false">
      <c r="A5" s="49" t="s">
        <v>253</v>
      </c>
      <c r="B5" s="50"/>
      <c r="C5" s="50"/>
      <c r="D5" s="50"/>
      <c r="E5" s="50"/>
      <c r="F5" s="50"/>
      <c r="G5" s="50"/>
    </row>
    <row r="6" customFormat="false" ht="26.85" hidden="false" customHeight="false" outlineLevel="0" collapsed="false">
      <c r="A6" s="51" t="s">
        <v>254</v>
      </c>
      <c r="B6" s="51" t="s">
        <v>255</v>
      </c>
      <c r="C6" s="51" t="s">
        <v>11</v>
      </c>
      <c r="D6" s="51" t="s">
        <v>15</v>
      </c>
      <c r="E6" s="51" t="s">
        <v>19</v>
      </c>
      <c r="F6" s="51" t="s">
        <v>143</v>
      </c>
      <c r="G6" s="51" t="s">
        <v>256</v>
      </c>
    </row>
    <row r="7" customFormat="false" ht="15" hidden="false" customHeight="false" outlineLevel="0" collapsed="false">
      <c r="A7" s="52" t="s">
        <v>257</v>
      </c>
    </row>
    <row r="8" customFormat="false" ht="15" hidden="false" customHeight="false" outlineLevel="0" collapsed="false">
      <c r="A8" s="14" t="s">
        <v>258</v>
      </c>
      <c r="B8" s="53" t="s">
        <v>259</v>
      </c>
      <c r="C8" s="35" t="n">
        <f aca="false">Inventory!C6*Inventory!C25</f>
        <v>1536.20829943043</v>
      </c>
      <c r="D8" s="35" t="n">
        <f aca="false">Inventory!D6*Inventory!D25</f>
        <v>559.748427672956</v>
      </c>
      <c r="E8" s="35" t="n">
        <f aca="false">Inventory!E6*Inventory!E25</f>
        <v>1788.33306175656</v>
      </c>
      <c r="F8" s="33" t="s">
        <v>145</v>
      </c>
      <c r="G8" s="29" t="s">
        <v>260</v>
      </c>
    </row>
    <row r="9" customFormat="false" ht="15" hidden="false" customHeight="false" outlineLevel="0" collapsed="false">
      <c r="A9" s="14" t="s">
        <v>261</v>
      </c>
      <c r="B9" s="53" t="s">
        <v>259</v>
      </c>
      <c r="C9" s="35" t="n">
        <f aca="false">Inventory!C8*Inventory!C25</f>
        <v>550.854353132628</v>
      </c>
      <c r="D9" s="35" t="n">
        <f aca="false">Inventory!D8*Inventory!D25</f>
        <v>283.018867924528</v>
      </c>
      <c r="E9" s="35" t="n">
        <f aca="false">Inventory!E8*Inventory!E25</f>
        <v>14.8280919015806</v>
      </c>
      <c r="F9" s="33" t="s">
        <v>145</v>
      </c>
      <c r="G9" s="29" t="s">
        <v>262</v>
      </c>
    </row>
    <row r="10" customFormat="false" ht="15" hidden="false" customHeight="false" outlineLevel="0" collapsed="false">
      <c r="A10" s="14" t="s">
        <v>263</v>
      </c>
      <c r="B10" s="53" t="s">
        <v>259</v>
      </c>
      <c r="C10" s="35" t="n">
        <f aca="false">Inventory!C9*Inventory!C25</f>
        <v>4.47518307567128</v>
      </c>
      <c r="D10" s="35" t="n">
        <f aca="false">Inventory!D9*Inventory!D25</f>
        <v>90.5660377358491</v>
      </c>
      <c r="E10" s="35" t="n">
        <f aca="false">Inventory!E9*Inventory!E25</f>
        <v>0</v>
      </c>
      <c r="F10" s="33" t="s">
        <v>145</v>
      </c>
      <c r="G10" s="29"/>
    </row>
    <row r="11" customFormat="false" ht="15" hidden="false" customHeight="false" outlineLevel="0" collapsed="false">
      <c r="A11" s="52" t="s">
        <v>264</v>
      </c>
    </row>
    <row r="12" customFormat="false" ht="15" hidden="false" customHeight="false" outlineLevel="0" collapsed="false">
      <c r="A12" s="14" t="s">
        <v>265</v>
      </c>
      <c r="B12" s="53" t="s">
        <v>266</v>
      </c>
      <c r="C12" s="35" t="n">
        <f aca="false">Inventory!C7*Inventory!C25</f>
        <v>82270.1383238405</v>
      </c>
      <c r="D12" s="35" t="n">
        <f aca="false">Inventory!D7*Inventory!D25</f>
        <v>45188.679245283</v>
      </c>
      <c r="E12" s="35" t="n">
        <f aca="false">Inventory!E7*Inventory!E25</f>
        <v>195822.71468144</v>
      </c>
      <c r="F12" s="33" t="s">
        <v>150</v>
      </c>
      <c r="G12" s="29" t="s">
        <v>267</v>
      </c>
    </row>
    <row r="13" customFormat="false" ht="15" hidden="false" customHeight="false" outlineLevel="0" collapsed="false">
      <c r="A13" s="14" t="s">
        <v>268</v>
      </c>
      <c r="B13" s="53" t="s">
        <v>266</v>
      </c>
      <c r="C13" s="35" t="n">
        <f aca="false">Inventory!C28*Inventory!C25</f>
        <v>959.337204010426</v>
      </c>
      <c r="D13" s="35" t="n">
        <f aca="false">Inventory!D28*Inventory!D25</f>
        <v>4221.5998427673</v>
      </c>
      <c r="E13" s="35" t="n">
        <f aca="false">Inventory!E28*Inventory!E25</f>
        <v>2288.83985163623</v>
      </c>
      <c r="F13" s="33" t="s">
        <v>229</v>
      </c>
      <c r="G13" s="29" t="s">
        <v>269</v>
      </c>
    </row>
    <row r="14" customFormat="false" ht="15" hidden="false" customHeight="false" outlineLevel="0" collapsed="false">
      <c r="A14" s="52" t="s">
        <v>270</v>
      </c>
    </row>
    <row r="15" customFormat="false" ht="15" hidden="false" customHeight="false" outlineLevel="0" collapsed="false">
      <c r="A15" s="14" t="s">
        <v>271</v>
      </c>
      <c r="B15" s="53" t="s">
        <v>259</v>
      </c>
      <c r="C15" s="54" t="s">
        <v>272</v>
      </c>
      <c r="D15" s="54" t="s">
        <v>272</v>
      </c>
      <c r="E15" s="54" t="s">
        <v>272</v>
      </c>
      <c r="F15" s="33"/>
      <c r="G15" s="29" t="s">
        <v>273</v>
      </c>
    </row>
    <row r="16" customFormat="false" ht="15" hidden="false" customHeight="false" outlineLevel="0" collapsed="false">
      <c r="A16" s="14" t="s">
        <v>274</v>
      </c>
      <c r="B16" s="53" t="s">
        <v>259</v>
      </c>
      <c r="C16" s="54" t="s">
        <v>272</v>
      </c>
      <c r="D16" s="54" t="s">
        <v>272</v>
      </c>
      <c r="E16" s="54" t="s">
        <v>272</v>
      </c>
      <c r="F16" s="33"/>
      <c r="G16" s="29" t="s">
        <v>275</v>
      </c>
    </row>
    <row r="17" customFormat="false" ht="15" hidden="false" customHeight="false" outlineLevel="0" collapsed="false">
      <c r="A17" s="14" t="s">
        <v>276</v>
      </c>
      <c r="B17" s="53" t="s">
        <v>259</v>
      </c>
      <c r="C17" s="54" t="s">
        <v>272</v>
      </c>
      <c r="D17" s="54" t="s">
        <v>272</v>
      </c>
      <c r="E17" s="54" t="s">
        <v>272</v>
      </c>
      <c r="F17" s="33"/>
      <c r="G17" s="29" t="s">
        <v>277</v>
      </c>
    </row>
    <row r="18" customFormat="false" ht="15" hidden="false" customHeight="false" outlineLevel="0" collapsed="false">
      <c r="A18" s="14" t="s">
        <v>278</v>
      </c>
      <c r="B18" s="53" t="s">
        <v>259</v>
      </c>
      <c r="C18" s="54" t="s">
        <v>272</v>
      </c>
      <c r="D18" s="54" t="s">
        <v>272</v>
      </c>
      <c r="E18" s="54" t="s">
        <v>272</v>
      </c>
      <c r="F18" s="33"/>
      <c r="G18" s="29" t="s">
        <v>279</v>
      </c>
    </row>
    <row r="19" customFormat="false" ht="15" hidden="false" customHeight="false" outlineLevel="0" collapsed="false">
      <c r="A19" s="14" t="s">
        <v>280</v>
      </c>
      <c r="B19" s="53" t="s">
        <v>259</v>
      </c>
      <c r="C19" s="54" t="s">
        <v>272</v>
      </c>
      <c r="D19" s="54" t="s">
        <v>272</v>
      </c>
      <c r="E19" s="54" t="s">
        <v>272</v>
      </c>
      <c r="F19" s="33"/>
      <c r="G19" s="29" t="s">
        <v>281</v>
      </c>
    </row>
    <row r="20" customFormat="false" ht="15" hidden="false" customHeight="false" outlineLevel="0" collapsed="false">
      <c r="A20" s="14" t="s">
        <v>282</v>
      </c>
      <c r="B20" s="53" t="s">
        <v>259</v>
      </c>
      <c r="C20" s="54" t="s">
        <v>272</v>
      </c>
      <c r="D20" s="54" t="s">
        <v>272</v>
      </c>
      <c r="E20" s="54" t="s">
        <v>272</v>
      </c>
      <c r="F20" s="33"/>
      <c r="G20" s="29" t="s">
        <v>283</v>
      </c>
    </row>
    <row r="23" customFormat="false" ht="21.75" hidden="false" customHeight="true" outlineLevel="0" collapsed="false">
      <c r="A23" s="55" t="s">
        <v>284</v>
      </c>
      <c r="B23" s="1"/>
      <c r="C23" s="1"/>
      <c r="D23" s="1"/>
      <c r="E23" s="1"/>
      <c r="F23" s="1"/>
      <c r="G23" s="1"/>
    </row>
    <row r="24" customFormat="false" ht="26.85" hidden="false" customHeight="false" outlineLevel="0" collapsed="false">
      <c r="A24" s="56" t="s">
        <v>254</v>
      </c>
      <c r="B24" s="56" t="s">
        <v>255</v>
      </c>
      <c r="C24" s="56" t="s">
        <v>11</v>
      </c>
      <c r="D24" s="56" t="s">
        <v>15</v>
      </c>
      <c r="E24" s="56" t="s">
        <v>19</v>
      </c>
      <c r="F24" s="56" t="s">
        <v>143</v>
      </c>
      <c r="G24" s="56" t="s">
        <v>256</v>
      </c>
    </row>
    <row r="25" customFormat="false" ht="15" hidden="false" customHeight="false" outlineLevel="0" collapsed="false">
      <c r="A25" s="57" t="s">
        <v>285</v>
      </c>
    </row>
    <row r="26" customFormat="false" ht="15" hidden="false" customHeight="false" outlineLevel="0" collapsed="false">
      <c r="A26" s="14" t="s">
        <v>286</v>
      </c>
      <c r="B26" s="58" t="s">
        <v>287</v>
      </c>
      <c r="C26" s="35" t="n">
        <f aca="false">1</f>
        <v>1</v>
      </c>
      <c r="D26" s="35" t="n">
        <f aca="false">1</f>
        <v>1</v>
      </c>
      <c r="E26" s="35" t="n">
        <f aca="false">1</f>
        <v>1</v>
      </c>
      <c r="F26" s="33" t="s">
        <v>288</v>
      </c>
      <c r="G26" s="29" t="s">
        <v>289</v>
      </c>
    </row>
    <row r="27" customFormat="false" ht="15" hidden="false" customHeight="false" outlineLevel="0" collapsed="false">
      <c r="A27" s="14" t="s">
        <v>290</v>
      </c>
      <c r="B27" s="58" t="s">
        <v>291</v>
      </c>
      <c r="C27" s="35" t="n">
        <f aca="false">Inventory!C18*Inventory!C25</f>
        <v>894.222945484133</v>
      </c>
      <c r="D27" s="35" t="n">
        <f aca="false">Inventory!D18*Inventory!D25</f>
        <v>408.805031446541</v>
      </c>
      <c r="E27" s="35" t="n">
        <f aca="false">Inventory!E18*Inventory!E25</f>
        <v>1000</v>
      </c>
      <c r="F27" s="33" t="s">
        <v>145</v>
      </c>
      <c r="G27" s="29" t="s">
        <v>292</v>
      </c>
    </row>
    <row r="28" customFormat="false" ht="15" hidden="false" customHeight="false" outlineLevel="0" collapsed="false">
      <c r="A28" s="14" t="s">
        <v>293</v>
      </c>
      <c r="B28" s="58" t="s">
        <v>291</v>
      </c>
      <c r="C28" s="35" t="n">
        <f aca="false">Inventory!C19*Inventory!C25</f>
        <v>105.777054515867</v>
      </c>
      <c r="D28" s="35" t="n">
        <f aca="false">Inventory!D19*Inventory!D25</f>
        <v>591.194968553459</v>
      </c>
      <c r="E28" s="35" t="n">
        <f aca="false">Inventory!E19*Inventory!E25</f>
        <v>0</v>
      </c>
      <c r="F28" s="33" t="s">
        <v>145</v>
      </c>
      <c r="G28" s="29" t="s">
        <v>292</v>
      </c>
    </row>
    <row r="29" customFormat="false" ht="15" hidden="false" customHeight="false" outlineLevel="0" collapsed="false">
      <c r="A29" s="57" t="s">
        <v>294</v>
      </c>
    </row>
    <row r="30" customFormat="false" ht="15" hidden="false" customHeight="false" outlineLevel="0" collapsed="false">
      <c r="A30" s="14" t="s">
        <v>295</v>
      </c>
      <c r="B30" s="58" t="s">
        <v>296</v>
      </c>
      <c r="C30" s="35" t="n">
        <f aca="false">Inventory!C20*Inventory!C25</f>
        <v>995.93165174939</v>
      </c>
      <c r="D30" s="35" t="n">
        <f aca="false">Inventory!D20*Inventory!D25</f>
        <v>222641.509433962</v>
      </c>
      <c r="E30" s="35" t="n">
        <f aca="false">Inventory!E20*Inventory!E25</f>
        <v>0</v>
      </c>
      <c r="F30" s="33" t="s">
        <v>145</v>
      </c>
      <c r="G30" s="29" t="s">
        <v>297</v>
      </c>
    </row>
    <row r="31" customFormat="false" ht="15" hidden="false" customHeight="false" outlineLevel="0" collapsed="false">
      <c r="A31" s="57" t="s">
        <v>298</v>
      </c>
    </row>
    <row r="32" customFormat="false" ht="15" hidden="false" customHeight="false" outlineLevel="0" collapsed="false">
      <c r="A32" s="14" t="s">
        <v>299</v>
      </c>
      <c r="B32" s="58" t="s">
        <v>300</v>
      </c>
      <c r="C32" s="35" t="n">
        <f aca="false">'Nutrient balance'!C14</f>
        <v>54.7384865744508</v>
      </c>
      <c r="D32" s="35" t="n">
        <f aca="false">'Nutrient balance'!D14</f>
        <v>-3.79874213836478</v>
      </c>
      <c r="E32" s="35" t="n">
        <f aca="false">'Nutrient balance'!E14</f>
        <v>95.9296072999837</v>
      </c>
      <c r="F32" s="33" t="s">
        <v>147</v>
      </c>
      <c r="G32" s="29" t="s">
        <v>301</v>
      </c>
    </row>
    <row r="33" customFormat="false" ht="15" hidden="false" customHeight="false" outlineLevel="0" collapsed="false">
      <c r="A33" s="14" t="s">
        <v>302</v>
      </c>
      <c r="B33" s="58" t="s">
        <v>300</v>
      </c>
      <c r="C33" s="35" t="n">
        <f aca="false">'Nutrient balance'!C23</f>
        <v>14.5907241659886</v>
      </c>
      <c r="D33" s="35" t="n">
        <f aca="false">'Nutrient balance'!D23</f>
        <v>0.358490566037736</v>
      </c>
      <c r="E33" s="35" t="n">
        <f aca="false">'Nutrient balance'!E23</f>
        <v>20.9630112432785</v>
      </c>
      <c r="F33" s="33" t="s">
        <v>303</v>
      </c>
      <c r="G33" s="29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5" min="3" style="0" width="18"/>
    <col collapsed="false" customWidth="true" hidden="false" outlineLevel="0" max="6" min="6" style="0" width="2"/>
    <col collapsed="false" customWidth="true" hidden="false" outlineLevel="0" max="9" min="7" style="0" width="13"/>
  </cols>
  <sheetData>
    <row r="1" customFormat="false" ht="17.35" hidden="false" customHeight="false" outlineLevel="0" collapsed="false">
      <c r="A1" s="28" t="s">
        <v>304</v>
      </c>
    </row>
    <row r="2" customFormat="false" ht="15" hidden="false" customHeight="false" outlineLevel="0" collapsed="false">
      <c r="A2" s="29" t="s">
        <v>107</v>
      </c>
    </row>
    <row r="3" customFormat="false" ht="15" hidden="false" customHeight="false" outlineLevel="0" collapsed="false">
      <c r="A3" s="29" t="s">
        <v>305</v>
      </c>
    </row>
    <row r="4" customFormat="false" ht="26.85" hidden="false" customHeight="false" outlineLevel="0" collapsed="false">
      <c r="A4" s="8" t="s">
        <v>306</v>
      </c>
      <c r="B4" s="8" t="s">
        <v>143</v>
      </c>
      <c r="C4" s="8" t="s">
        <v>11</v>
      </c>
      <c r="D4" s="8" t="s">
        <v>15</v>
      </c>
      <c r="E4" s="8" t="s">
        <v>19</v>
      </c>
      <c r="F4" s="8"/>
      <c r="G4" s="8" t="s">
        <v>307</v>
      </c>
      <c r="H4" s="8" t="s">
        <v>308</v>
      </c>
      <c r="I4" s="8" t="s">
        <v>309</v>
      </c>
    </row>
    <row r="5" customFormat="false" ht="15" hidden="false" customHeight="false" outlineLevel="0" collapsed="false">
      <c r="A5" s="41" t="s">
        <v>310</v>
      </c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33" t="s">
        <v>311</v>
      </c>
      <c r="B6" s="33" t="s">
        <v>312</v>
      </c>
      <c r="C6" s="59" t="n">
        <v>137</v>
      </c>
      <c r="D6" s="59" t="n">
        <v>12</v>
      </c>
      <c r="E6" s="59" t="n">
        <v>13</v>
      </c>
      <c r="G6" s="60" t="n">
        <f aca="false">IF(C$18=0,0,C6/C$18)</f>
        <v>0.0489111031774366</v>
      </c>
      <c r="H6" s="60" t="n">
        <f aca="false">IF(D$18=0,0,D6/D$18)</f>
        <v>0.00956175298804781</v>
      </c>
      <c r="I6" s="60" t="n">
        <f aca="false">IF(E$18=0,0,E6/E$18)</f>
        <v>0.00458392101551481</v>
      </c>
    </row>
    <row r="7" customFormat="false" ht="15" hidden="false" customHeight="false" outlineLevel="0" collapsed="false">
      <c r="A7" s="33" t="s">
        <v>313</v>
      </c>
      <c r="B7" s="33" t="s">
        <v>312</v>
      </c>
      <c r="C7" s="59" t="n">
        <v>330</v>
      </c>
      <c r="D7" s="59" t="n">
        <v>6</v>
      </c>
      <c r="E7" s="59" t="n">
        <v>474</v>
      </c>
      <c r="G7" s="60" t="n">
        <f aca="false">IF(C$18=0,0,C7/C$18)</f>
        <v>0.11781506604784</v>
      </c>
      <c r="H7" s="60" t="n">
        <f aca="false">IF(D$18=0,0,D7/D$18)</f>
        <v>0.0047808764940239</v>
      </c>
      <c r="I7" s="60" t="n">
        <f aca="false">IF(E$18=0,0,E7/E$18)</f>
        <v>0.167136812411848</v>
      </c>
    </row>
    <row r="8" customFormat="false" ht="15" hidden="false" customHeight="false" outlineLevel="0" collapsed="false">
      <c r="A8" s="33" t="s">
        <v>314</v>
      </c>
      <c r="B8" s="33" t="s">
        <v>312</v>
      </c>
      <c r="C8" s="59" t="n">
        <v>0</v>
      </c>
      <c r="D8" s="59" t="n">
        <v>0</v>
      </c>
      <c r="E8" s="59" t="n">
        <v>0</v>
      </c>
      <c r="G8" s="60" t="n">
        <f aca="false">IF(C$18=0,0,C8/C$18)</f>
        <v>0</v>
      </c>
      <c r="H8" s="60" t="n">
        <f aca="false">IF(D$18=0,0,D8/D$18)</f>
        <v>0</v>
      </c>
      <c r="I8" s="60" t="n">
        <f aca="false">IF(E$18=0,0,E8/E$18)</f>
        <v>0</v>
      </c>
    </row>
    <row r="9" customFormat="false" ht="15" hidden="false" customHeight="false" outlineLevel="0" collapsed="false">
      <c r="A9" s="33" t="s">
        <v>315</v>
      </c>
      <c r="B9" s="33" t="s">
        <v>312</v>
      </c>
      <c r="C9" s="59" t="n">
        <v>32</v>
      </c>
      <c r="D9" s="59" t="n">
        <v>8</v>
      </c>
      <c r="E9" s="59" t="n">
        <v>80</v>
      </c>
      <c r="G9" s="60" t="n">
        <f aca="false">IF(C$18=0,0,C9/C$18)</f>
        <v>0.0114244912531239</v>
      </c>
      <c r="H9" s="60" t="n">
        <f aca="false">IF(D$18=0,0,D9/D$18)</f>
        <v>0.00637450199203187</v>
      </c>
      <c r="I9" s="60" t="n">
        <f aca="false">IF(E$18=0,0,E9/E$18)</f>
        <v>0.0282087447108604</v>
      </c>
    </row>
    <row r="10" customFormat="false" ht="15" hidden="false" customHeight="false" outlineLevel="0" collapsed="false">
      <c r="A10" s="33" t="s">
        <v>316</v>
      </c>
      <c r="B10" s="33" t="s">
        <v>312</v>
      </c>
      <c r="C10" s="59" t="n">
        <v>0</v>
      </c>
      <c r="D10" s="59" t="n">
        <v>0</v>
      </c>
      <c r="E10" s="59" t="n">
        <v>0</v>
      </c>
      <c r="G10" s="60" t="n">
        <f aca="false">IF(C$18=0,0,C10/C$18)</f>
        <v>0</v>
      </c>
      <c r="H10" s="60" t="n">
        <f aca="false">IF(D$18=0,0,D10/D$18)</f>
        <v>0</v>
      </c>
      <c r="I10" s="60" t="n">
        <f aca="false">IF(E$18=0,0,E10/E$18)</f>
        <v>0</v>
      </c>
    </row>
    <row r="11" customFormat="false" ht="15" hidden="false" customHeight="false" outlineLevel="0" collapsed="false">
      <c r="A11" s="33" t="s">
        <v>317</v>
      </c>
      <c r="B11" s="33" t="s">
        <v>312</v>
      </c>
      <c r="C11" s="59" t="n">
        <v>0</v>
      </c>
      <c r="D11" s="59" t="n">
        <v>30</v>
      </c>
      <c r="E11" s="59" t="n">
        <v>0</v>
      </c>
      <c r="G11" s="60" t="n">
        <f aca="false">IF(C$18=0,0,C11/C$18)</f>
        <v>0</v>
      </c>
      <c r="H11" s="60" t="n">
        <f aca="false">IF(D$18=0,0,D11/D$18)</f>
        <v>0.0239043824701195</v>
      </c>
      <c r="I11" s="60" t="n">
        <f aca="false">IF(E$18=0,0,E11/E$18)</f>
        <v>0</v>
      </c>
    </row>
    <row r="12" customFormat="false" ht="15" hidden="false" customHeight="false" outlineLevel="0" collapsed="false">
      <c r="A12" s="33" t="s">
        <v>318</v>
      </c>
      <c r="B12" s="33" t="s">
        <v>312</v>
      </c>
      <c r="C12" s="59" t="n">
        <v>386</v>
      </c>
      <c r="D12" s="59" t="n">
        <v>228</v>
      </c>
      <c r="E12" s="59" t="n">
        <v>15</v>
      </c>
      <c r="G12" s="60" t="n">
        <f aca="false">IF(C$18=0,0,C12/C$18)</f>
        <v>0.137807925740807</v>
      </c>
      <c r="H12" s="60" t="n">
        <f aca="false">IF(D$18=0,0,D12/D$18)</f>
        <v>0.181673306772908</v>
      </c>
      <c r="I12" s="60" t="n">
        <f aca="false">IF(E$18=0,0,E12/E$18)</f>
        <v>0.00528913963328632</v>
      </c>
    </row>
    <row r="13" customFormat="false" ht="15" hidden="false" customHeight="false" outlineLevel="0" collapsed="false">
      <c r="A13" s="33" t="s">
        <v>319</v>
      </c>
      <c r="B13" s="33" t="s">
        <v>312</v>
      </c>
      <c r="C13" s="59" t="n">
        <v>43</v>
      </c>
      <c r="D13" s="59" t="n">
        <v>29</v>
      </c>
      <c r="E13" s="59" t="n">
        <v>1</v>
      </c>
      <c r="G13" s="60" t="n">
        <f aca="false">IF(C$18=0,0,C13/C$18)</f>
        <v>0.0153516601213852</v>
      </c>
      <c r="H13" s="60" t="n">
        <f aca="false">IF(D$18=0,0,D13/D$18)</f>
        <v>0.0231075697211155</v>
      </c>
      <c r="I13" s="60" t="n">
        <f aca="false">IF(E$18=0,0,E13/E$18)</f>
        <v>0.000352609308885755</v>
      </c>
    </row>
    <row r="14" customFormat="false" ht="15" hidden="false" customHeight="false" outlineLevel="0" collapsed="false">
      <c r="A14" s="33" t="s">
        <v>320</v>
      </c>
      <c r="B14" s="33" t="s">
        <v>312</v>
      </c>
      <c r="C14" s="59" t="n">
        <v>1549</v>
      </c>
      <c r="D14" s="59" t="n">
        <v>733</v>
      </c>
      <c r="E14" s="59" t="n">
        <v>1873</v>
      </c>
      <c r="G14" s="60" t="n">
        <f aca="false">IF(C$18=0,0,C14/C$18)</f>
        <v>0.553016779721528</v>
      </c>
      <c r="H14" s="60" t="n">
        <f aca="false">IF(D$18=0,0,D14/D$18)</f>
        <v>0.58406374501992</v>
      </c>
      <c r="I14" s="60" t="n">
        <f aca="false">IF(E$18=0,0,E14/E$18)</f>
        <v>0.660437235543018</v>
      </c>
    </row>
    <row r="15" customFormat="false" ht="15" hidden="false" customHeight="false" outlineLevel="0" collapsed="false">
      <c r="A15" s="33" t="s">
        <v>321</v>
      </c>
      <c r="B15" s="33" t="s">
        <v>312</v>
      </c>
      <c r="C15" s="59" t="n">
        <v>325</v>
      </c>
      <c r="D15" s="59" t="n">
        <v>208</v>
      </c>
      <c r="E15" s="59" t="n">
        <v>379</v>
      </c>
      <c r="G15" s="60" t="n">
        <f aca="false">IF(C$18=0,0,C15/C$18)</f>
        <v>0.116029989289539</v>
      </c>
      <c r="H15" s="60" t="n">
        <f aca="false">IF(D$18=0,0,D15/D$18)</f>
        <v>0.165737051792829</v>
      </c>
      <c r="I15" s="60" t="n">
        <f aca="false">IF(E$18=0,0,E15/E$18)</f>
        <v>0.133638928067701</v>
      </c>
    </row>
    <row r="16" customFormat="false" ht="15" hidden="false" customHeight="false" outlineLevel="0" collapsed="false">
      <c r="A16" s="33" t="s">
        <v>322</v>
      </c>
      <c r="B16" s="33" t="s">
        <v>312</v>
      </c>
      <c r="C16" s="59" t="n">
        <v>0</v>
      </c>
      <c r="D16" s="59" t="n">
        <v>0</v>
      </c>
      <c r="E16" s="59" t="n">
        <v>0</v>
      </c>
      <c r="G16" s="60" t="n">
        <f aca="false">IF(C$18=0,0,C16/C$18)</f>
        <v>0</v>
      </c>
      <c r="H16" s="60" t="n">
        <f aca="false">IF(D$18=0,0,D16/D$18)</f>
        <v>0</v>
      </c>
      <c r="I16" s="60" t="n">
        <f aca="false">IF(E$18=0,0,E16/E$18)</f>
        <v>0</v>
      </c>
    </row>
    <row r="17" customFormat="false" ht="15" hidden="false" customHeight="false" outlineLevel="0" collapsed="false">
      <c r="A17" s="29" t="s">
        <v>323</v>
      </c>
      <c r="C17" s="34" t="n">
        <f aca="false">SUM(C6:C16)</f>
        <v>2802</v>
      </c>
      <c r="D17" s="34" t="n">
        <f aca="false">SUM(D6:D16)</f>
        <v>1254</v>
      </c>
      <c r="E17" s="34" t="n">
        <f aca="false">SUM(E6:E16)</f>
        <v>2835</v>
      </c>
    </row>
    <row r="18" customFormat="false" ht="15" hidden="false" customHeight="false" outlineLevel="0" collapsed="false">
      <c r="A18" s="31" t="s">
        <v>324</v>
      </c>
      <c r="B18" s="33" t="s">
        <v>312</v>
      </c>
      <c r="C18" s="59" t="n">
        <v>2801</v>
      </c>
      <c r="D18" s="59" t="n">
        <v>1255</v>
      </c>
      <c r="E18" s="59" t="n">
        <v>2836</v>
      </c>
    </row>
    <row r="20" customFormat="false" ht="15" hidden="false" customHeight="false" outlineLevel="0" collapsed="false">
      <c r="A20" s="41" t="s">
        <v>325</v>
      </c>
      <c r="B20" s="5"/>
      <c r="C20" s="5"/>
      <c r="D20" s="5"/>
      <c r="E20" s="5"/>
      <c r="F20" s="5"/>
      <c r="G20" s="5"/>
      <c r="H20" s="5"/>
      <c r="I20" s="5"/>
    </row>
    <row r="21" customFormat="false" ht="15" hidden="false" customHeight="false" outlineLevel="0" collapsed="false">
      <c r="A21" s="33" t="s">
        <v>311</v>
      </c>
      <c r="B21" s="33" t="s">
        <v>326</v>
      </c>
      <c r="C21" s="59" t="n">
        <v>2701</v>
      </c>
      <c r="D21" s="59" t="n">
        <v>240</v>
      </c>
      <c r="E21" s="59" t="n">
        <v>263</v>
      </c>
      <c r="G21" s="60" t="n">
        <f aca="false">IF(C$33=0,0,C21/C$33)</f>
        <v>0.0299688217737193</v>
      </c>
      <c r="H21" s="60" t="n">
        <f aca="false">IF(D$33=0,0,D21/D$33)</f>
        <v>0.0125674189663298</v>
      </c>
      <c r="I21" s="60" t="n">
        <f aca="false">IF(E$33=0,0,E21/E$33)</f>
        <v>0.00263271169304384</v>
      </c>
    </row>
    <row r="22" customFormat="false" ht="15" hidden="false" customHeight="false" outlineLevel="0" collapsed="false">
      <c r="A22" s="33" t="s">
        <v>313</v>
      </c>
      <c r="B22" s="33" t="s">
        <v>326</v>
      </c>
      <c r="C22" s="59" t="n">
        <v>45724</v>
      </c>
      <c r="D22" s="59" t="n">
        <v>82</v>
      </c>
      <c r="E22" s="59" t="n">
        <v>65724</v>
      </c>
      <c r="G22" s="60" t="n">
        <f aca="false">IF(C$33=0,0,C22/C$33)</f>
        <v>0.507328547494092</v>
      </c>
      <c r="H22" s="60" t="n">
        <f aca="false">IF(D$33=0,0,D22/D$33)</f>
        <v>0.00429386814682935</v>
      </c>
      <c r="I22" s="60" t="n">
        <f aca="false">IF(E$33=0,0,E22/E$33)</f>
        <v>0.65791765518484</v>
      </c>
    </row>
    <row r="23" customFormat="false" ht="15" hidden="false" customHeight="false" outlineLevel="0" collapsed="false">
      <c r="A23" s="33" t="s">
        <v>314</v>
      </c>
      <c r="B23" s="33" t="s">
        <v>326</v>
      </c>
      <c r="C23" s="59" t="n">
        <v>0</v>
      </c>
      <c r="D23" s="59" t="n">
        <v>0</v>
      </c>
      <c r="E23" s="59" t="n">
        <v>0</v>
      </c>
      <c r="G23" s="60" t="n">
        <f aca="false">IF(C$33=0,0,C23/C$33)</f>
        <v>0</v>
      </c>
      <c r="H23" s="60" t="n">
        <f aca="false">IF(D$33=0,0,D23/D$33)</f>
        <v>0</v>
      </c>
      <c r="I23" s="60" t="n">
        <f aca="false">IF(E$33=0,0,E23/E$33)</f>
        <v>0</v>
      </c>
    </row>
    <row r="24" customFormat="false" ht="15" hidden="false" customHeight="false" outlineLevel="0" collapsed="false">
      <c r="A24" s="33" t="s">
        <v>315</v>
      </c>
      <c r="B24" s="33" t="s">
        <v>326</v>
      </c>
      <c r="C24" s="59" t="n">
        <v>700</v>
      </c>
      <c r="D24" s="59" t="n">
        <v>150</v>
      </c>
      <c r="E24" s="59" t="n">
        <v>1749</v>
      </c>
      <c r="G24" s="60" t="n">
        <f aca="false">IF(C$33=0,0,C24/C$33)</f>
        <v>0.00776681793469216</v>
      </c>
      <c r="H24" s="60" t="n">
        <f aca="false">IF(D$33=0,0,D24/D$33)</f>
        <v>0.00785463685395612</v>
      </c>
      <c r="I24" s="60" t="n">
        <f aca="false">IF(E$33=0,0,E24/E$33)</f>
        <v>0.0175080332742725</v>
      </c>
    </row>
    <row r="25" customFormat="false" ht="15" hidden="false" customHeight="false" outlineLevel="0" collapsed="false">
      <c r="A25" s="33" t="s">
        <v>316</v>
      </c>
      <c r="B25" s="33" t="s">
        <v>326</v>
      </c>
      <c r="C25" s="59" t="n">
        <v>0</v>
      </c>
      <c r="D25" s="59" t="n">
        <v>0</v>
      </c>
      <c r="E25" s="59" t="n">
        <v>0</v>
      </c>
      <c r="G25" s="60" t="n">
        <f aca="false">IF(C$33=0,0,C25/C$33)</f>
        <v>0</v>
      </c>
      <c r="H25" s="60" t="n">
        <f aca="false">IF(D$33=0,0,D25/D$33)</f>
        <v>0</v>
      </c>
      <c r="I25" s="60" t="n">
        <f aca="false">IF(E$33=0,0,E25/E$33)</f>
        <v>0</v>
      </c>
    </row>
    <row r="26" customFormat="false" ht="15" hidden="false" customHeight="false" outlineLevel="0" collapsed="false">
      <c r="A26" s="33" t="s">
        <v>317</v>
      </c>
      <c r="B26" s="33" t="s">
        <v>326</v>
      </c>
      <c r="C26" s="59" t="n">
        <v>0</v>
      </c>
      <c r="D26" s="59" t="n">
        <v>664</v>
      </c>
      <c r="E26" s="59" t="n">
        <v>0</v>
      </c>
      <c r="G26" s="60" t="n">
        <f aca="false">IF(C$33=0,0,C26/C$33)</f>
        <v>0</v>
      </c>
      <c r="H26" s="60" t="n">
        <f aca="false">IF(D$33=0,0,D26/D$33)</f>
        <v>0.0347698591401791</v>
      </c>
      <c r="I26" s="60" t="n">
        <f aca="false">IF(E$33=0,0,E26/E$33)</f>
        <v>0</v>
      </c>
    </row>
    <row r="27" customFormat="false" ht="15" hidden="false" customHeight="false" outlineLevel="0" collapsed="false">
      <c r="A27" s="33" t="s">
        <v>318</v>
      </c>
      <c r="B27" s="33" t="s">
        <v>326</v>
      </c>
      <c r="C27" s="59" t="n">
        <v>14023</v>
      </c>
      <c r="D27" s="59" t="n">
        <v>6248</v>
      </c>
      <c r="E27" s="59" t="n">
        <v>555</v>
      </c>
      <c r="G27" s="60" t="n">
        <f aca="false">IF(C$33=0,0,C27/C$33)</f>
        <v>0.155591554140269</v>
      </c>
      <c r="H27" s="60" t="n">
        <f aca="false">IF(D$33=0,0,D27/D$33)</f>
        <v>0.327171807090119</v>
      </c>
      <c r="I27" s="60" t="n">
        <f aca="false">IF(E$33=0,0,E27/E$33)</f>
        <v>0.00555572239406589</v>
      </c>
    </row>
    <row r="28" customFormat="false" ht="15" hidden="false" customHeight="false" outlineLevel="0" collapsed="false">
      <c r="A28" s="33" t="s">
        <v>319</v>
      </c>
      <c r="B28" s="33" t="s">
        <v>326</v>
      </c>
      <c r="C28" s="59" t="n">
        <v>469</v>
      </c>
      <c r="D28" s="59" t="n">
        <v>316</v>
      </c>
      <c r="E28" s="59" t="n">
        <v>12</v>
      </c>
      <c r="G28" s="60" t="n">
        <f aca="false">IF(C$33=0,0,C28/C$33)</f>
        <v>0.00520376801624375</v>
      </c>
      <c r="H28" s="60" t="n">
        <f aca="false">IF(D$33=0,0,D28/D$33)</f>
        <v>0.0165471016390009</v>
      </c>
      <c r="I28" s="60" t="n">
        <f aca="false">IF(E$33=0,0,E28/E$33)</f>
        <v>0.000120123727439262</v>
      </c>
    </row>
    <row r="29" customFormat="false" ht="15" hidden="false" customHeight="false" outlineLevel="0" collapsed="false">
      <c r="A29" s="33" t="s">
        <v>320</v>
      </c>
      <c r="B29" s="33" t="s">
        <v>326</v>
      </c>
      <c r="C29" s="59" t="n">
        <v>21028</v>
      </c>
      <c r="D29" s="59" t="n">
        <v>7900</v>
      </c>
      <c r="E29" s="59" t="n">
        <v>25185</v>
      </c>
      <c r="G29" s="60" t="n">
        <f aca="false">IF(C$33=0,0,C29/C$33)</f>
        <v>0.233315210758152</v>
      </c>
      <c r="H29" s="60" t="n">
        <f aca="false">IF(D$33=0,0,D29/D$33)</f>
        <v>0.413677540975022</v>
      </c>
      <c r="I29" s="60" t="n">
        <f aca="false">IF(E$33=0,0,E29/E$33)</f>
        <v>0.252109672963152</v>
      </c>
    </row>
    <row r="30" customFormat="false" ht="15" hidden="false" customHeight="false" outlineLevel="0" collapsed="false">
      <c r="A30" s="33" t="s">
        <v>321</v>
      </c>
      <c r="B30" s="33" t="s">
        <v>326</v>
      </c>
      <c r="C30" s="59" t="n">
        <v>5483</v>
      </c>
      <c r="D30" s="59" t="n">
        <v>3497</v>
      </c>
      <c r="E30" s="59" t="n">
        <v>6409</v>
      </c>
      <c r="G30" s="60" t="n">
        <f aca="false">IF(C$33=0,0,C30/C$33)</f>
        <v>0.0608363753370244</v>
      </c>
      <c r="H30" s="60" t="n">
        <f aca="false">IF(D$33=0,0,D30/D$33)</f>
        <v>0.183117767188564</v>
      </c>
      <c r="I30" s="60" t="n">
        <f aca="false">IF(E$33=0,0,E30/E$33)</f>
        <v>0.0641560807631861</v>
      </c>
    </row>
    <row r="31" customFormat="false" ht="15" hidden="false" customHeight="false" outlineLevel="0" collapsed="false">
      <c r="A31" s="33" t="s">
        <v>322</v>
      </c>
      <c r="B31" s="33" t="s">
        <v>326</v>
      </c>
      <c r="C31" s="59" t="n">
        <v>0</v>
      </c>
      <c r="D31" s="59" t="n">
        <v>0</v>
      </c>
      <c r="E31" s="59" t="n">
        <v>0</v>
      </c>
      <c r="G31" s="60" t="n">
        <f aca="false">IF(C$33=0,0,C31/C$33)</f>
        <v>0</v>
      </c>
      <c r="H31" s="60" t="n">
        <f aca="false">IF(D$33=0,0,D31/D$33)</f>
        <v>0</v>
      </c>
      <c r="I31" s="60" t="n">
        <f aca="false">IF(E$33=0,0,E31/E$33)</f>
        <v>0</v>
      </c>
    </row>
    <row r="32" customFormat="false" ht="15" hidden="false" customHeight="false" outlineLevel="0" collapsed="false">
      <c r="A32" s="29" t="s">
        <v>323</v>
      </c>
      <c r="C32" s="34" t="n">
        <f aca="false">SUM(C21:C31)</f>
        <v>90128</v>
      </c>
      <c r="D32" s="34" t="n">
        <f aca="false">SUM(D21:D31)</f>
        <v>19097</v>
      </c>
      <c r="E32" s="34" t="n">
        <f aca="false">SUM(E21:E31)</f>
        <v>99897</v>
      </c>
    </row>
    <row r="33" customFormat="false" ht="15" hidden="false" customHeight="false" outlineLevel="0" collapsed="false">
      <c r="A33" s="31" t="s">
        <v>324</v>
      </c>
      <c r="B33" s="33" t="s">
        <v>326</v>
      </c>
      <c r="C33" s="59" t="n">
        <v>90127</v>
      </c>
      <c r="D33" s="59" t="n">
        <v>19097</v>
      </c>
      <c r="E33" s="59" t="n">
        <v>99897</v>
      </c>
    </row>
    <row r="35" customFormat="false" ht="15" hidden="false" customHeight="false" outlineLevel="0" collapsed="false">
      <c r="A35" s="41" t="s">
        <v>327</v>
      </c>
      <c r="B35" s="5"/>
      <c r="C35" s="5"/>
      <c r="D35" s="5"/>
      <c r="E35" s="5"/>
      <c r="F35" s="5"/>
      <c r="G35" s="5"/>
      <c r="H35" s="5"/>
      <c r="I35" s="5"/>
    </row>
    <row r="36" customFormat="false" ht="15" hidden="false" customHeight="false" outlineLevel="0" collapsed="false">
      <c r="A36" s="33" t="s">
        <v>311</v>
      </c>
      <c r="B36" s="33" t="s">
        <v>328</v>
      </c>
      <c r="C36" s="59" t="n">
        <v>0</v>
      </c>
      <c r="D36" s="59" t="n">
        <v>0</v>
      </c>
      <c r="E36" s="59" t="n">
        <v>0</v>
      </c>
      <c r="G36" s="60" t="n">
        <f aca="false">IF(C$48=0,0,C36/C$48)</f>
        <v>0</v>
      </c>
      <c r="H36" s="60" t="n">
        <f aca="false">IF(D$48=0,0,D36/D$48)</f>
        <v>0</v>
      </c>
      <c r="I36" s="60" t="n">
        <f aca="false">IF(E$48=0,0,E36/E$48)</f>
        <v>0</v>
      </c>
    </row>
    <row r="37" customFormat="false" ht="15" hidden="false" customHeight="false" outlineLevel="0" collapsed="false">
      <c r="A37" s="33" t="s">
        <v>313</v>
      </c>
      <c r="B37" s="33" t="s">
        <v>328</v>
      </c>
      <c r="C37" s="59" t="n">
        <v>0</v>
      </c>
      <c r="D37" s="59" t="n">
        <v>0</v>
      </c>
      <c r="E37" s="59" t="n">
        <v>0</v>
      </c>
      <c r="G37" s="60" t="n">
        <f aca="false">IF(C$48=0,0,C37/C$48)</f>
        <v>0</v>
      </c>
      <c r="H37" s="60" t="n">
        <f aca="false">IF(D$48=0,0,D37/D$48)</f>
        <v>0</v>
      </c>
      <c r="I37" s="60" t="n">
        <f aca="false">IF(E$48=0,0,E37/E$48)</f>
        <v>0</v>
      </c>
    </row>
    <row r="38" customFormat="false" ht="15" hidden="false" customHeight="false" outlineLevel="0" collapsed="false">
      <c r="A38" s="33" t="s">
        <v>314</v>
      </c>
      <c r="B38" s="33" t="s">
        <v>328</v>
      </c>
      <c r="C38" s="59" t="n">
        <v>0</v>
      </c>
      <c r="D38" s="59" t="n">
        <v>0</v>
      </c>
      <c r="E38" s="59" t="n">
        <v>0</v>
      </c>
      <c r="G38" s="60" t="n">
        <f aca="false">IF(C$48=0,0,C38/C$48)</f>
        <v>0</v>
      </c>
      <c r="H38" s="60" t="n">
        <f aca="false">IF(D$48=0,0,D38/D$48)</f>
        <v>0</v>
      </c>
      <c r="I38" s="60" t="n">
        <f aca="false">IF(E$48=0,0,E38/E$48)</f>
        <v>0</v>
      </c>
    </row>
    <row r="39" customFormat="false" ht="15" hidden="false" customHeight="false" outlineLevel="0" collapsed="false">
      <c r="A39" s="33" t="s">
        <v>315</v>
      </c>
      <c r="B39" s="33" t="s">
        <v>328</v>
      </c>
      <c r="C39" s="59" t="n">
        <v>0</v>
      </c>
      <c r="D39" s="59" t="n">
        <v>0</v>
      </c>
      <c r="E39" s="59" t="n">
        <v>0</v>
      </c>
      <c r="G39" s="60" t="n">
        <f aca="false">IF(C$48=0,0,C39/C$48)</f>
        <v>0</v>
      </c>
      <c r="H39" s="60" t="n">
        <f aca="false">IF(D$48=0,0,D39/D$48)</f>
        <v>0</v>
      </c>
      <c r="I39" s="60" t="n">
        <f aca="false">IF(E$48=0,0,E39/E$48)</f>
        <v>0</v>
      </c>
    </row>
    <row r="40" customFormat="false" ht="15" hidden="false" customHeight="false" outlineLevel="0" collapsed="false">
      <c r="A40" s="33" t="s">
        <v>316</v>
      </c>
      <c r="B40" s="33" t="s">
        <v>328</v>
      </c>
      <c r="C40" s="59" t="n">
        <v>0</v>
      </c>
      <c r="D40" s="59" t="n">
        <v>0</v>
      </c>
      <c r="E40" s="59" t="n">
        <v>0</v>
      </c>
      <c r="G40" s="60" t="n">
        <f aca="false">IF(C$48=0,0,C40/C$48)</f>
        <v>0</v>
      </c>
      <c r="H40" s="60" t="n">
        <f aca="false">IF(D$48=0,0,D40/D$48)</f>
        <v>0</v>
      </c>
      <c r="I40" s="60" t="n">
        <f aca="false">IF(E$48=0,0,E40/E$48)</f>
        <v>0</v>
      </c>
    </row>
    <row r="41" customFormat="false" ht="15" hidden="false" customHeight="false" outlineLevel="0" collapsed="false">
      <c r="A41" s="33" t="s">
        <v>317</v>
      </c>
      <c r="B41" s="33" t="s">
        <v>328</v>
      </c>
      <c r="C41" s="59" t="n">
        <v>0</v>
      </c>
      <c r="D41" s="59" t="n">
        <v>0</v>
      </c>
      <c r="E41" s="59" t="n">
        <v>0</v>
      </c>
      <c r="G41" s="60" t="n">
        <f aca="false">IF(C$48=0,0,C41/C$48)</f>
        <v>0</v>
      </c>
      <c r="H41" s="60" t="n">
        <f aca="false">IF(D$48=0,0,D41/D$48)</f>
        <v>0</v>
      </c>
      <c r="I41" s="60" t="n">
        <f aca="false">IF(E$48=0,0,E41/E$48)</f>
        <v>0</v>
      </c>
    </row>
    <row r="42" customFormat="false" ht="15" hidden="false" customHeight="false" outlineLevel="0" collapsed="false">
      <c r="A42" s="33" t="s">
        <v>318</v>
      </c>
      <c r="B42" s="33" t="s">
        <v>328</v>
      </c>
      <c r="C42" s="59" t="n">
        <v>0</v>
      </c>
      <c r="D42" s="59" t="n">
        <v>0</v>
      </c>
      <c r="E42" s="59" t="n">
        <v>0</v>
      </c>
      <c r="G42" s="60" t="n">
        <f aca="false">IF(C$48=0,0,C42/C$48)</f>
        <v>0</v>
      </c>
      <c r="H42" s="60" t="n">
        <f aca="false">IF(D$48=0,0,D42/D$48)</f>
        <v>0</v>
      </c>
      <c r="I42" s="60" t="n">
        <f aca="false">IF(E$48=0,0,E42/E$48)</f>
        <v>0</v>
      </c>
    </row>
    <row r="43" customFormat="false" ht="15" hidden="false" customHeight="false" outlineLevel="0" collapsed="false">
      <c r="A43" s="33" t="s">
        <v>319</v>
      </c>
      <c r="B43" s="33" t="s">
        <v>328</v>
      </c>
      <c r="C43" s="59" t="n">
        <v>55</v>
      </c>
      <c r="D43" s="59" t="n">
        <v>37</v>
      </c>
      <c r="E43" s="59" t="n">
        <v>1</v>
      </c>
      <c r="G43" s="60" t="n">
        <f aca="false">IF(C$48=0,0,C43/C$48)</f>
        <v>0.00524909333842336</v>
      </c>
      <c r="H43" s="60" t="n">
        <f aca="false">IF(D$48=0,0,D43/D$48)</f>
        <v>0.00840527033166742</v>
      </c>
      <c r="I43" s="60" t="n">
        <f aca="false">IF(E$48=0,0,E43/E$48)</f>
        <v>8.09192425958893E-005</v>
      </c>
    </row>
    <row r="44" customFormat="false" ht="15" hidden="false" customHeight="false" outlineLevel="0" collapsed="false">
      <c r="A44" s="33" t="s">
        <v>320</v>
      </c>
      <c r="B44" s="33" t="s">
        <v>328</v>
      </c>
      <c r="C44" s="59" t="n">
        <v>10423</v>
      </c>
      <c r="D44" s="59" t="n">
        <v>4365</v>
      </c>
      <c r="E44" s="59" t="n">
        <v>12357</v>
      </c>
      <c r="G44" s="60" t="n">
        <f aca="false">IF(C$48=0,0,C44/C$48)</f>
        <v>0.994750906661577</v>
      </c>
      <c r="H44" s="60" t="n">
        <f aca="false">IF(D$48=0,0,D44/D$48)</f>
        <v>0.991594729668333</v>
      </c>
      <c r="I44" s="60" t="n">
        <f aca="false">IF(E$48=0,0,E44/E$48)</f>
        <v>0.999919080757404</v>
      </c>
    </row>
    <row r="45" customFormat="false" ht="15" hidden="false" customHeight="false" outlineLevel="0" collapsed="false">
      <c r="A45" s="33" t="s">
        <v>321</v>
      </c>
      <c r="B45" s="33" t="s">
        <v>328</v>
      </c>
      <c r="C45" s="59" t="n">
        <v>0</v>
      </c>
      <c r="D45" s="59" t="n">
        <v>0</v>
      </c>
      <c r="E45" s="59" t="n">
        <v>0</v>
      </c>
      <c r="G45" s="60" t="n">
        <f aca="false">IF(C$48=0,0,C45/C$48)</f>
        <v>0</v>
      </c>
      <c r="H45" s="60" t="n">
        <f aca="false">IF(D$48=0,0,D45/D$48)</f>
        <v>0</v>
      </c>
      <c r="I45" s="60" t="n">
        <f aca="false">IF(E$48=0,0,E45/E$48)</f>
        <v>0</v>
      </c>
    </row>
    <row r="46" customFormat="false" ht="15" hidden="false" customHeight="false" outlineLevel="0" collapsed="false">
      <c r="A46" s="33" t="s">
        <v>322</v>
      </c>
      <c r="B46" s="33" t="s">
        <v>328</v>
      </c>
      <c r="C46" s="59" t="n">
        <v>0</v>
      </c>
      <c r="D46" s="59" t="n">
        <v>0</v>
      </c>
      <c r="E46" s="59" t="n">
        <v>0</v>
      </c>
      <c r="G46" s="60" t="n">
        <f aca="false">IF(C$48=0,0,C46/C$48)</f>
        <v>0</v>
      </c>
      <c r="H46" s="60" t="n">
        <f aca="false">IF(D$48=0,0,D46/D$48)</f>
        <v>0</v>
      </c>
      <c r="I46" s="60" t="n">
        <f aca="false">IF(E$48=0,0,E46/E$48)</f>
        <v>0</v>
      </c>
    </row>
    <row r="47" customFormat="false" ht="15" hidden="false" customHeight="false" outlineLevel="0" collapsed="false">
      <c r="A47" s="29" t="s">
        <v>323</v>
      </c>
      <c r="C47" s="34" t="n">
        <f aca="false">SUM(C36:C46)</f>
        <v>10478</v>
      </c>
      <c r="D47" s="34" t="n">
        <f aca="false">SUM(D36:D46)</f>
        <v>4402</v>
      </c>
      <c r="E47" s="34" t="n">
        <f aca="false">SUM(E36:E46)</f>
        <v>12358</v>
      </c>
    </row>
    <row r="48" customFormat="false" ht="15" hidden="false" customHeight="false" outlineLevel="0" collapsed="false">
      <c r="A48" s="31" t="s">
        <v>324</v>
      </c>
      <c r="B48" s="33" t="s">
        <v>328</v>
      </c>
      <c r="C48" s="59" t="n">
        <v>10478</v>
      </c>
      <c r="D48" s="59" t="n">
        <v>4402</v>
      </c>
      <c r="E48" s="59" t="n">
        <v>12358</v>
      </c>
    </row>
    <row r="50" customFormat="false" ht="15" hidden="false" customHeight="false" outlineLevel="0" collapsed="false">
      <c r="A50" s="41" t="s">
        <v>329</v>
      </c>
      <c r="B50" s="5"/>
      <c r="C50" s="5"/>
      <c r="D50" s="5"/>
      <c r="E50" s="5"/>
      <c r="F50" s="5"/>
      <c r="G50" s="5"/>
      <c r="H50" s="5"/>
      <c r="I50" s="5"/>
    </row>
    <row r="51" customFormat="false" ht="15" hidden="false" customHeight="false" outlineLevel="0" collapsed="false">
      <c r="A51" s="33" t="s">
        <v>311</v>
      </c>
      <c r="B51" s="33" t="s">
        <v>330</v>
      </c>
      <c r="C51" s="59" t="n">
        <v>1</v>
      </c>
      <c r="D51" s="59" t="n">
        <v>0</v>
      </c>
      <c r="E51" s="59" t="n">
        <v>0</v>
      </c>
      <c r="G51" s="60" t="n">
        <f aca="false">IF(C$63=0,0,C51/C$63)</f>
        <v>0.0238095238095238</v>
      </c>
      <c r="H51" s="60" t="n">
        <f aca="false">IF(D$63=0,0,D51/D$63)</f>
        <v>0</v>
      </c>
      <c r="I51" s="60" t="n">
        <f aca="false">IF(E$63=0,0,E51/E$63)</f>
        <v>0</v>
      </c>
    </row>
    <row r="52" customFormat="false" ht="15" hidden="false" customHeight="false" outlineLevel="0" collapsed="false">
      <c r="A52" s="33" t="s">
        <v>313</v>
      </c>
      <c r="B52" s="33" t="s">
        <v>330</v>
      </c>
      <c r="C52" s="59" t="n">
        <v>2</v>
      </c>
      <c r="D52" s="59" t="n">
        <v>0</v>
      </c>
      <c r="E52" s="59" t="n">
        <v>3</v>
      </c>
      <c r="G52" s="60" t="n">
        <f aca="false">IF(C$63=0,0,C52/C$63)</f>
        <v>0.0476190476190476</v>
      </c>
      <c r="H52" s="60" t="n">
        <f aca="false">IF(D$63=0,0,D52/D$63)</f>
        <v>0</v>
      </c>
      <c r="I52" s="60" t="n">
        <f aca="false">IF(E$63=0,0,E52/E$63)</f>
        <v>0.0666666666666667</v>
      </c>
    </row>
    <row r="53" customFormat="false" ht="15" hidden="false" customHeight="false" outlineLevel="0" collapsed="false">
      <c r="A53" s="33" t="s">
        <v>314</v>
      </c>
      <c r="B53" s="33" t="s">
        <v>330</v>
      </c>
      <c r="C53" s="59" t="n">
        <v>0</v>
      </c>
      <c r="D53" s="59" t="n">
        <v>0</v>
      </c>
      <c r="E53" s="59" t="n">
        <v>0</v>
      </c>
      <c r="G53" s="60" t="n">
        <f aca="false">IF(C$63=0,0,C53/C$63)</f>
        <v>0</v>
      </c>
      <c r="H53" s="60" t="n">
        <f aca="false">IF(D$63=0,0,D53/D$63)</f>
        <v>0</v>
      </c>
      <c r="I53" s="60" t="n">
        <f aca="false">IF(E$63=0,0,E53/E$63)</f>
        <v>0</v>
      </c>
    </row>
    <row r="54" customFormat="false" ht="15" hidden="false" customHeight="false" outlineLevel="0" collapsed="false">
      <c r="A54" s="33" t="s">
        <v>315</v>
      </c>
      <c r="B54" s="33" t="s">
        <v>330</v>
      </c>
      <c r="C54" s="59" t="n">
        <v>1</v>
      </c>
      <c r="D54" s="59" t="n">
        <v>0</v>
      </c>
      <c r="E54" s="59" t="n">
        <v>0</v>
      </c>
      <c r="G54" s="60" t="n">
        <f aca="false">IF(C$63=0,0,C54/C$63)</f>
        <v>0.0238095238095238</v>
      </c>
      <c r="H54" s="60" t="n">
        <f aca="false">IF(D$63=0,0,D54/D$63)</f>
        <v>0</v>
      </c>
      <c r="I54" s="60" t="n">
        <f aca="false">IF(E$63=0,0,E54/E$63)</f>
        <v>0</v>
      </c>
    </row>
    <row r="55" customFormat="false" ht="15" hidden="false" customHeight="false" outlineLevel="0" collapsed="false">
      <c r="A55" s="33" t="s">
        <v>316</v>
      </c>
      <c r="B55" s="33" t="s">
        <v>330</v>
      </c>
      <c r="C55" s="59" t="n">
        <v>25</v>
      </c>
      <c r="D55" s="59" t="n">
        <v>0</v>
      </c>
      <c r="E55" s="59" t="n">
        <v>29</v>
      </c>
      <c r="G55" s="60" t="n">
        <f aca="false">IF(C$63=0,0,C55/C$63)</f>
        <v>0.595238095238095</v>
      </c>
      <c r="H55" s="60" t="n">
        <f aca="false">IF(D$63=0,0,D55/D$63)</f>
        <v>0</v>
      </c>
      <c r="I55" s="60" t="n">
        <f aca="false">IF(E$63=0,0,E55/E$63)</f>
        <v>0.644444444444445</v>
      </c>
    </row>
    <row r="56" customFormat="false" ht="15" hidden="false" customHeight="false" outlineLevel="0" collapsed="false">
      <c r="A56" s="33" t="s">
        <v>317</v>
      </c>
      <c r="B56" s="33" t="s">
        <v>330</v>
      </c>
      <c r="C56" s="59" t="n">
        <v>0</v>
      </c>
      <c r="D56" s="59" t="n">
        <v>0</v>
      </c>
      <c r="E56" s="59" t="n">
        <v>0</v>
      </c>
      <c r="G56" s="60" t="n">
        <f aca="false">IF(C$63=0,0,C56/C$63)</f>
        <v>0</v>
      </c>
      <c r="H56" s="60" t="n">
        <f aca="false">IF(D$63=0,0,D56/D$63)</f>
        <v>0</v>
      </c>
      <c r="I56" s="60" t="n">
        <f aca="false">IF(E$63=0,0,E56/E$63)</f>
        <v>0</v>
      </c>
    </row>
    <row r="57" customFormat="false" ht="15" hidden="false" customHeight="false" outlineLevel="0" collapsed="false">
      <c r="A57" s="33" t="s">
        <v>318</v>
      </c>
      <c r="B57" s="33" t="s">
        <v>330</v>
      </c>
      <c r="C57" s="59" t="n">
        <v>3</v>
      </c>
      <c r="D57" s="59" t="n">
        <v>1</v>
      </c>
      <c r="E57" s="59" t="n">
        <v>0</v>
      </c>
      <c r="G57" s="60" t="n">
        <f aca="false">IF(C$63=0,0,C57/C$63)</f>
        <v>0.0714285714285714</v>
      </c>
      <c r="H57" s="60" t="n">
        <f aca="false">IF(D$63=0,0,D57/D$63)</f>
        <v>0.166666666666667</v>
      </c>
      <c r="I57" s="60" t="n">
        <f aca="false">IF(E$63=0,0,E57/E$63)</f>
        <v>0</v>
      </c>
    </row>
    <row r="58" customFormat="false" ht="15" hidden="false" customHeight="false" outlineLevel="0" collapsed="false">
      <c r="A58" s="33" t="s">
        <v>319</v>
      </c>
      <c r="B58" s="33" t="s">
        <v>330</v>
      </c>
      <c r="C58" s="59" t="n">
        <v>0</v>
      </c>
      <c r="D58" s="59" t="n">
        <v>0</v>
      </c>
      <c r="E58" s="59" t="n">
        <v>0</v>
      </c>
      <c r="G58" s="60" t="n">
        <f aca="false">IF(C$63=0,0,C58/C$63)</f>
        <v>0</v>
      </c>
      <c r="H58" s="60" t="n">
        <f aca="false">IF(D$63=0,0,D58/D$63)</f>
        <v>0</v>
      </c>
      <c r="I58" s="60" t="n">
        <f aca="false">IF(E$63=0,0,E58/E$63)</f>
        <v>0</v>
      </c>
    </row>
    <row r="59" customFormat="false" ht="15" hidden="false" customHeight="false" outlineLevel="0" collapsed="false">
      <c r="A59" s="33" t="s">
        <v>320</v>
      </c>
      <c r="B59" s="33" t="s">
        <v>330</v>
      </c>
      <c r="C59" s="59" t="n">
        <v>8</v>
      </c>
      <c r="D59" s="59" t="n">
        <v>3</v>
      </c>
      <c r="E59" s="59" t="n">
        <v>10</v>
      </c>
      <c r="G59" s="60" t="n">
        <f aca="false">IF(C$63=0,0,C59/C$63)</f>
        <v>0.19047619047619</v>
      </c>
      <c r="H59" s="60" t="n">
        <f aca="false">IF(D$63=0,0,D59/D$63)</f>
        <v>0.5</v>
      </c>
      <c r="I59" s="60" t="n">
        <f aca="false">IF(E$63=0,0,E59/E$63)</f>
        <v>0.222222222222222</v>
      </c>
    </row>
    <row r="60" customFormat="false" ht="15" hidden="false" customHeight="false" outlineLevel="0" collapsed="false">
      <c r="A60" s="33" t="s">
        <v>321</v>
      </c>
      <c r="B60" s="33" t="s">
        <v>330</v>
      </c>
      <c r="C60" s="59" t="n">
        <v>2</v>
      </c>
      <c r="D60" s="59" t="n">
        <v>1</v>
      </c>
      <c r="E60" s="59" t="n">
        <v>2</v>
      </c>
      <c r="G60" s="60" t="n">
        <f aca="false">IF(C$63=0,0,C60/C$63)</f>
        <v>0.0476190476190476</v>
      </c>
      <c r="H60" s="60" t="n">
        <f aca="false">IF(D$63=0,0,D60/D$63)</f>
        <v>0.166666666666667</v>
      </c>
      <c r="I60" s="60" t="n">
        <f aca="false">IF(E$63=0,0,E60/E$63)</f>
        <v>0.0444444444444444</v>
      </c>
    </row>
    <row r="61" customFormat="false" ht="15" hidden="false" customHeight="false" outlineLevel="0" collapsed="false">
      <c r="A61" s="33" t="s">
        <v>322</v>
      </c>
      <c r="B61" s="33" t="s">
        <v>330</v>
      </c>
      <c r="C61" s="59" t="n">
        <v>0</v>
      </c>
      <c r="D61" s="59" t="n">
        <v>0</v>
      </c>
      <c r="E61" s="59" t="n">
        <v>0</v>
      </c>
      <c r="G61" s="60" t="n">
        <f aca="false">IF(C$63=0,0,C61/C$63)</f>
        <v>0</v>
      </c>
      <c r="H61" s="60" t="n">
        <f aca="false">IF(D$63=0,0,D61/D$63)</f>
        <v>0</v>
      </c>
      <c r="I61" s="60" t="n">
        <f aca="false">IF(E$63=0,0,E61/E$63)</f>
        <v>0</v>
      </c>
    </row>
    <row r="62" customFormat="false" ht="15" hidden="false" customHeight="false" outlineLevel="0" collapsed="false">
      <c r="A62" s="29" t="s">
        <v>323</v>
      </c>
      <c r="C62" s="34" t="n">
        <f aca="false">SUM(C51:C61)</f>
        <v>42</v>
      </c>
      <c r="D62" s="34" t="n">
        <f aca="false">SUM(D51:D61)</f>
        <v>5</v>
      </c>
      <c r="E62" s="34" t="n">
        <f aca="false">SUM(E51:E61)</f>
        <v>44</v>
      </c>
    </row>
    <row r="63" customFormat="false" ht="15" hidden="false" customHeight="false" outlineLevel="0" collapsed="false">
      <c r="A63" s="31" t="s">
        <v>324</v>
      </c>
      <c r="B63" s="33" t="s">
        <v>330</v>
      </c>
      <c r="C63" s="59" t="n">
        <v>42</v>
      </c>
      <c r="D63" s="59" t="n">
        <v>6</v>
      </c>
      <c r="E63" s="59" t="n">
        <v>45</v>
      </c>
    </row>
    <row r="65" customFormat="false" ht="15" hidden="false" customHeight="false" outlineLevel="0" collapsed="false">
      <c r="A65" s="41" t="s">
        <v>331</v>
      </c>
      <c r="B65" s="5"/>
      <c r="C65" s="5"/>
      <c r="D65" s="5"/>
      <c r="E65" s="5"/>
      <c r="F65" s="5"/>
      <c r="G65" s="5"/>
      <c r="H65" s="5"/>
      <c r="I65" s="5"/>
    </row>
    <row r="66" customFormat="false" ht="15" hidden="false" customHeight="false" outlineLevel="0" collapsed="false">
      <c r="A66" s="33" t="s">
        <v>311</v>
      </c>
      <c r="B66" s="33" t="s">
        <v>332</v>
      </c>
      <c r="C66" s="59" t="n">
        <v>0</v>
      </c>
      <c r="D66" s="59" t="n">
        <v>0</v>
      </c>
      <c r="E66" s="59" t="n">
        <v>0</v>
      </c>
      <c r="G66" s="60" t="n">
        <f aca="false">IF(C$78=0,0,C66/C$78)</f>
        <v>0</v>
      </c>
      <c r="H66" s="60" t="n">
        <f aca="false">IF(D$78=0,0,D66/D$78)</f>
        <v>0</v>
      </c>
      <c r="I66" s="60" t="n">
        <f aca="false">IF(E$78=0,0,E66/E$78)</f>
        <v>0</v>
      </c>
    </row>
    <row r="67" customFormat="false" ht="15" hidden="false" customHeight="false" outlineLevel="0" collapsed="false">
      <c r="A67" s="33" t="s">
        <v>313</v>
      </c>
      <c r="B67" s="33" t="s">
        <v>332</v>
      </c>
      <c r="C67" s="59" t="n">
        <v>1</v>
      </c>
      <c r="D67" s="59" t="n">
        <v>0</v>
      </c>
      <c r="E67" s="59" t="n">
        <v>1</v>
      </c>
      <c r="G67" s="60" t="n">
        <f aca="false">IF(C$78=0,0,C67/C$78)</f>
        <v>0.0384615384615385</v>
      </c>
      <c r="H67" s="60" t="n">
        <f aca="false">IF(D$78=0,0,D67/D$78)</f>
        <v>0</v>
      </c>
      <c r="I67" s="60" t="n">
        <f aca="false">IF(E$78=0,0,E67/E$78)</f>
        <v>0.0163934426229508</v>
      </c>
    </row>
    <row r="68" customFormat="false" ht="15" hidden="false" customHeight="false" outlineLevel="0" collapsed="false">
      <c r="A68" s="33" t="s">
        <v>314</v>
      </c>
      <c r="B68" s="33" t="s">
        <v>332</v>
      </c>
      <c r="C68" s="59" t="n">
        <v>0</v>
      </c>
      <c r="D68" s="59" t="n">
        <v>0</v>
      </c>
      <c r="E68" s="59" t="n">
        <v>0</v>
      </c>
      <c r="G68" s="60" t="n">
        <f aca="false">IF(C$78=0,0,C68/C$78)</f>
        <v>0</v>
      </c>
      <c r="H68" s="60" t="n">
        <f aca="false">IF(D$78=0,0,D68/D$78)</f>
        <v>0</v>
      </c>
      <c r="I68" s="60" t="n">
        <f aca="false">IF(E$78=0,0,E68/E$78)</f>
        <v>0</v>
      </c>
    </row>
    <row r="69" customFormat="false" ht="15" hidden="false" customHeight="false" outlineLevel="0" collapsed="false">
      <c r="A69" s="33" t="s">
        <v>315</v>
      </c>
      <c r="B69" s="33" t="s">
        <v>332</v>
      </c>
      <c r="C69" s="59" t="n">
        <v>0</v>
      </c>
      <c r="D69" s="59" t="n">
        <v>0</v>
      </c>
      <c r="E69" s="59" t="n">
        <v>0</v>
      </c>
      <c r="G69" s="60" t="n">
        <f aca="false">IF(C$78=0,0,C69/C$78)</f>
        <v>0</v>
      </c>
      <c r="H69" s="60" t="n">
        <f aca="false">IF(D$78=0,0,D69/D$78)</f>
        <v>0</v>
      </c>
      <c r="I69" s="60" t="n">
        <f aca="false">IF(E$78=0,0,E69/E$78)</f>
        <v>0</v>
      </c>
    </row>
    <row r="70" customFormat="false" ht="15" hidden="false" customHeight="false" outlineLevel="0" collapsed="false">
      <c r="A70" s="33" t="s">
        <v>316</v>
      </c>
      <c r="B70" s="33" t="s">
        <v>332</v>
      </c>
      <c r="C70" s="59" t="n">
        <v>16</v>
      </c>
      <c r="D70" s="59" t="n">
        <v>-1</v>
      </c>
      <c r="E70" s="59" t="n">
        <v>51</v>
      </c>
      <c r="G70" s="60" t="n">
        <f aca="false">IF(C$78=0,0,C70/C$78)</f>
        <v>0.615384615384615</v>
      </c>
      <c r="H70" s="60" t="n">
        <f aca="false">IF(D$78=0,0,D70/D$78)</f>
        <v>-0.5</v>
      </c>
      <c r="I70" s="60" t="n">
        <f aca="false">IF(E$78=0,0,E70/E$78)</f>
        <v>0.836065573770492</v>
      </c>
    </row>
    <row r="71" customFormat="false" ht="15" hidden="false" customHeight="false" outlineLevel="0" collapsed="false">
      <c r="A71" s="33" t="s">
        <v>317</v>
      </c>
      <c r="B71" s="33" t="s">
        <v>332</v>
      </c>
      <c r="C71" s="59" t="n">
        <v>0</v>
      </c>
      <c r="D71" s="59" t="n">
        <v>0</v>
      </c>
      <c r="E71" s="59" t="n">
        <v>0</v>
      </c>
      <c r="G71" s="60" t="n">
        <f aca="false">IF(C$78=0,0,C71/C$78)</f>
        <v>0</v>
      </c>
      <c r="H71" s="60" t="n">
        <f aca="false">IF(D$78=0,0,D71/D$78)</f>
        <v>0</v>
      </c>
      <c r="I71" s="60" t="n">
        <f aca="false">IF(E$78=0,0,E71/E$78)</f>
        <v>0</v>
      </c>
    </row>
    <row r="72" customFormat="false" ht="15" hidden="false" customHeight="false" outlineLevel="0" collapsed="false">
      <c r="A72" s="33" t="s">
        <v>318</v>
      </c>
      <c r="B72" s="33" t="s">
        <v>332</v>
      </c>
      <c r="C72" s="59" t="n">
        <v>1</v>
      </c>
      <c r="D72" s="59" t="n">
        <v>0</v>
      </c>
      <c r="E72" s="59" t="n">
        <v>0</v>
      </c>
      <c r="G72" s="60" t="n">
        <f aca="false">IF(C$78=0,0,C72/C$78)</f>
        <v>0.0384615384615385</v>
      </c>
      <c r="H72" s="60" t="n">
        <f aca="false">IF(D$78=0,0,D72/D$78)</f>
        <v>0</v>
      </c>
      <c r="I72" s="60" t="n">
        <f aca="false">IF(E$78=0,0,E72/E$78)</f>
        <v>0</v>
      </c>
    </row>
    <row r="73" customFormat="false" ht="15" hidden="false" customHeight="false" outlineLevel="0" collapsed="false">
      <c r="A73" s="33" t="s">
        <v>319</v>
      </c>
      <c r="B73" s="33" t="s">
        <v>332</v>
      </c>
      <c r="C73" s="59" t="n">
        <v>0</v>
      </c>
      <c r="D73" s="59" t="n">
        <v>0</v>
      </c>
      <c r="E73" s="59" t="n">
        <v>0</v>
      </c>
      <c r="G73" s="60" t="n">
        <f aca="false">IF(C$78=0,0,C73/C$78)</f>
        <v>0</v>
      </c>
      <c r="H73" s="60" t="n">
        <f aca="false">IF(D$78=0,0,D73/D$78)</f>
        <v>0</v>
      </c>
      <c r="I73" s="60" t="n">
        <f aca="false">IF(E$78=0,0,E73/E$78)</f>
        <v>0</v>
      </c>
    </row>
    <row r="74" customFormat="false" ht="15" hidden="false" customHeight="false" outlineLevel="0" collapsed="false">
      <c r="A74" s="33" t="s">
        <v>320</v>
      </c>
      <c r="B74" s="33" t="s">
        <v>332</v>
      </c>
      <c r="C74" s="59" t="n">
        <v>8</v>
      </c>
      <c r="D74" s="59" t="n">
        <v>3</v>
      </c>
      <c r="E74" s="59" t="n">
        <v>8</v>
      </c>
      <c r="G74" s="60" t="n">
        <f aca="false">IF(C$78=0,0,C74/C$78)</f>
        <v>0.307692307692308</v>
      </c>
      <c r="H74" s="60" t="n">
        <f aca="false">IF(D$78=0,0,D74/D$78)</f>
        <v>1.5</v>
      </c>
      <c r="I74" s="60" t="n">
        <f aca="false">IF(E$78=0,0,E74/E$78)</f>
        <v>0.131147540983607</v>
      </c>
    </row>
    <row r="75" customFormat="false" ht="15" hidden="false" customHeight="false" outlineLevel="0" collapsed="false">
      <c r="A75" s="33" t="s">
        <v>321</v>
      </c>
      <c r="B75" s="33" t="s">
        <v>332</v>
      </c>
      <c r="C75" s="59" t="n">
        <v>0</v>
      </c>
      <c r="D75" s="59" t="n">
        <v>0</v>
      </c>
      <c r="E75" s="59" t="n">
        <v>0</v>
      </c>
      <c r="G75" s="60" t="n">
        <f aca="false">IF(C$78=0,0,C75/C$78)</f>
        <v>0</v>
      </c>
      <c r="H75" s="60" t="n">
        <f aca="false">IF(D$78=0,0,D75/D$78)</f>
        <v>0</v>
      </c>
      <c r="I75" s="60" t="n">
        <f aca="false">IF(E$78=0,0,E75/E$78)</f>
        <v>0</v>
      </c>
    </row>
    <row r="76" customFormat="false" ht="15" hidden="false" customHeight="false" outlineLevel="0" collapsed="false">
      <c r="A76" s="33" t="s">
        <v>322</v>
      </c>
      <c r="B76" s="33" t="s">
        <v>332</v>
      </c>
      <c r="C76" s="59" t="n">
        <v>0</v>
      </c>
      <c r="D76" s="59" t="n">
        <v>0</v>
      </c>
      <c r="E76" s="59" t="n">
        <v>0</v>
      </c>
      <c r="G76" s="60" t="n">
        <f aca="false">IF(C$78=0,0,C76/C$78)</f>
        <v>0</v>
      </c>
      <c r="H76" s="60" t="n">
        <f aca="false">IF(D$78=0,0,D76/D$78)</f>
        <v>0</v>
      </c>
      <c r="I76" s="60" t="n">
        <f aca="false">IF(E$78=0,0,E76/E$78)</f>
        <v>0</v>
      </c>
    </row>
    <row r="77" customFormat="false" ht="15" hidden="false" customHeight="false" outlineLevel="0" collapsed="false">
      <c r="A77" s="29" t="s">
        <v>323</v>
      </c>
      <c r="C77" s="34" t="n">
        <f aca="false">SUM(C66:C76)</f>
        <v>26</v>
      </c>
      <c r="D77" s="34" t="n">
        <f aca="false">SUM(D66:D76)</f>
        <v>2</v>
      </c>
      <c r="E77" s="34" t="n">
        <f aca="false">SUM(E66:E76)</f>
        <v>60</v>
      </c>
    </row>
    <row r="78" customFormat="false" ht="15" hidden="false" customHeight="false" outlineLevel="0" collapsed="false">
      <c r="A78" s="31" t="s">
        <v>324</v>
      </c>
      <c r="B78" s="33" t="s">
        <v>332</v>
      </c>
      <c r="C78" s="59" t="n">
        <v>26</v>
      </c>
      <c r="D78" s="59" t="n">
        <v>2</v>
      </c>
      <c r="E78" s="59" t="n">
        <v>61</v>
      </c>
    </row>
    <row r="80" customFormat="false" ht="15" hidden="false" customHeight="false" outlineLevel="0" collapsed="false">
      <c r="A80" s="41" t="s">
        <v>333</v>
      </c>
      <c r="B80" s="5"/>
      <c r="C80" s="5"/>
      <c r="D80" s="5"/>
      <c r="E80" s="5"/>
      <c r="F80" s="5"/>
      <c r="G80" s="5"/>
      <c r="H80" s="5"/>
      <c r="I80" s="5"/>
    </row>
    <row r="81" customFormat="false" ht="15" hidden="false" customHeight="false" outlineLevel="0" collapsed="false">
      <c r="A81" s="33" t="s">
        <v>311</v>
      </c>
      <c r="B81" s="33" t="s">
        <v>229</v>
      </c>
      <c r="C81" s="59" t="n">
        <v>4</v>
      </c>
      <c r="D81" s="59" t="n">
        <v>0</v>
      </c>
      <c r="E81" s="59" t="n">
        <v>0</v>
      </c>
      <c r="G81" s="60" t="n">
        <f aca="false">IF(C$93=0,0,C81/C$93)</f>
        <v>0.00135777325186694</v>
      </c>
      <c r="H81" s="60" t="n">
        <f aca="false">IF(D$93=0,0,D81/D$93)</f>
        <v>0</v>
      </c>
      <c r="I81" s="60" t="n">
        <f aca="false">IF(E$93=0,0,E81/E$93)</f>
        <v>0</v>
      </c>
    </row>
    <row r="82" customFormat="false" ht="15" hidden="false" customHeight="false" outlineLevel="0" collapsed="false">
      <c r="A82" s="33" t="s">
        <v>313</v>
      </c>
      <c r="B82" s="33" t="s">
        <v>229</v>
      </c>
      <c r="C82" s="59" t="n">
        <v>8</v>
      </c>
      <c r="D82" s="59" t="n">
        <v>0</v>
      </c>
      <c r="E82" s="59" t="n">
        <v>12</v>
      </c>
      <c r="G82" s="60" t="n">
        <f aca="false">IF(C$93=0,0,C82/C$93)</f>
        <v>0.00271554650373388</v>
      </c>
      <c r="H82" s="60" t="n">
        <f aca="false">IF(D$93=0,0,D82/D$93)</f>
        <v>0</v>
      </c>
      <c r="I82" s="60" t="n">
        <f aca="false">IF(E$93=0,0,E82/E$93)</f>
        <v>0.00504413619167718</v>
      </c>
    </row>
    <row r="83" customFormat="false" ht="15" hidden="false" customHeight="false" outlineLevel="0" collapsed="false">
      <c r="A83" s="33" t="s">
        <v>314</v>
      </c>
      <c r="B83" s="33" t="s">
        <v>229</v>
      </c>
      <c r="C83" s="59" t="n">
        <v>0</v>
      </c>
      <c r="D83" s="59" t="n">
        <v>0</v>
      </c>
      <c r="E83" s="59" t="n">
        <v>0</v>
      </c>
      <c r="G83" s="60" t="n">
        <f aca="false">IF(C$93=0,0,C83/C$93)</f>
        <v>0</v>
      </c>
      <c r="H83" s="60" t="n">
        <f aca="false">IF(D$93=0,0,D83/D$93)</f>
        <v>0</v>
      </c>
      <c r="I83" s="60" t="n">
        <f aca="false">IF(E$93=0,0,E83/E$93)</f>
        <v>0</v>
      </c>
    </row>
    <row r="84" customFormat="false" ht="15" hidden="false" customHeight="false" outlineLevel="0" collapsed="false">
      <c r="A84" s="33" t="s">
        <v>315</v>
      </c>
      <c r="B84" s="33" t="s">
        <v>229</v>
      </c>
      <c r="C84" s="59" t="n">
        <v>1</v>
      </c>
      <c r="D84" s="59" t="n">
        <v>0</v>
      </c>
      <c r="E84" s="59" t="n">
        <v>2</v>
      </c>
      <c r="G84" s="60" t="n">
        <f aca="false">IF(C$93=0,0,C84/C$93)</f>
        <v>0.000339443312966735</v>
      </c>
      <c r="H84" s="60" t="n">
        <f aca="false">IF(D$93=0,0,D84/D$93)</f>
        <v>0</v>
      </c>
      <c r="I84" s="60" t="n">
        <f aca="false">IF(E$93=0,0,E84/E$93)</f>
        <v>0.000840689365279529</v>
      </c>
    </row>
    <row r="85" customFormat="false" ht="15" hidden="false" customHeight="false" outlineLevel="0" collapsed="false">
      <c r="A85" s="33" t="s">
        <v>316</v>
      </c>
      <c r="B85" s="33" t="s">
        <v>229</v>
      </c>
      <c r="C85" s="59" t="n">
        <v>0</v>
      </c>
      <c r="D85" s="59" t="n">
        <v>0</v>
      </c>
      <c r="E85" s="59" t="n">
        <v>0</v>
      </c>
      <c r="G85" s="60" t="n">
        <f aca="false">IF(C$93=0,0,C85/C$93)</f>
        <v>0</v>
      </c>
      <c r="H85" s="60" t="n">
        <f aca="false">IF(D$93=0,0,D85/D$93)</f>
        <v>0</v>
      </c>
      <c r="I85" s="60" t="n">
        <f aca="false">IF(E$93=0,0,E85/E$93)</f>
        <v>0</v>
      </c>
    </row>
    <row r="86" customFormat="false" ht="15" hidden="false" customHeight="false" outlineLevel="0" collapsed="false">
      <c r="A86" s="33" t="s">
        <v>317</v>
      </c>
      <c r="B86" s="33" t="s">
        <v>229</v>
      </c>
      <c r="C86" s="59" t="n">
        <v>0</v>
      </c>
      <c r="D86" s="59" t="n">
        <v>0</v>
      </c>
      <c r="E86" s="59" t="n">
        <v>0</v>
      </c>
      <c r="G86" s="60" t="n">
        <f aca="false">IF(C$93=0,0,C86/C$93)</f>
        <v>0</v>
      </c>
      <c r="H86" s="60" t="n">
        <f aca="false">IF(D$93=0,0,D86/D$93)</f>
        <v>0</v>
      </c>
      <c r="I86" s="60" t="n">
        <f aca="false">IF(E$93=0,0,E86/E$93)</f>
        <v>0</v>
      </c>
    </row>
    <row r="87" customFormat="false" ht="15" hidden="false" customHeight="false" outlineLevel="0" collapsed="false">
      <c r="A87" s="33" t="s">
        <v>318</v>
      </c>
      <c r="B87" s="33" t="s">
        <v>229</v>
      </c>
      <c r="C87" s="59" t="n">
        <v>6</v>
      </c>
      <c r="D87" s="59" t="n">
        <v>0</v>
      </c>
      <c r="E87" s="59" t="n">
        <v>0</v>
      </c>
      <c r="G87" s="60" t="n">
        <f aca="false">IF(C$93=0,0,C87/C$93)</f>
        <v>0.00203665987780041</v>
      </c>
      <c r="H87" s="60" t="n">
        <f aca="false">IF(D$93=0,0,D87/D$93)</f>
        <v>0</v>
      </c>
      <c r="I87" s="60" t="n">
        <f aca="false">IF(E$93=0,0,E87/E$93)</f>
        <v>0</v>
      </c>
    </row>
    <row r="88" customFormat="false" ht="15" hidden="false" customHeight="false" outlineLevel="0" collapsed="false">
      <c r="A88" s="33" t="s">
        <v>319</v>
      </c>
      <c r="B88" s="33" t="s">
        <v>229</v>
      </c>
      <c r="C88" s="59" t="n">
        <v>40</v>
      </c>
      <c r="D88" s="59" t="n">
        <v>27</v>
      </c>
      <c r="E88" s="59" t="n">
        <v>1</v>
      </c>
      <c r="G88" s="60" t="n">
        <f aca="false">IF(C$93=0,0,C88/C$93)</f>
        <v>0.0135777325186694</v>
      </c>
      <c r="H88" s="60" t="n">
        <f aca="false">IF(D$93=0,0,D88/D$93)</f>
        <v>0.00552712384851587</v>
      </c>
      <c r="I88" s="60" t="n">
        <f aca="false">IF(E$93=0,0,E88/E$93)</f>
        <v>0.000420344682639765</v>
      </c>
    </row>
    <row r="89" customFormat="false" ht="15" hidden="false" customHeight="false" outlineLevel="0" collapsed="false">
      <c r="A89" s="33" t="s">
        <v>320</v>
      </c>
      <c r="B89" s="33" t="s">
        <v>229</v>
      </c>
      <c r="C89" s="59" t="n">
        <v>1942</v>
      </c>
      <c r="D89" s="59" t="n">
        <v>660</v>
      </c>
      <c r="E89" s="59" t="n">
        <v>1897</v>
      </c>
      <c r="G89" s="60" t="n">
        <f aca="false">IF(C$93=0,0,C89/C$93)</f>
        <v>0.659198913781399</v>
      </c>
      <c r="H89" s="60" t="n">
        <f aca="false">IF(D$93=0,0,D89/D$93)</f>
        <v>0.13510747185261</v>
      </c>
      <c r="I89" s="60" t="n">
        <f aca="false">IF(E$93=0,0,E89/E$93)</f>
        <v>0.797393862967634</v>
      </c>
    </row>
    <row r="90" customFormat="false" ht="15" hidden="false" customHeight="false" outlineLevel="0" collapsed="false">
      <c r="A90" s="33" t="s">
        <v>321</v>
      </c>
      <c r="B90" s="33" t="s">
        <v>229</v>
      </c>
      <c r="C90" s="59" t="n">
        <v>4</v>
      </c>
      <c r="D90" s="59" t="n">
        <v>3</v>
      </c>
      <c r="E90" s="59" t="n">
        <v>5</v>
      </c>
      <c r="G90" s="60" t="n">
        <f aca="false">IF(C$93=0,0,C90/C$93)</f>
        <v>0.00135777325186694</v>
      </c>
      <c r="H90" s="60" t="n">
        <f aca="false">IF(D$93=0,0,D90/D$93)</f>
        <v>0.000614124872057318</v>
      </c>
      <c r="I90" s="60" t="n">
        <f aca="false">IF(E$93=0,0,E90/E$93)</f>
        <v>0.00210172341319882</v>
      </c>
    </row>
    <row r="91" customFormat="false" ht="15" hidden="false" customHeight="false" outlineLevel="0" collapsed="false">
      <c r="A91" s="33" t="s">
        <v>322</v>
      </c>
      <c r="B91" s="33" t="s">
        <v>229</v>
      </c>
      <c r="C91" s="59" t="n">
        <v>941</v>
      </c>
      <c r="D91" s="59" t="n">
        <v>4194</v>
      </c>
      <c r="E91" s="59" t="n">
        <v>460</v>
      </c>
      <c r="G91" s="60" t="n">
        <f aca="false">IF(C$93=0,0,C91/C$93)</f>
        <v>0.319416157501697</v>
      </c>
      <c r="H91" s="60" t="n">
        <f aca="false">IF(D$93=0,0,D91/D$93)</f>
        <v>0.858546571136131</v>
      </c>
      <c r="I91" s="60" t="n">
        <f aca="false">IF(E$93=0,0,E91/E$93)</f>
        <v>0.193358554014292</v>
      </c>
    </row>
    <row r="92" customFormat="false" ht="15" hidden="false" customHeight="false" outlineLevel="0" collapsed="false">
      <c r="A92" s="29" t="s">
        <v>323</v>
      </c>
      <c r="C92" s="34" t="n">
        <f aca="false">SUM(C81:C91)</f>
        <v>2946</v>
      </c>
      <c r="D92" s="34" t="n">
        <f aca="false">SUM(D81:D91)</f>
        <v>4884</v>
      </c>
      <c r="E92" s="34" t="n">
        <f aca="false">SUM(E81:E91)</f>
        <v>2377</v>
      </c>
    </row>
    <row r="93" customFormat="false" ht="15" hidden="false" customHeight="false" outlineLevel="0" collapsed="false">
      <c r="A93" s="31" t="s">
        <v>324</v>
      </c>
      <c r="B93" s="33" t="s">
        <v>229</v>
      </c>
      <c r="C93" s="59" t="n">
        <v>2946</v>
      </c>
      <c r="D93" s="59" t="n">
        <v>4885</v>
      </c>
      <c r="E93" s="59" t="n">
        <v>2379</v>
      </c>
    </row>
    <row r="95" customFormat="false" ht="15" hidden="false" customHeight="false" outlineLevel="0" collapsed="false">
      <c r="A95" s="41" t="s">
        <v>334</v>
      </c>
      <c r="B95" s="5"/>
      <c r="C95" s="5"/>
      <c r="D95" s="5"/>
      <c r="E95" s="5"/>
      <c r="F95" s="5"/>
      <c r="G95" s="5"/>
      <c r="H95" s="5"/>
      <c r="I95" s="5"/>
    </row>
    <row r="96" customFormat="false" ht="15" hidden="false" customHeight="false" outlineLevel="0" collapsed="false">
      <c r="A96" s="33" t="s">
        <v>311</v>
      </c>
      <c r="B96" s="33" t="s">
        <v>150</v>
      </c>
      <c r="C96" s="59" t="n">
        <v>1</v>
      </c>
      <c r="D96" s="59" t="n">
        <v>0</v>
      </c>
      <c r="E96" s="59" t="n">
        <v>0</v>
      </c>
      <c r="G96" s="60" t="n">
        <f aca="false">IF(C$108=0,0,C96/C$108)</f>
        <v>6.103515625E-006</v>
      </c>
      <c r="H96" s="60" t="n">
        <f aca="false">IF(D$108=0,0,D96/D$108)</f>
        <v>0</v>
      </c>
      <c r="I96" s="60" t="n">
        <f aca="false">IF(E$108=0,0,E96/E$108)</f>
        <v>0</v>
      </c>
    </row>
    <row r="97" customFormat="false" ht="15" hidden="false" customHeight="false" outlineLevel="0" collapsed="false">
      <c r="A97" s="33" t="s">
        <v>313</v>
      </c>
      <c r="B97" s="33" t="s">
        <v>150</v>
      </c>
      <c r="C97" s="59" t="n">
        <v>38</v>
      </c>
      <c r="D97" s="59" t="n">
        <v>0</v>
      </c>
      <c r="E97" s="59" t="n">
        <v>54</v>
      </c>
      <c r="G97" s="60" t="n">
        <f aca="false">IF(C$108=0,0,C97/C$108)</f>
        <v>0.00023193359375</v>
      </c>
      <c r="H97" s="60" t="n">
        <f aca="false">IF(D$108=0,0,D97/D$108)</f>
        <v>0</v>
      </c>
      <c r="I97" s="60" t="n">
        <f aca="false">IF(E$108=0,0,E97/E$108)</f>
        <v>0.00013740388089628</v>
      </c>
    </row>
    <row r="98" customFormat="false" ht="15" hidden="false" customHeight="false" outlineLevel="0" collapsed="false">
      <c r="A98" s="33" t="s">
        <v>314</v>
      </c>
      <c r="B98" s="33" t="s">
        <v>150</v>
      </c>
      <c r="C98" s="59" t="n">
        <v>82261</v>
      </c>
      <c r="D98" s="59" t="n">
        <v>45273</v>
      </c>
      <c r="E98" s="59" t="n">
        <v>195829</v>
      </c>
      <c r="G98" s="60" t="n">
        <f aca="false">IF(C$108=0,0,C98/C$108)</f>
        <v>0.502081298828125</v>
      </c>
      <c r="H98" s="60" t="n">
        <f aca="false">IF(D$108=0,0,D98/D$108)</f>
        <v>0.391326896647103</v>
      </c>
      <c r="I98" s="60" t="n">
        <f aca="false">IF(E$108=0,0,E98/E$108)</f>
        <v>0.498290085037735</v>
      </c>
    </row>
    <row r="99" customFormat="false" ht="15" hidden="false" customHeight="false" outlineLevel="0" collapsed="false">
      <c r="A99" s="33" t="s">
        <v>315</v>
      </c>
      <c r="B99" s="33" t="s">
        <v>150</v>
      </c>
      <c r="C99" s="59" t="n">
        <v>1</v>
      </c>
      <c r="D99" s="59" t="n">
        <v>0</v>
      </c>
      <c r="E99" s="59" t="n">
        <v>1</v>
      </c>
      <c r="G99" s="60" t="n">
        <f aca="false">IF(C$108=0,0,C99/C$108)</f>
        <v>6.103515625E-006</v>
      </c>
      <c r="H99" s="60" t="n">
        <f aca="false">IF(D$108=0,0,D99/D$108)</f>
        <v>0</v>
      </c>
      <c r="I99" s="60" t="n">
        <f aca="false">IF(E$108=0,0,E99/E$108)</f>
        <v>2.54451631289408E-006</v>
      </c>
    </row>
    <row r="100" customFormat="false" ht="15" hidden="false" customHeight="false" outlineLevel="0" collapsed="false">
      <c r="A100" s="33" t="s">
        <v>316</v>
      </c>
      <c r="B100" s="33" t="s">
        <v>150</v>
      </c>
      <c r="C100" s="59" t="n">
        <v>0</v>
      </c>
      <c r="D100" s="59" t="n">
        <v>0</v>
      </c>
      <c r="E100" s="59" t="n">
        <v>0</v>
      </c>
      <c r="G100" s="60" t="n">
        <f aca="false">IF(C$108=0,0,C100/C$108)</f>
        <v>0</v>
      </c>
      <c r="H100" s="60" t="n">
        <f aca="false">IF(D$108=0,0,D100/D$108)</f>
        <v>0</v>
      </c>
      <c r="I100" s="60" t="n">
        <f aca="false">IF(E$108=0,0,E100/E$108)</f>
        <v>0</v>
      </c>
    </row>
    <row r="101" customFormat="false" ht="15" hidden="false" customHeight="false" outlineLevel="0" collapsed="false">
      <c r="A101" s="33" t="s">
        <v>317</v>
      </c>
      <c r="B101" s="33" t="s">
        <v>150</v>
      </c>
      <c r="C101" s="59" t="n">
        <v>0</v>
      </c>
      <c r="D101" s="59" t="n">
        <v>1</v>
      </c>
      <c r="E101" s="59" t="n">
        <v>0</v>
      </c>
      <c r="G101" s="60" t="n">
        <f aca="false">IF(C$108=0,0,C101/C$108)</f>
        <v>0</v>
      </c>
      <c r="H101" s="60" t="n">
        <f aca="false">IF(D$108=0,0,D101/D$108)</f>
        <v>8.64371472283929E-006</v>
      </c>
      <c r="I101" s="60" t="n">
        <f aca="false">IF(E$108=0,0,E101/E$108)</f>
        <v>0</v>
      </c>
    </row>
    <row r="102" customFormat="false" ht="15" hidden="false" customHeight="false" outlineLevel="0" collapsed="false">
      <c r="A102" s="33" t="s">
        <v>318</v>
      </c>
      <c r="B102" s="33" t="s">
        <v>150</v>
      </c>
      <c r="C102" s="59" t="n">
        <v>6</v>
      </c>
      <c r="D102" s="59" t="n">
        <v>5</v>
      </c>
      <c r="E102" s="59" t="n">
        <v>0</v>
      </c>
      <c r="G102" s="60" t="n">
        <f aca="false">IF(C$108=0,0,C102/C$108)</f>
        <v>3.662109375E-005</v>
      </c>
      <c r="H102" s="60" t="n">
        <f aca="false">IF(D$108=0,0,D102/D$108)</f>
        <v>4.32185736141964E-005</v>
      </c>
      <c r="I102" s="60" t="n">
        <f aca="false">IF(E$108=0,0,E102/E$108)</f>
        <v>0</v>
      </c>
    </row>
    <row r="103" customFormat="false" ht="15" hidden="false" customHeight="false" outlineLevel="0" collapsed="false">
      <c r="A103" s="33" t="s">
        <v>319</v>
      </c>
      <c r="B103" s="33" t="s">
        <v>150</v>
      </c>
      <c r="C103" s="59" t="n">
        <v>148</v>
      </c>
      <c r="D103" s="59" t="n">
        <v>100</v>
      </c>
      <c r="E103" s="59" t="n">
        <v>4</v>
      </c>
      <c r="G103" s="60" t="n">
        <f aca="false">IF(C$108=0,0,C103/C$108)</f>
        <v>0.0009033203125</v>
      </c>
      <c r="H103" s="60" t="n">
        <f aca="false">IF(D$108=0,0,D103/D$108)</f>
        <v>0.000864371472283929</v>
      </c>
      <c r="I103" s="60" t="n">
        <f aca="false">IF(E$108=0,0,E103/E$108)</f>
        <v>1.01780652515763E-005</v>
      </c>
    </row>
    <row r="104" customFormat="false" ht="15" hidden="false" customHeight="false" outlineLevel="0" collapsed="false">
      <c r="A104" s="33" t="s">
        <v>320</v>
      </c>
      <c r="B104" s="33" t="s">
        <v>150</v>
      </c>
      <c r="C104" s="59" t="n">
        <v>47</v>
      </c>
      <c r="D104" s="59" t="n">
        <v>14</v>
      </c>
      <c r="E104" s="59" t="n">
        <v>44</v>
      </c>
      <c r="G104" s="60" t="n">
        <f aca="false">IF(C$108=0,0,C104/C$108)</f>
        <v>0.000286865234375</v>
      </c>
      <c r="H104" s="60" t="n">
        <f aca="false">IF(D$108=0,0,D104/D$108)</f>
        <v>0.00012101200611975</v>
      </c>
      <c r="I104" s="60" t="n">
        <f aca="false">IF(E$108=0,0,E104/E$108)</f>
        <v>0.00011195871776734</v>
      </c>
    </row>
    <row r="105" customFormat="false" ht="15" hidden="false" customHeight="false" outlineLevel="0" collapsed="false">
      <c r="A105" s="33" t="s">
        <v>321</v>
      </c>
      <c r="B105" s="33" t="s">
        <v>150</v>
      </c>
      <c r="C105" s="59" t="n">
        <v>3</v>
      </c>
      <c r="D105" s="59" t="n">
        <v>2</v>
      </c>
      <c r="E105" s="59" t="n">
        <v>3</v>
      </c>
      <c r="G105" s="60" t="n">
        <f aca="false">IF(C$108=0,0,C105/C$108)</f>
        <v>1.8310546875E-005</v>
      </c>
      <c r="H105" s="60" t="n">
        <f aca="false">IF(D$108=0,0,D105/D$108)</f>
        <v>1.72874294456786E-005</v>
      </c>
      <c r="I105" s="60" t="n">
        <f aca="false">IF(E$108=0,0,E105/E$108)</f>
        <v>7.63354893868225E-006</v>
      </c>
    </row>
    <row r="106" customFormat="false" ht="15" hidden="false" customHeight="false" outlineLevel="0" collapsed="false">
      <c r="A106" s="33" t="s">
        <v>322</v>
      </c>
      <c r="B106" s="33" t="s">
        <v>150</v>
      </c>
      <c r="C106" s="59" t="n">
        <v>81336</v>
      </c>
      <c r="D106" s="59" t="n">
        <v>70297</v>
      </c>
      <c r="E106" s="59" t="n">
        <v>197067</v>
      </c>
      <c r="G106" s="60" t="n">
        <f aca="false">IF(C$108=0,0,C106/C$108)</f>
        <v>0.496435546875</v>
      </c>
      <c r="H106" s="60" t="n">
        <f aca="false">IF(D$108=0,0,D106/D$108)</f>
        <v>0.607627213871433</v>
      </c>
      <c r="I106" s="60" t="n">
        <f aca="false">IF(E$108=0,0,E106/E$108)</f>
        <v>0.501440196233098</v>
      </c>
    </row>
    <row r="107" customFormat="false" ht="15" hidden="false" customHeight="false" outlineLevel="0" collapsed="false">
      <c r="A107" s="29" t="s">
        <v>323</v>
      </c>
      <c r="C107" s="34" t="n">
        <f aca="false">SUM(C96:C106)</f>
        <v>163841</v>
      </c>
      <c r="D107" s="34" t="n">
        <f aca="false">SUM(D96:D106)</f>
        <v>115692</v>
      </c>
      <c r="E107" s="34" t="n">
        <f aca="false">SUM(E96:E106)</f>
        <v>393002</v>
      </c>
    </row>
    <row r="108" customFormat="false" ht="15" hidden="false" customHeight="false" outlineLevel="0" collapsed="false">
      <c r="A108" s="31" t="s">
        <v>324</v>
      </c>
      <c r="B108" s="33" t="s">
        <v>150</v>
      </c>
      <c r="C108" s="59" t="n">
        <v>163840</v>
      </c>
      <c r="D108" s="59" t="n">
        <v>115691</v>
      </c>
      <c r="E108" s="59" t="n">
        <v>393002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5" min="3" style="0" width="18"/>
    <col collapsed="false" customWidth="true" hidden="false" outlineLevel="0" max="8" min="6" style="0" width="9"/>
  </cols>
  <sheetData>
    <row r="1" customFormat="false" ht="17.35" hidden="false" customHeight="false" outlineLevel="0" collapsed="false">
      <c r="A1" s="28" t="s">
        <v>335</v>
      </c>
    </row>
    <row r="2" customFormat="false" ht="15" hidden="false" customHeight="false" outlineLevel="0" collapsed="false">
      <c r="A2" s="29" t="s">
        <v>107</v>
      </c>
    </row>
    <row r="3" customFormat="false" ht="15" hidden="false" customHeight="false" outlineLevel="0" collapsed="false">
      <c r="A3" s="29" t="s">
        <v>336</v>
      </c>
    </row>
    <row r="5" customFormat="false" ht="15" hidden="false" customHeight="false" outlineLevel="0" collapsed="false">
      <c r="A5" s="41" t="s">
        <v>337</v>
      </c>
      <c r="B5" s="5"/>
      <c r="C5" s="5"/>
      <c r="D5" s="5"/>
      <c r="E5" s="5"/>
      <c r="F5" s="5"/>
      <c r="G5" s="5"/>
      <c r="H5" s="5"/>
    </row>
    <row r="7" customFormat="false" ht="15" hidden="false" customHeight="false" outlineLevel="0" collapsed="false">
      <c r="A7" s="61" t="s">
        <v>11</v>
      </c>
    </row>
    <row r="8" customFormat="false" ht="15" hidden="false" customHeight="false" outlineLevel="0" collapsed="false">
      <c r="A8" s="8" t="s">
        <v>338</v>
      </c>
      <c r="B8" s="8" t="s">
        <v>339</v>
      </c>
      <c r="C8" s="8" t="s">
        <v>340</v>
      </c>
      <c r="D8" s="8" t="s">
        <v>341</v>
      </c>
      <c r="E8" s="8" t="s">
        <v>342</v>
      </c>
      <c r="F8" s="8" t="s">
        <v>343</v>
      </c>
      <c r="G8" s="8" t="s">
        <v>344</v>
      </c>
      <c r="H8" s="8" t="s">
        <v>345</v>
      </c>
    </row>
    <row r="9" customFormat="false" ht="15" hidden="false" customHeight="false" outlineLevel="0" collapsed="false">
      <c r="A9" s="33" t="s">
        <v>320</v>
      </c>
      <c r="B9" s="62" t="n">
        <f aca="false">IF(SUMPRODUCT(ABS('LCIA (Annex 1)'!C6:C16))=0,0,('LCIA (Annex 1)'!C14)/SUMPRODUCT(ABS('LCIA (Annex 1)'!C6:C16)))</f>
        <v>0.552819414703783</v>
      </c>
      <c r="C9" s="62" t="n">
        <f aca="false">IF(SUMPRODUCT(ABS('LCIA (Annex 1)'!C21:C31))=0,0,('LCIA (Annex 1)'!C29)/SUMPRODUCT(ABS('LCIA (Annex 1)'!C21:C31)))</f>
        <v>0.233312622048642</v>
      </c>
      <c r="D9" s="62" t="n">
        <f aca="false">IF(SUMPRODUCT(ABS('LCIA (Annex 1)'!C36:C46))=0,0,('LCIA (Annex 1)'!C44)/SUMPRODUCT(ABS('LCIA (Annex 1)'!C36:C46)))</f>
        <v>0.994750906661577</v>
      </c>
      <c r="E9" s="62" t="n">
        <f aca="false">IF(SUMPRODUCT(ABS('LCIA (Annex 1)'!C51:C61))=0,0,('LCIA (Annex 1)'!C59)/SUMPRODUCT(ABS('LCIA (Annex 1)'!C51:C61)))</f>
        <v>0.19047619047619</v>
      </c>
      <c r="F9" s="62" t="n">
        <f aca="false">IF(SUMPRODUCT(ABS('LCIA (Annex 1)'!C66:C76))=0,0,('LCIA (Annex 1)'!C74)/SUMPRODUCT(ABS('LCIA (Annex 1)'!C66:C76)))</f>
        <v>0.307692307692308</v>
      </c>
      <c r="G9" s="62" t="n">
        <f aca="false">IF(SUMPRODUCT(ABS('LCIA (Annex 1)'!C81:C91))=0,0,('LCIA (Annex 1)'!C89)/SUMPRODUCT(ABS('LCIA (Annex 1)'!C81:C91)))</f>
        <v>0.659198913781399</v>
      </c>
      <c r="H9" s="62" t="n">
        <f aca="false">IF(SUMPRODUCT(ABS('LCIA (Annex 1)'!C96:C106))=0,0,('LCIA (Annex 1)'!C104)/SUMPRODUCT(ABS('LCIA (Annex 1)'!C96:C106)))</f>
        <v>0.000286863483499246</v>
      </c>
    </row>
    <row r="10" customFormat="false" ht="15" hidden="false" customHeight="false" outlineLevel="0" collapsed="false">
      <c r="A10" s="33" t="s">
        <v>346</v>
      </c>
      <c r="B10" s="62" t="n">
        <f aca="false">IF(SUMPRODUCT(ABS('LCIA (Annex 1)'!C6:C16))=0,0,('LCIA (Annex 1)'!C10)/SUMPRODUCT(ABS('LCIA (Annex 1)'!C6:C16)))</f>
        <v>0</v>
      </c>
      <c r="C10" s="62" t="n">
        <f aca="false">IF(SUMPRODUCT(ABS('LCIA (Annex 1)'!C21:C31))=0,0,('LCIA (Annex 1)'!C25)/SUMPRODUCT(ABS('LCIA (Annex 1)'!C21:C31)))</f>
        <v>0</v>
      </c>
      <c r="D10" s="62" t="n">
        <f aca="false">IF(SUMPRODUCT(ABS('LCIA (Annex 1)'!C36:C46))=0,0,('LCIA (Annex 1)'!C40)/SUMPRODUCT(ABS('LCIA (Annex 1)'!C36:C46)))</f>
        <v>0</v>
      </c>
      <c r="E10" s="62" t="n">
        <f aca="false">IF(SUMPRODUCT(ABS('LCIA (Annex 1)'!C51:C61))=0,0,('LCIA (Annex 1)'!C55)/SUMPRODUCT(ABS('LCIA (Annex 1)'!C51:C61)))</f>
        <v>0.595238095238095</v>
      </c>
      <c r="F10" s="62" t="n">
        <f aca="false">IF(SUMPRODUCT(ABS('LCIA (Annex 1)'!C66:C76))=0,0,('LCIA (Annex 1)'!C70)/SUMPRODUCT(ABS('LCIA (Annex 1)'!C66:C76)))</f>
        <v>0.615384615384615</v>
      </c>
      <c r="G10" s="62" t="n">
        <f aca="false">IF(SUMPRODUCT(ABS('LCIA (Annex 1)'!C81:C91))=0,0,('LCIA (Annex 1)'!C85)/SUMPRODUCT(ABS('LCIA (Annex 1)'!C81:C91)))</f>
        <v>0</v>
      </c>
      <c r="H10" s="62" t="n">
        <f aca="false">IF(SUMPRODUCT(ABS('LCIA (Annex 1)'!C96:C106))=0,0,('LCIA (Annex 1)'!C100)/SUMPRODUCT(ABS('LCIA (Annex 1)'!C96:C106)))</f>
        <v>0</v>
      </c>
    </row>
    <row r="11" customFormat="false" ht="15" hidden="false" customHeight="false" outlineLevel="0" collapsed="false">
      <c r="A11" s="33" t="s">
        <v>313</v>
      </c>
      <c r="B11" s="62" t="n">
        <f aca="false">IF(SUMPRODUCT(ABS('LCIA (Annex 1)'!C6:C16))=0,0,('LCIA (Annex 1)'!C7)/SUMPRODUCT(ABS('LCIA (Annex 1)'!C6:C16)))</f>
        <v>0.117773019271949</v>
      </c>
      <c r="C11" s="62" t="n">
        <f aca="false">IF(SUMPRODUCT(ABS('LCIA (Annex 1)'!C21:C31))=0,0,('LCIA (Annex 1)'!C22)/SUMPRODUCT(ABS('LCIA (Annex 1)'!C21:C31)))</f>
        <v>0.507322918515889</v>
      </c>
      <c r="D11" s="62" t="n">
        <f aca="false">IF(SUMPRODUCT(ABS('LCIA (Annex 1)'!C36:C46))=0,0,('LCIA (Annex 1)'!C37)/SUMPRODUCT(ABS('LCIA (Annex 1)'!C36:C46)))</f>
        <v>0</v>
      </c>
      <c r="E11" s="62" t="n">
        <f aca="false">IF(SUMPRODUCT(ABS('LCIA (Annex 1)'!C51:C61))=0,0,('LCIA (Annex 1)'!C52)/SUMPRODUCT(ABS('LCIA (Annex 1)'!C51:C61)))</f>
        <v>0.0476190476190476</v>
      </c>
      <c r="F11" s="62" t="n">
        <f aca="false">IF(SUMPRODUCT(ABS('LCIA (Annex 1)'!C66:C76))=0,0,('LCIA (Annex 1)'!C67)/SUMPRODUCT(ABS('LCIA (Annex 1)'!C66:C76)))</f>
        <v>0.0384615384615385</v>
      </c>
      <c r="G11" s="62" t="n">
        <f aca="false">IF(SUMPRODUCT(ABS('LCIA (Annex 1)'!C81:C91))=0,0,('LCIA (Annex 1)'!C82)/SUMPRODUCT(ABS('LCIA (Annex 1)'!C81:C91)))</f>
        <v>0.00271554650373388</v>
      </c>
      <c r="H11" s="62" t="n">
        <f aca="false">IF(SUMPRODUCT(ABS('LCIA (Annex 1)'!C96:C106))=0,0,('LCIA (Annex 1)'!C97)/SUMPRODUCT(ABS('LCIA (Annex 1)'!C96:C106)))</f>
        <v>0.000231932178148327</v>
      </c>
    </row>
    <row r="12" customFormat="false" ht="15" hidden="false" customHeight="false" outlineLevel="0" collapsed="false">
      <c r="A12" s="33" t="s">
        <v>321</v>
      </c>
      <c r="B12" s="62" t="n">
        <f aca="false">IF(SUMPRODUCT(ABS('LCIA (Annex 1)'!C6:C16))=0,0,('LCIA (Annex 1)'!C15)/SUMPRODUCT(ABS('LCIA (Annex 1)'!C6:C16)))</f>
        <v>0.11598857958601</v>
      </c>
      <c r="C12" s="62" t="n">
        <f aca="false">IF(SUMPRODUCT(ABS('LCIA (Annex 1)'!C21:C31))=0,0,('LCIA (Annex 1)'!C30)/SUMPRODUCT(ABS('LCIA (Annex 1)'!C21:C31)))</f>
        <v>0.0608357003372981</v>
      </c>
      <c r="D12" s="62" t="n">
        <f aca="false">IF(SUMPRODUCT(ABS('LCIA (Annex 1)'!C36:C46))=0,0,('LCIA (Annex 1)'!C45)/SUMPRODUCT(ABS('LCIA (Annex 1)'!C36:C46)))</f>
        <v>0</v>
      </c>
      <c r="E12" s="62" t="n">
        <f aca="false">IF(SUMPRODUCT(ABS('LCIA (Annex 1)'!C51:C61))=0,0,('LCIA (Annex 1)'!C60)/SUMPRODUCT(ABS('LCIA (Annex 1)'!C51:C61)))</f>
        <v>0.0476190476190476</v>
      </c>
      <c r="F12" s="62" t="n">
        <f aca="false">IF(SUMPRODUCT(ABS('LCIA (Annex 1)'!C66:C76))=0,0,('LCIA (Annex 1)'!C75)/SUMPRODUCT(ABS('LCIA (Annex 1)'!C66:C76)))</f>
        <v>0</v>
      </c>
      <c r="G12" s="62" t="n">
        <f aca="false">IF(SUMPRODUCT(ABS('LCIA (Annex 1)'!C81:C91))=0,0,('LCIA (Annex 1)'!C90)/SUMPRODUCT(ABS('LCIA (Annex 1)'!C81:C91)))</f>
        <v>0.00135777325186694</v>
      </c>
      <c r="H12" s="62" t="n">
        <f aca="false">IF(SUMPRODUCT(ABS('LCIA (Annex 1)'!C96:C106))=0,0,('LCIA (Annex 1)'!C105)/SUMPRODUCT(ABS('LCIA (Annex 1)'!C96:C106)))</f>
        <v>1.83104351169732E-005</v>
      </c>
    </row>
    <row r="13" customFormat="false" ht="15" hidden="false" customHeight="false" outlineLevel="0" collapsed="false">
      <c r="A13" s="33" t="s">
        <v>318</v>
      </c>
      <c r="B13" s="62" t="n">
        <f aca="false">IF(SUMPRODUCT(ABS('LCIA (Annex 1)'!C6:C16))=0,0,('LCIA (Annex 1)'!C12)/SUMPRODUCT(ABS('LCIA (Annex 1)'!C6:C16)))</f>
        <v>0.137758743754461</v>
      </c>
      <c r="C13" s="62" t="n">
        <f aca="false">IF(SUMPRODUCT(ABS('LCIA (Annex 1)'!C21:C31))=0,0,('LCIA (Annex 1)'!C27)/SUMPRODUCT(ABS('LCIA (Annex 1)'!C21:C31)))</f>
        <v>0.155589827800462</v>
      </c>
      <c r="D13" s="62" t="n">
        <f aca="false">IF(SUMPRODUCT(ABS('LCIA (Annex 1)'!C36:C46))=0,0,('LCIA (Annex 1)'!C42)/SUMPRODUCT(ABS('LCIA (Annex 1)'!C36:C46)))</f>
        <v>0</v>
      </c>
      <c r="E13" s="62" t="n">
        <f aca="false">IF(SUMPRODUCT(ABS('LCIA (Annex 1)'!C51:C61))=0,0,('LCIA (Annex 1)'!C57)/SUMPRODUCT(ABS('LCIA (Annex 1)'!C51:C61)))</f>
        <v>0.0714285714285714</v>
      </c>
      <c r="F13" s="62" t="n">
        <f aca="false">IF(SUMPRODUCT(ABS('LCIA (Annex 1)'!C66:C76))=0,0,('LCIA (Annex 1)'!C72)/SUMPRODUCT(ABS('LCIA (Annex 1)'!C66:C76)))</f>
        <v>0.0384615384615385</v>
      </c>
      <c r="G13" s="62" t="n">
        <f aca="false">IF(SUMPRODUCT(ABS('LCIA (Annex 1)'!C81:C91))=0,0,('LCIA (Annex 1)'!C87)/SUMPRODUCT(ABS('LCIA (Annex 1)'!C81:C91)))</f>
        <v>0.00203665987780041</v>
      </c>
      <c r="H13" s="62" t="n">
        <f aca="false">IF(SUMPRODUCT(ABS('LCIA (Annex 1)'!C96:C106))=0,0,('LCIA (Annex 1)'!C102)/SUMPRODUCT(ABS('LCIA (Annex 1)'!C96:C106)))</f>
        <v>3.66208702339463E-005</v>
      </c>
    </row>
    <row r="14" customFormat="false" ht="15" hidden="false" customHeight="false" outlineLevel="0" collapsed="false">
      <c r="A14" s="33" t="s">
        <v>347</v>
      </c>
      <c r="B14" s="62" t="n">
        <f aca="false">IF(SUMPRODUCT(ABS('LCIA (Annex 1)'!C6:C16))=0,0,('LCIA (Annex 1)'!C16)/SUMPRODUCT(ABS('LCIA (Annex 1)'!C6:C16)))</f>
        <v>0</v>
      </c>
      <c r="C14" s="62" t="n">
        <f aca="false">IF(SUMPRODUCT(ABS('LCIA (Annex 1)'!C21:C31))=0,0,('LCIA (Annex 1)'!C31)/SUMPRODUCT(ABS('LCIA (Annex 1)'!C21:C31)))</f>
        <v>0</v>
      </c>
      <c r="D14" s="62" t="n">
        <f aca="false">IF(SUMPRODUCT(ABS('LCIA (Annex 1)'!C36:C46))=0,0,('LCIA (Annex 1)'!C46)/SUMPRODUCT(ABS('LCIA (Annex 1)'!C36:C46)))</f>
        <v>0</v>
      </c>
      <c r="E14" s="62" t="n">
        <f aca="false">IF(SUMPRODUCT(ABS('LCIA (Annex 1)'!C51:C61))=0,0,('LCIA (Annex 1)'!C61)/SUMPRODUCT(ABS('LCIA (Annex 1)'!C51:C61)))</f>
        <v>0</v>
      </c>
      <c r="F14" s="62" t="n">
        <f aca="false">IF(SUMPRODUCT(ABS('LCIA (Annex 1)'!C66:C76))=0,0,('LCIA (Annex 1)'!C76)/SUMPRODUCT(ABS('LCIA (Annex 1)'!C66:C76)))</f>
        <v>0</v>
      </c>
      <c r="G14" s="62" t="n">
        <f aca="false">IF(SUMPRODUCT(ABS('LCIA (Annex 1)'!C81:C91))=0,0,('LCIA (Annex 1)'!C91)/SUMPRODUCT(ABS('LCIA (Annex 1)'!C81:C91)))</f>
        <v>0.319416157501697</v>
      </c>
      <c r="H14" s="62" t="n">
        <f aca="false">IF(SUMPRODUCT(ABS('LCIA (Annex 1)'!C96:C106))=0,0,('LCIA (Annex 1)'!C106)/SUMPRODUCT(ABS('LCIA (Annex 1)'!C96:C106)))</f>
        <v>0.496432516891376</v>
      </c>
    </row>
    <row r="15" customFormat="false" ht="15" hidden="false" customHeight="false" outlineLevel="0" collapsed="false">
      <c r="A15" s="33" t="s">
        <v>314</v>
      </c>
      <c r="B15" s="62" t="n">
        <f aca="false">IF(SUMPRODUCT(ABS('LCIA (Annex 1)'!C6:C16))=0,0,('LCIA (Annex 1)'!C8)/SUMPRODUCT(ABS('LCIA (Annex 1)'!C6:C16)))</f>
        <v>0</v>
      </c>
      <c r="C15" s="62" t="n">
        <f aca="false">IF(SUMPRODUCT(ABS('LCIA (Annex 1)'!C21:C31))=0,0,('LCIA (Annex 1)'!C23)/SUMPRODUCT(ABS('LCIA (Annex 1)'!C21:C31)))</f>
        <v>0</v>
      </c>
      <c r="D15" s="62" t="n">
        <f aca="false">IF(SUMPRODUCT(ABS('LCIA (Annex 1)'!C36:C46))=0,0,('LCIA (Annex 1)'!C38)/SUMPRODUCT(ABS('LCIA (Annex 1)'!C36:C46)))</f>
        <v>0</v>
      </c>
      <c r="E15" s="62" t="n">
        <f aca="false">IF(SUMPRODUCT(ABS('LCIA (Annex 1)'!C51:C61))=0,0,('LCIA (Annex 1)'!C53)/SUMPRODUCT(ABS('LCIA (Annex 1)'!C51:C61)))</f>
        <v>0</v>
      </c>
      <c r="F15" s="62" t="n">
        <f aca="false">IF(SUMPRODUCT(ABS('LCIA (Annex 1)'!C66:C76))=0,0,('LCIA (Annex 1)'!C68)/SUMPRODUCT(ABS('LCIA (Annex 1)'!C66:C76)))</f>
        <v>0</v>
      </c>
      <c r="G15" s="62" t="n">
        <f aca="false">IF(SUMPRODUCT(ABS('LCIA (Annex 1)'!C81:C91))=0,0,('LCIA (Annex 1)'!C83)/SUMPRODUCT(ABS('LCIA (Annex 1)'!C81:C91)))</f>
        <v>0</v>
      </c>
      <c r="H15" s="62" t="n">
        <f aca="false">IF(SUMPRODUCT(ABS('LCIA (Annex 1)'!C96:C106))=0,0,('LCIA (Annex 1)'!C98)/SUMPRODUCT(ABS('LCIA (Annex 1)'!C96:C106)))</f>
        <v>0.502078234385777</v>
      </c>
    </row>
    <row r="16" customFormat="false" ht="15" hidden="false" customHeight="false" outlineLevel="0" collapsed="false">
      <c r="A16" s="33" t="s">
        <v>348</v>
      </c>
      <c r="B16" s="62" t="n">
        <f aca="false">IF(SUMPRODUCT(ABS('LCIA (Annex 1)'!C6:C16))=0,0,('LCIA (Annex 1)'!C6+'LCIA (Annex 1)'!C9+'LCIA (Annex 1)'!C11+'LCIA (Annex 1)'!C13)/SUMPRODUCT(ABS('LCIA (Annex 1)'!C6:C16)))</f>
        <v>0.0756602426837973</v>
      </c>
      <c r="C16" s="62" t="n">
        <f aca="false">IF(SUMPRODUCT(ABS('LCIA (Annex 1)'!C21:C31))=0,0,('LCIA (Annex 1)'!C21+'LCIA (Annex 1)'!C24+'LCIA (Annex 1)'!C26+'LCIA (Annex 1)'!C28)/SUMPRODUCT(ABS('LCIA (Annex 1)'!C21:C31)))</f>
        <v>0.0429389312977099</v>
      </c>
      <c r="D16" s="62" t="n">
        <f aca="false">IF(SUMPRODUCT(ABS('LCIA (Annex 1)'!C36:C46))=0,0,('LCIA (Annex 1)'!C36+'LCIA (Annex 1)'!C39+'LCIA (Annex 1)'!C41+'LCIA (Annex 1)'!C43)/SUMPRODUCT(ABS('LCIA (Annex 1)'!C36:C46)))</f>
        <v>0.00524909333842336</v>
      </c>
      <c r="E16" s="62" t="n">
        <f aca="false">IF(SUMPRODUCT(ABS('LCIA (Annex 1)'!C51:C61))=0,0,('LCIA (Annex 1)'!C51+'LCIA (Annex 1)'!C54+'LCIA (Annex 1)'!C56+'LCIA (Annex 1)'!C58)/SUMPRODUCT(ABS('LCIA (Annex 1)'!C51:C61)))</f>
        <v>0.0476190476190476</v>
      </c>
      <c r="F16" s="62" t="n">
        <f aca="false">IF(SUMPRODUCT(ABS('LCIA (Annex 1)'!C66:C76))=0,0,('LCIA (Annex 1)'!C66+'LCIA (Annex 1)'!C69+'LCIA (Annex 1)'!C71+'LCIA (Annex 1)'!C73)/SUMPRODUCT(ABS('LCIA (Annex 1)'!C66:C76)))</f>
        <v>0</v>
      </c>
      <c r="G16" s="62" t="n">
        <f aca="false">IF(SUMPRODUCT(ABS('LCIA (Annex 1)'!C81:C91))=0,0,('LCIA (Annex 1)'!C81+'LCIA (Annex 1)'!C84+'LCIA (Annex 1)'!C86+'LCIA (Annex 1)'!C88)/SUMPRODUCT(ABS('LCIA (Annex 1)'!C81:C91)))</f>
        <v>0.0152749490835031</v>
      </c>
      <c r="H16" s="62" t="n">
        <f aca="false">IF(SUMPRODUCT(ABS('LCIA (Annex 1)'!C96:C106))=0,0,('LCIA (Annex 1)'!C96+'LCIA (Annex 1)'!C99+'LCIA (Annex 1)'!C101+'LCIA (Annex 1)'!C103)/SUMPRODUCT(ABS('LCIA (Annex 1)'!C96:C106)))</f>
        <v>0.000915521755848658</v>
      </c>
    </row>
    <row r="26" customFormat="false" ht="15" hidden="false" customHeight="false" outlineLevel="0" collapsed="false">
      <c r="A26" s="63" t="s">
        <v>15</v>
      </c>
    </row>
    <row r="27" customFormat="false" ht="15" hidden="false" customHeight="false" outlineLevel="0" collapsed="false">
      <c r="A27" s="8" t="s">
        <v>338</v>
      </c>
      <c r="B27" s="8" t="s">
        <v>339</v>
      </c>
      <c r="C27" s="8" t="s">
        <v>340</v>
      </c>
      <c r="D27" s="8" t="s">
        <v>341</v>
      </c>
      <c r="E27" s="8" t="s">
        <v>342</v>
      </c>
      <c r="F27" s="8" t="s">
        <v>343</v>
      </c>
      <c r="G27" s="8" t="s">
        <v>344</v>
      </c>
      <c r="H27" s="8" t="s">
        <v>345</v>
      </c>
    </row>
    <row r="28" customFormat="false" ht="15" hidden="false" customHeight="false" outlineLevel="0" collapsed="false">
      <c r="A28" s="33" t="s">
        <v>320</v>
      </c>
      <c r="B28" s="62" t="n">
        <f aca="false">IF(SUMPRODUCT(ABS('LCIA (Annex 1)'!D6:D16))=0,0,('LCIA (Annex 1)'!D14)/SUMPRODUCT(ABS('LCIA (Annex 1)'!D6:D16)))</f>
        <v>0.584529505582137</v>
      </c>
      <c r="C28" s="62" t="n">
        <f aca="false">IF(SUMPRODUCT(ABS('LCIA (Annex 1)'!D21:D31))=0,0,('LCIA (Annex 1)'!D29)/SUMPRODUCT(ABS('LCIA (Annex 1)'!D21:D31)))</f>
        <v>0.413677540975022</v>
      </c>
      <c r="D28" s="62" t="n">
        <f aca="false">IF(SUMPRODUCT(ABS('LCIA (Annex 1)'!D36:D46))=0,0,('LCIA (Annex 1)'!D44)/SUMPRODUCT(ABS('LCIA (Annex 1)'!D36:D46)))</f>
        <v>0.991594729668333</v>
      </c>
      <c r="E28" s="62" t="n">
        <f aca="false">IF(SUMPRODUCT(ABS('LCIA (Annex 1)'!D51:D61))=0,0,('LCIA (Annex 1)'!D59)/SUMPRODUCT(ABS('LCIA (Annex 1)'!D51:D61)))</f>
        <v>0.6</v>
      </c>
      <c r="F28" s="62" t="n">
        <f aca="false">IF(SUMPRODUCT(ABS('LCIA (Annex 1)'!D66:D76))=0,0,('LCIA (Annex 1)'!D74)/SUMPRODUCT(ABS('LCIA (Annex 1)'!D66:D76)))</f>
        <v>0.75</v>
      </c>
      <c r="G28" s="62" t="n">
        <f aca="false">IF(SUMPRODUCT(ABS('LCIA (Annex 1)'!D81:D91))=0,0,('LCIA (Annex 1)'!D89)/SUMPRODUCT(ABS('LCIA (Annex 1)'!D81:D91)))</f>
        <v>0.135135135135135</v>
      </c>
      <c r="H28" s="62" t="n">
        <f aca="false">IF(SUMPRODUCT(ABS('LCIA (Annex 1)'!D96:D106))=0,0,('LCIA (Annex 1)'!D104)/SUMPRODUCT(ABS('LCIA (Annex 1)'!D96:D106)))</f>
        <v>0.000121010960135532</v>
      </c>
    </row>
    <row r="29" customFormat="false" ht="15" hidden="false" customHeight="false" outlineLevel="0" collapsed="false">
      <c r="A29" s="33" t="s">
        <v>346</v>
      </c>
      <c r="B29" s="62" t="n">
        <f aca="false">IF(SUMPRODUCT(ABS('LCIA (Annex 1)'!D6:D16))=0,0,('LCIA (Annex 1)'!D10)/SUMPRODUCT(ABS('LCIA (Annex 1)'!D6:D16)))</f>
        <v>0</v>
      </c>
      <c r="C29" s="62" t="n">
        <f aca="false">IF(SUMPRODUCT(ABS('LCIA (Annex 1)'!D21:D31))=0,0,('LCIA (Annex 1)'!D25)/SUMPRODUCT(ABS('LCIA (Annex 1)'!D21:D31)))</f>
        <v>0</v>
      </c>
      <c r="D29" s="62" t="n">
        <f aca="false">IF(SUMPRODUCT(ABS('LCIA (Annex 1)'!D36:D46))=0,0,('LCIA (Annex 1)'!D40)/SUMPRODUCT(ABS('LCIA (Annex 1)'!D36:D46)))</f>
        <v>0</v>
      </c>
      <c r="E29" s="62" t="n">
        <f aca="false">IF(SUMPRODUCT(ABS('LCIA (Annex 1)'!D51:D61))=0,0,('LCIA (Annex 1)'!D55)/SUMPRODUCT(ABS('LCIA (Annex 1)'!D51:D61)))</f>
        <v>0</v>
      </c>
      <c r="F29" s="62" t="n">
        <f aca="false">IF(SUMPRODUCT(ABS('LCIA (Annex 1)'!D66:D76))=0,0,('LCIA (Annex 1)'!D70)/SUMPRODUCT(ABS('LCIA (Annex 1)'!D66:D76)))</f>
        <v>-0.25</v>
      </c>
      <c r="G29" s="62" t="n">
        <f aca="false">IF(SUMPRODUCT(ABS('LCIA (Annex 1)'!D81:D91))=0,0,('LCIA (Annex 1)'!D85)/SUMPRODUCT(ABS('LCIA (Annex 1)'!D81:D91)))</f>
        <v>0</v>
      </c>
      <c r="H29" s="62" t="n">
        <f aca="false">IF(SUMPRODUCT(ABS('LCIA (Annex 1)'!D96:D106))=0,0,('LCIA (Annex 1)'!D100)/SUMPRODUCT(ABS('LCIA (Annex 1)'!D96:D106)))</f>
        <v>0</v>
      </c>
    </row>
    <row r="30" customFormat="false" ht="15" hidden="false" customHeight="false" outlineLevel="0" collapsed="false">
      <c r="A30" s="33" t="s">
        <v>313</v>
      </c>
      <c r="B30" s="62" t="n">
        <f aca="false">IF(SUMPRODUCT(ABS('LCIA (Annex 1)'!D6:D16))=0,0,('LCIA (Annex 1)'!D7)/SUMPRODUCT(ABS('LCIA (Annex 1)'!D6:D16)))</f>
        <v>0.00478468899521531</v>
      </c>
      <c r="C30" s="62" t="n">
        <f aca="false">IF(SUMPRODUCT(ABS('LCIA (Annex 1)'!D21:D31))=0,0,('LCIA (Annex 1)'!D22)/SUMPRODUCT(ABS('LCIA (Annex 1)'!D21:D31)))</f>
        <v>0.00429386814682935</v>
      </c>
      <c r="D30" s="62" t="n">
        <f aca="false">IF(SUMPRODUCT(ABS('LCIA (Annex 1)'!D36:D46))=0,0,('LCIA (Annex 1)'!D37)/SUMPRODUCT(ABS('LCIA (Annex 1)'!D36:D46)))</f>
        <v>0</v>
      </c>
      <c r="E30" s="62" t="n">
        <f aca="false">IF(SUMPRODUCT(ABS('LCIA (Annex 1)'!D51:D61))=0,0,('LCIA (Annex 1)'!D52)/SUMPRODUCT(ABS('LCIA (Annex 1)'!D51:D61)))</f>
        <v>0</v>
      </c>
      <c r="F30" s="62" t="n">
        <f aca="false">IF(SUMPRODUCT(ABS('LCIA (Annex 1)'!D66:D76))=0,0,('LCIA (Annex 1)'!D67)/SUMPRODUCT(ABS('LCIA (Annex 1)'!D66:D76)))</f>
        <v>0</v>
      </c>
      <c r="G30" s="62" t="n">
        <f aca="false">IF(SUMPRODUCT(ABS('LCIA (Annex 1)'!D81:D91))=0,0,('LCIA (Annex 1)'!D82)/SUMPRODUCT(ABS('LCIA (Annex 1)'!D81:D91)))</f>
        <v>0</v>
      </c>
      <c r="H30" s="62" t="n">
        <f aca="false">IF(SUMPRODUCT(ABS('LCIA (Annex 1)'!D96:D106))=0,0,('LCIA (Annex 1)'!D97)/SUMPRODUCT(ABS('LCIA (Annex 1)'!D96:D106)))</f>
        <v>0</v>
      </c>
    </row>
    <row r="31" customFormat="false" ht="15" hidden="false" customHeight="false" outlineLevel="0" collapsed="false">
      <c r="A31" s="33" t="s">
        <v>321</v>
      </c>
      <c r="B31" s="62" t="n">
        <f aca="false">IF(SUMPRODUCT(ABS('LCIA (Annex 1)'!D6:D16))=0,0,('LCIA (Annex 1)'!D15)/SUMPRODUCT(ABS('LCIA (Annex 1)'!D6:D16)))</f>
        <v>0.165869218500797</v>
      </c>
      <c r="C31" s="62" t="n">
        <f aca="false">IF(SUMPRODUCT(ABS('LCIA (Annex 1)'!D21:D31))=0,0,('LCIA (Annex 1)'!D30)/SUMPRODUCT(ABS('LCIA (Annex 1)'!D21:D31)))</f>
        <v>0.183117767188564</v>
      </c>
      <c r="D31" s="62" t="n">
        <f aca="false">IF(SUMPRODUCT(ABS('LCIA (Annex 1)'!D36:D46))=0,0,('LCIA (Annex 1)'!D45)/SUMPRODUCT(ABS('LCIA (Annex 1)'!D36:D46)))</f>
        <v>0</v>
      </c>
      <c r="E31" s="62" t="n">
        <f aca="false">IF(SUMPRODUCT(ABS('LCIA (Annex 1)'!D51:D61))=0,0,('LCIA (Annex 1)'!D60)/SUMPRODUCT(ABS('LCIA (Annex 1)'!D51:D61)))</f>
        <v>0.2</v>
      </c>
      <c r="F31" s="62" t="n">
        <f aca="false">IF(SUMPRODUCT(ABS('LCIA (Annex 1)'!D66:D76))=0,0,('LCIA (Annex 1)'!D75)/SUMPRODUCT(ABS('LCIA (Annex 1)'!D66:D76)))</f>
        <v>0</v>
      </c>
      <c r="G31" s="62" t="n">
        <f aca="false">IF(SUMPRODUCT(ABS('LCIA (Annex 1)'!D81:D91))=0,0,('LCIA (Annex 1)'!D90)/SUMPRODUCT(ABS('LCIA (Annex 1)'!D81:D91)))</f>
        <v>0.000614250614250614</v>
      </c>
      <c r="H31" s="62" t="n">
        <f aca="false">IF(SUMPRODUCT(ABS('LCIA (Annex 1)'!D96:D106))=0,0,('LCIA (Annex 1)'!D105)/SUMPRODUCT(ABS('LCIA (Annex 1)'!D96:D106)))</f>
        <v>1.72872800193618E-005</v>
      </c>
    </row>
    <row r="32" customFormat="false" ht="15" hidden="false" customHeight="false" outlineLevel="0" collapsed="false">
      <c r="A32" s="33" t="s">
        <v>318</v>
      </c>
      <c r="B32" s="62" t="n">
        <f aca="false">IF(SUMPRODUCT(ABS('LCIA (Annex 1)'!D6:D16))=0,0,('LCIA (Annex 1)'!D12)/SUMPRODUCT(ABS('LCIA (Annex 1)'!D6:D16)))</f>
        <v>0.181818181818182</v>
      </c>
      <c r="C32" s="62" t="n">
        <f aca="false">IF(SUMPRODUCT(ABS('LCIA (Annex 1)'!D21:D31))=0,0,('LCIA (Annex 1)'!D27)/SUMPRODUCT(ABS('LCIA (Annex 1)'!D21:D31)))</f>
        <v>0.327171807090119</v>
      </c>
      <c r="D32" s="62" t="n">
        <f aca="false">IF(SUMPRODUCT(ABS('LCIA (Annex 1)'!D36:D46))=0,0,('LCIA (Annex 1)'!D42)/SUMPRODUCT(ABS('LCIA (Annex 1)'!D36:D46)))</f>
        <v>0</v>
      </c>
      <c r="E32" s="62" t="n">
        <f aca="false">IF(SUMPRODUCT(ABS('LCIA (Annex 1)'!D51:D61))=0,0,('LCIA (Annex 1)'!D57)/SUMPRODUCT(ABS('LCIA (Annex 1)'!D51:D61)))</f>
        <v>0.2</v>
      </c>
      <c r="F32" s="62" t="n">
        <f aca="false">IF(SUMPRODUCT(ABS('LCIA (Annex 1)'!D66:D76))=0,0,('LCIA (Annex 1)'!D72)/SUMPRODUCT(ABS('LCIA (Annex 1)'!D66:D76)))</f>
        <v>0</v>
      </c>
      <c r="G32" s="62" t="n">
        <f aca="false">IF(SUMPRODUCT(ABS('LCIA (Annex 1)'!D81:D91))=0,0,('LCIA (Annex 1)'!D87)/SUMPRODUCT(ABS('LCIA (Annex 1)'!D81:D91)))</f>
        <v>0</v>
      </c>
      <c r="H32" s="62" t="n">
        <f aca="false">IF(SUMPRODUCT(ABS('LCIA (Annex 1)'!D96:D106))=0,0,('LCIA (Annex 1)'!D102)/SUMPRODUCT(ABS('LCIA (Annex 1)'!D96:D106)))</f>
        <v>4.32182000484044E-005</v>
      </c>
    </row>
    <row r="33" customFormat="false" ht="15" hidden="false" customHeight="false" outlineLevel="0" collapsed="false">
      <c r="A33" s="33" t="s">
        <v>347</v>
      </c>
      <c r="B33" s="62" t="n">
        <f aca="false">IF(SUMPRODUCT(ABS('LCIA (Annex 1)'!D6:D16))=0,0,('LCIA (Annex 1)'!D16)/SUMPRODUCT(ABS('LCIA (Annex 1)'!D6:D16)))</f>
        <v>0</v>
      </c>
      <c r="C33" s="62" t="n">
        <f aca="false">IF(SUMPRODUCT(ABS('LCIA (Annex 1)'!D21:D31))=0,0,('LCIA (Annex 1)'!D31)/SUMPRODUCT(ABS('LCIA (Annex 1)'!D21:D31)))</f>
        <v>0</v>
      </c>
      <c r="D33" s="62" t="n">
        <f aca="false">IF(SUMPRODUCT(ABS('LCIA (Annex 1)'!D36:D46))=0,0,('LCIA (Annex 1)'!D46)/SUMPRODUCT(ABS('LCIA (Annex 1)'!D36:D46)))</f>
        <v>0</v>
      </c>
      <c r="E33" s="62" t="n">
        <f aca="false">IF(SUMPRODUCT(ABS('LCIA (Annex 1)'!D51:D61))=0,0,('LCIA (Annex 1)'!D61)/SUMPRODUCT(ABS('LCIA (Annex 1)'!D51:D61)))</f>
        <v>0</v>
      </c>
      <c r="F33" s="62" t="n">
        <f aca="false">IF(SUMPRODUCT(ABS('LCIA (Annex 1)'!D66:D76))=0,0,('LCIA (Annex 1)'!D76)/SUMPRODUCT(ABS('LCIA (Annex 1)'!D66:D76)))</f>
        <v>0</v>
      </c>
      <c r="G33" s="62" t="n">
        <f aca="false">IF(SUMPRODUCT(ABS('LCIA (Annex 1)'!D81:D91))=0,0,('LCIA (Annex 1)'!D91)/SUMPRODUCT(ABS('LCIA (Annex 1)'!D81:D91)))</f>
        <v>0.858722358722359</v>
      </c>
      <c r="H33" s="62" t="n">
        <f aca="false">IF(SUMPRODUCT(ABS('LCIA (Annex 1)'!D96:D106))=0,0,('LCIA (Annex 1)'!D106)/SUMPRODUCT(ABS('LCIA (Annex 1)'!D96:D106)))</f>
        <v>0.607621961760537</v>
      </c>
    </row>
    <row r="34" customFormat="false" ht="15" hidden="false" customHeight="false" outlineLevel="0" collapsed="false">
      <c r="A34" s="33" t="s">
        <v>314</v>
      </c>
      <c r="B34" s="62" t="n">
        <f aca="false">IF(SUMPRODUCT(ABS('LCIA (Annex 1)'!D6:D16))=0,0,('LCIA (Annex 1)'!D8)/SUMPRODUCT(ABS('LCIA (Annex 1)'!D6:D16)))</f>
        <v>0</v>
      </c>
      <c r="C34" s="62" t="n">
        <f aca="false">IF(SUMPRODUCT(ABS('LCIA (Annex 1)'!D21:D31))=0,0,('LCIA (Annex 1)'!D23)/SUMPRODUCT(ABS('LCIA (Annex 1)'!D21:D31)))</f>
        <v>0</v>
      </c>
      <c r="D34" s="62" t="n">
        <f aca="false">IF(SUMPRODUCT(ABS('LCIA (Annex 1)'!D36:D46))=0,0,('LCIA (Annex 1)'!D38)/SUMPRODUCT(ABS('LCIA (Annex 1)'!D36:D46)))</f>
        <v>0</v>
      </c>
      <c r="E34" s="62" t="n">
        <f aca="false">IF(SUMPRODUCT(ABS('LCIA (Annex 1)'!D51:D61))=0,0,('LCIA (Annex 1)'!D53)/SUMPRODUCT(ABS('LCIA (Annex 1)'!D51:D61)))</f>
        <v>0</v>
      </c>
      <c r="F34" s="62" t="n">
        <f aca="false">IF(SUMPRODUCT(ABS('LCIA (Annex 1)'!D66:D76))=0,0,('LCIA (Annex 1)'!D68)/SUMPRODUCT(ABS('LCIA (Annex 1)'!D66:D76)))</f>
        <v>0</v>
      </c>
      <c r="G34" s="62" t="n">
        <f aca="false">IF(SUMPRODUCT(ABS('LCIA (Annex 1)'!D81:D91))=0,0,('LCIA (Annex 1)'!D83)/SUMPRODUCT(ABS('LCIA (Annex 1)'!D81:D91)))</f>
        <v>0</v>
      </c>
      <c r="H34" s="62" t="n">
        <f aca="false">IF(SUMPRODUCT(ABS('LCIA (Annex 1)'!D96:D106))=0,0,('LCIA (Annex 1)'!D98)/SUMPRODUCT(ABS('LCIA (Annex 1)'!D96:D106)))</f>
        <v>0.391323514158282</v>
      </c>
    </row>
    <row r="35" customFormat="false" ht="15" hidden="false" customHeight="false" outlineLevel="0" collapsed="false">
      <c r="A35" s="33" t="s">
        <v>348</v>
      </c>
      <c r="B35" s="62" t="n">
        <f aca="false">IF(SUMPRODUCT(ABS('LCIA (Annex 1)'!D6:D16))=0,0,('LCIA (Annex 1)'!D6+'LCIA (Annex 1)'!D9+'LCIA (Annex 1)'!D11+'LCIA (Annex 1)'!D13)/SUMPRODUCT(ABS('LCIA (Annex 1)'!D6:D16)))</f>
        <v>0.0629984051036683</v>
      </c>
      <c r="C35" s="62" t="n">
        <f aca="false">IF(SUMPRODUCT(ABS('LCIA (Annex 1)'!D21:D31))=0,0,('LCIA (Annex 1)'!D21+'LCIA (Annex 1)'!D24+'LCIA (Annex 1)'!D26+'LCIA (Annex 1)'!D28)/SUMPRODUCT(ABS('LCIA (Annex 1)'!D21:D31)))</f>
        <v>0.0717390165994659</v>
      </c>
      <c r="D35" s="62" t="n">
        <f aca="false">IF(SUMPRODUCT(ABS('LCIA (Annex 1)'!D36:D46))=0,0,('LCIA (Annex 1)'!D36+'LCIA (Annex 1)'!D39+'LCIA (Annex 1)'!D41+'LCIA (Annex 1)'!D43)/SUMPRODUCT(ABS('LCIA (Annex 1)'!D36:D46)))</f>
        <v>0.00840527033166742</v>
      </c>
      <c r="E35" s="62" t="n">
        <f aca="false">IF(SUMPRODUCT(ABS('LCIA (Annex 1)'!D51:D61))=0,0,('LCIA (Annex 1)'!D51+'LCIA (Annex 1)'!D54+'LCIA (Annex 1)'!D56+'LCIA (Annex 1)'!D58)/SUMPRODUCT(ABS('LCIA (Annex 1)'!D51:D61)))</f>
        <v>0</v>
      </c>
      <c r="F35" s="62" t="n">
        <f aca="false">IF(SUMPRODUCT(ABS('LCIA (Annex 1)'!D66:D76))=0,0,('LCIA (Annex 1)'!D66+'LCIA (Annex 1)'!D69+'LCIA (Annex 1)'!D71+'LCIA (Annex 1)'!D73)/SUMPRODUCT(ABS('LCIA (Annex 1)'!D66:D76)))</f>
        <v>0</v>
      </c>
      <c r="G35" s="62" t="n">
        <f aca="false">IF(SUMPRODUCT(ABS('LCIA (Annex 1)'!D81:D91))=0,0,('LCIA (Annex 1)'!D81+'LCIA (Annex 1)'!D84+'LCIA (Annex 1)'!D86+'LCIA (Annex 1)'!D88)/SUMPRODUCT(ABS('LCIA (Annex 1)'!D81:D91)))</f>
        <v>0.00552825552825553</v>
      </c>
      <c r="H35" s="62" t="n">
        <f aca="false">IF(SUMPRODUCT(ABS('LCIA (Annex 1)'!D96:D106))=0,0,('LCIA (Annex 1)'!D96+'LCIA (Annex 1)'!D99+'LCIA (Annex 1)'!D101+'LCIA (Annex 1)'!D103)/SUMPRODUCT(ABS('LCIA (Annex 1)'!D96:D106)))</f>
        <v>0.000873007640977769</v>
      </c>
    </row>
    <row r="45" customFormat="false" ht="15" hidden="false" customHeight="false" outlineLevel="0" collapsed="false">
      <c r="A45" s="64" t="s">
        <v>19</v>
      </c>
    </row>
    <row r="46" customFormat="false" ht="15" hidden="false" customHeight="false" outlineLevel="0" collapsed="false">
      <c r="A46" s="8" t="s">
        <v>338</v>
      </c>
      <c r="B46" s="8" t="s">
        <v>339</v>
      </c>
      <c r="C46" s="8" t="s">
        <v>340</v>
      </c>
      <c r="D46" s="8" t="s">
        <v>341</v>
      </c>
      <c r="E46" s="8" t="s">
        <v>342</v>
      </c>
      <c r="F46" s="8" t="s">
        <v>343</v>
      </c>
      <c r="G46" s="8" t="s">
        <v>344</v>
      </c>
      <c r="H46" s="8" t="s">
        <v>345</v>
      </c>
    </row>
    <row r="47" customFormat="false" ht="15" hidden="false" customHeight="false" outlineLevel="0" collapsed="false">
      <c r="A47" s="33" t="s">
        <v>320</v>
      </c>
      <c r="B47" s="62" t="n">
        <f aca="false">IF(SUMPRODUCT(ABS('LCIA (Annex 1)'!E6:E16))=0,0,('LCIA (Annex 1)'!E14)/SUMPRODUCT(ABS('LCIA (Annex 1)'!E6:E16)))</f>
        <v>0.660670194003527</v>
      </c>
      <c r="C47" s="62" t="n">
        <f aca="false">IF(SUMPRODUCT(ABS('LCIA (Annex 1)'!E21:E31))=0,0,('LCIA (Annex 1)'!E29)/SUMPRODUCT(ABS('LCIA (Annex 1)'!E21:E31)))</f>
        <v>0.252109672963152</v>
      </c>
      <c r="D47" s="62" t="n">
        <f aca="false">IF(SUMPRODUCT(ABS('LCIA (Annex 1)'!E36:E46))=0,0,('LCIA (Annex 1)'!E44)/SUMPRODUCT(ABS('LCIA (Annex 1)'!E36:E46)))</f>
        <v>0.999919080757404</v>
      </c>
      <c r="E47" s="62" t="n">
        <f aca="false">IF(SUMPRODUCT(ABS('LCIA (Annex 1)'!E51:E61))=0,0,('LCIA (Annex 1)'!E59)/SUMPRODUCT(ABS('LCIA (Annex 1)'!E51:E61)))</f>
        <v>0.227272727272727</v>
      </c>
      <c r="F47" s="62" t="n">
        <f aca="false">IF(SUMPRODUCT(ABS('LCIA (Annex 1)'!E66:E76))=0,0,('LCIA (Annex 1)'!E74)/SUMPRODUCT(ABS('LCIA (Annex 1)'!E66:E76)))</f>
        <v>0.133333333333333</v>
      </c>
      <c r="G47" s="62" t="n">
        <f aca="false">IF(SUMPRODUCT(ABS('LCIA (Annex 1)'!E81:E91))=0,0,('LCIA (Annex 1)'!E89)/SUMPRODUCT(ABS('LCIA (Annex 1)'!E81:E91)))</f>
        <v>0.798064787547329</v>
      </c>
      <c r="H47" s="62" t="n">
        <f aca="false">IF(SUMPRODUCT(ABS('LCIA (Annex 1)'!E96:E106))=0,0,('LCIA (Annex 1)'!E104)/SUMPRODUCT(ABS('LCIA (Annex 1)'!E96:E106)))</f>
        <v>0.00011195871776734</v>
      </c>
    </row>
    <row r="48" customFormat="false" ht="15" hidden="false" customHeight="false" outlineLevel="0" collapsed="false">
      <c r="A48" s="33" t="s">
        <v>346</v>
      </c>
      <c r="B48" s="62" t="n">
        <f aca="false">IF(SUMPRODUCT(ABS('LCIA (Annex 1)'!E6:E16))=0,0,('LCIA (Annex 1)'!E10)/SUMPRODUCT(ABS('LCIA (Annex 1)'!E6:E16)))</f>
        <v>0</v>
      </c>
      <c r="C48" s="62" t="n">
        <f aca="false">IF(SUMPRODUCT(ABS('LCIA (Annex 1)'!E21:E31))=0,0,('LCIA (Annex 1)'!E25)/SUMPRODUCT(ABS('LCIA (Annex 1)'!E21:E31)))</f>
        <v>0</v>
      </c>
      <c r="D48" s="62" t="n">
        <f aca="false">IF(SUMPRODUCT(ABS('LCIA (Annex 1)'!E36:E46))=0,0,('LCIA (Annex 1)'!E40)/SUMPRODUCT(ABS('LCIA (Annex 1)'!E36:E46)))</f>
        <v>0</v>
      </c>
      <c r="E48" s="62" t="n">
        <f aca="false">IF(SUMPRODUCT(ABS('LCIA (Annex 1)'!E51:E61))=0,0,('LCIA (Annex 1)'!E55)/SUMPRODUCT(ABS('LCIA (Annex 1)'!E51:E61)))</f>
        <v>0.659090909090909</v>
      </c>
      <c r="F48" s="62" t="n">
        <f aca="false">IF(SUMPRODUCT(ABS('LCIA (Annex 1)'!E66:E76))=0,0,('LCIA (Annex 1)'!E70)/SUMPRODUCT(ABS('LCIA (Annex 1)'!E66:E76)))</f>
        <v>0.85</v>
      </c>
      <c r="G48" s="62" t="n">
        <f aca="false">IF(SUMPRODUCT(ABS('LCIA (Annex 1)'!E81:E91))=0,0,('LCIA (Annex 1)'!E85)/SUMPRODUCT(ABS('LCIA (Annex 1)'!E81:E91)))</f>
        <v>0</v>
      </c>
      <c r="H48" s="62" t="n">
        <f aca="false">IF(SUMPRODUCT(ABS('LCIA (Annex 1)'!E96:E106))=0,0,('LCIA (Annex 1)'!E100)/SUMPRODUCT(ABS('LCIA (Annex 1)'!E96:E106)))</f>
        <v>0</v>
      </c>
    </row>
    <row r="49" customFormat="false" ht="15" hidden="false" customHeight="false" outlineLevel="0" collapsed="false">
      <c r="A49" s="33" t="s">
        <v>313</v>
      </c>
      <c r="B49" s="62" t="n">
        <f aca="false">IF(SUMPRODUCT(ABS('LCIA (Annex 1)'!E6:E16))=0,0,('LCIA (Annex 1)'!E7)/SUMPRODUCT(ABS('LCIA (Annex 1)'!E6:E16)))</f>
        <v>0.167195767195767</v>
      </c>
      <c r="C49" s="62" t="n">
        <f aca="false">IF(SUMPRODUCT(ABS('LCIA (Annex 1)'!E21:E31))=0,0,('LCIA (Annex 1)'!E22)/SUMPRODUCT(ABS('LCIA (Annex 1)'!E21:E31)))</f>
        <v>0.65791765518484</v>
      </c>
      <c r="D49" s="62" t="n">
        <f aca="false">IF(SUMPRODUCT(ABS('LCIA (Annex 1)'!E36:E46))=0,0,('LCIA (Annex 1)'!E37)/SUMPRODUCT(ABS('LCIA (Annex 1)'!E36:E46)))</f>
        <v>0</v>
      </c>
      <c r="E49" s="62" t="n">
        <f aca="false">IF(SUMPRODUCT(ABS('LCIA (Annex 1)'!E51:E61))=0,0,('LCIA (Annex 1)'!E52)/SUMPRODUCT(ABS('LCIA (Annex 1)'!E51:E61)))</f>
        <v>0.0681818181818182</v>
      </c>
      <c r="F49" s="62" t="n">
        <f aca="false">IF(SUMPRODUCT(ABS('LCIA (Annex 1)'!E66:E76))=0,0,('LCIA (Annex 1)'!E67)/SUMPRODUCT(ABS('LCIA (Annex 1)'!E66:E76)))</f>
        <v>0.0166666666666667</v>
      </c>
      <c r="G49" s="62" t="n">
        <f aca="false">IF(SUMPRODUCT(ABS('LCIA (Annex 1)'!E81:E91))=0,0,('LCIA (Annex 1)'!E82)/SUMPRODUCT(ABS('LCIA (Annex 1)'!E81:E91)))</f>
        <v>0.00504838031131679</v>
      </c>
      <c r="H49" s="62" t="n">
        <f aca="false">IF(SUMPRODUCT(ABS('LCIA (Annex 1)'!E96:E106))=0,0,('LCIA (Annex 1)'!E97)/SUMPRODUCT(ABS('LCIA (Annex 1)'!E96:E106)))</f>
        <v>0.00013740388089628</v>
      </c>
    </row>
    <row r="50" customFormat="false" ht="15" hidden="false" customHeight="false" outlineLevel="0" collapsed="false">
      <c r="A50" s="33" t="s">
        <v>321</v>
      </c>
      <c r="B50" s="62" t="n">
        <f aca="false">IF(SUMPRODUCT(ABS('LCIA (Annex 1)'!E6:E16))=0,0,('LCIA (Annex 1)'!E15)/SUMPRODUCT(ABS('LCIA (Annex 1)'!E6:E16)))</f>
        <v>0.1336860670194</v>
      </c>
      <c r="C50" s="62" t="n">
        <f aca="false">IF(SUMPRODUCT(ABS('LCIA (Annex 1)'!E21:E31))=0,0,('LCIA (Annex 1)'!E30)/SUMPRODUCT(ABS('LCIA (Annex 1)'!E21:E31)))</f>
        <v>0.0641560807631861</v>
      </c>
      <c r="D50" s="62" t="n">
        <f aca="false">IF(SUMPRODUCT(ABS('LCIA (Annex 1)'!E36:E46))=0,0,('LCIA (Annex 1)'!E45)/SUMPRODUCT(ABS('LCIA (Annex 1)'!E36:E46)))</f>
        <v>0</v>
      </c>
      <c r="E50" s="62" t="n">
        <f aca="false">IF(SUMPRODUCT(ABS('LCIA (Annex 1)'!E51:E61))=0,0,('LCIA (Annex 1)'!E60)/SUMPRODUCT(ABS('LCIA (Annex 1)'!E51:E61)))</f>
        <v>0.0454545454545455</v>
      </c>
      <c r="F50" s="62" t="n">
        <f aca="false">IF(SUMPRODUCT(ABS('LCIA (Annex 1)'!E66:E76))=0,0,('LCIA (Annex 1)'!E75)/SUMPRODUCT(ABS('LCIA (Annex 1)'!E66:E76)))</f>
        <v>0</v>
      </c>
      <c r="G50" s="62" t="n">
        <f aca="false">IF(SUMPRODUCT(ABS('LCIA (Annex 1)'!E81:E91))=0,0,('LCIA (Annex 1)'!E90)/SUMPRODUCT(ABS('LCIA (Annex 1)'!E81:E91)))</f>
        <v>0.00210349179638199</v>
      </c>
      <c r="H50" s="62" t="n">
        <f aca="false">IF(SUMPRODUCT(ABS('LCIA (Annex 1)'!E96:E106))=0,0,('LCIA (Annex 1)'!E105)/SUMPRODUCT(ABS('LCIA (Annex 1)'!E96:E106)))</f>
        <v>7.63354893868225E-006</v>
      </c>
    </row>
    <row r="51" customFormat="false" ht="15" hidden="false" customHeight="false" outlineLevel="0" collapsed="false">
      <c r="A51" s="33" t="s">
        <v>318</v>
      </c>
      <c r="B51" s="62" t="n">
        <f aca="false">IF(SUMPRODUCT(ABS('LCIA (Annex 1)'!E6:E16))=0,0,('LCIA (Annex 1)'!E12)/SUMPRODUCT(ABS('LCIA (Annex 1)'!E6:E16)))</f>
        <v>0.00529100529100529</v>
      </c>
      <c r="C51" s="62" t="n">
        <f aca="false">IF(SUMPRODUCT(ABS('LCIA (Annex 1)'!E21:E31))=0,0,('LCIA (Annex 1)'!E27)/SUMPRODUCT(ABS('LCIA (Annex 1)'!E21:E31)))</f>
        <v>0.00555572239406589</v>
      </c>
      <c r="D51" s="62" t="n">
        <f aca="false">IF(SUMPRODUCT(ABS('LCIA (Annex 1)'!E36:E46))=0,0,('LCIA (Annex 1)'!E42)/SUMPRODUCT(ABS('LCIA (Annex 1)'!E36:E46)))</f>
        <v>0</v>
      </c>
      <c r="E51" s="62" t="n">
        <f aca="false">IF(SUMPRODUCT(ABS('LCIA (Annex 1)'!E51:E61))=0,0,('LCIA (Annex 1)'!E57)/SUMPRODUCT(ABS('LCIA (Annex 1)'!E51:E61)))</f>
        <v>0</v>
      </c>
      <c r="F51" s="62" t="n">
        <f aca="false">IF(SUMPRODUCT(ABS('LCIA (Annex 1)'!E66:E76))=0,0,('LCIA (Annex 1)'!E72)/SUMPRODUCT(ABS('LCIA (Annex 1)'!E66:E76)))</f>
        <v>0</v>
      </c>
      <c r="G51" s="62" t="n">
        <f aca="false">IF(SUMPRODUCT(ABS('LCIA (Annex 1)'!E81:E91))=0,0,('LCIA (Annex 1)'!E87)/SUMPRODUCT(ABS('LCIA (Annex 1)'!E81:E91)))</f>
        <v>0</v>
      </c>
      <c r="H51" s="62" t="n">
        <f aca="false">IF(SUMPRODUCT(ABS('LCIA (Annex 1)'!E96:E106))=0,0,('LCIA (Annex 1)'!E102)/SUMPRODUCT(ABS('LCIA (Annex 1)'!E96:E106)))</f>
        <v>0</v>
      </c>
    </row>
    <row r="52" customFormat="false" ht="15" hidden="false" customHeight="false" outlineLevel="0" collapsed="false">
      <c r="A52" s="33" t="s">
        <v>347</v>
      </c>
      <c r="B52" s="62" t="n">
        <f aca="false">IF(SUMPRODUCT(ABS('LCIA (Annex 1)'!E6:E16))=0,0,('LCIA (Annex 1)'!E16)/SUMPRODUCT(ABS('LCIA (Annex 1)'!E6:E16)))</f>
        <v>0</v>
      </c>
      <c r="C52" s="62" t="n">
        <f aca="false">IF(SUMPRODUCT(ABS('LCIA (Annex 1)'!E21:E31))=0,0,('LCIA (Annex 1)'!E31)/SUMPRODUCT(ABS('LCIA (Annex 1)'!E21:E31)))</f>
        <v>0</v>
      </c>
      <c r="D52" s="62" t="n">
        <f aca="false">IF(SUMPRODUCT(ABS('LCIA (Annex 1)'!E36:E46))=0,0,('LCIA (Annex 1)'!E46)/SUMPRODUCT(ABS('LCIA (Annex 1)'!E36:E46)))</f>
        <v>0</v>
      </c>
      <c r="E52" s="62" t="n">
        <f aca="false">IF(SUMPRODUCT(ABS('LCIA (Annex 1)'!E51:E61))=0,0,('LCIA (Annex 1)'!E61)/SUMPRODUCT(ABS('LCIA (Annex 1)'!E51:E61)))</f>
        <v>0</v>
      </c>
      <c r="F52" s="62" t="n">
        <f aca="false">IF(SUMPRODUCT(ABS('LCIA (Annex 1)'!E66:E76))=0,0,('LCIA (Annex 1)'!E76)/SUMPRODUCT(ABS('LCIA (Annex 1)'!E66:E76)))</f>
        <v>0</v>
      </c>
      <c r="G52" s="62" t="n">
        <f aca="false">IF(SUMPRODUCT(ABS('LCIA (Annex 1)'!E81:E91))=0,0,('LCIA (Annex 1)'!E91)/SUMPRODUCT(ABS('LCIA (Annex 1)'!E81:E91)))</f>
        <v>0.193521245267143</v>
      </c>
      <c r="H52" s="62" t="n">
        <f aca="false">IF(SUMPRODUCT(ABS('LCIA (Annex 1)'!E96:E106))=0,0,('LCIA (Annex 1)'!E106)/SUMPRODUCT(ABS('LCIA (Annex 1)'!E96:E106)))</f>
        <v>0.501440196233098</v>
      </c>
    </row>
    <row r="53" customFormat="false" ht="15" hidden="false" customHeight="false" outlineLevel="0" collapsed="false">
      <c r="A53" s="33" t="s">
        <v>314</v>
      </c>
      <c r="B53" s="62" t="n">
        <f aca="false">IF(SUMPRODUCT(ABS('LCIA (Annex 1)'!E6:E16))=0,0,('LCIA (Annex 1)'!E8)/SUMPRODUCT(ABS('LCIA (Annex 1)'!E6:E16)))</f>
        <v>0</v>
      </c>
      <c r="C53" s="62" t="n">
        <f aca="false">IF(SUMPRODUCT(ABS('LCIA (Annex 1)'!E21:E31))=0,0,('LCIA (Annex 1)'!E23)/SUMPRODUCT(ABS('LCIA (Annex 1)'!E21:E31)))</f>
        <v>0</v>
      </c>
      <c r="D53" s="62" t="n">
        <f aca="false">IF(SUMPRODUCT(ABS('LCIA (Annex 1)'!E36:E46))=0,0,('LCIA (Annex 1)'!E38)/SUMPRODUCT(ABS('LCIA (Annex 1)'!E36:E46)))</f>
        <v>0</v>
      </c>
      <c r="E53" s="62" t="n">
        <f aca="false">IF(SUMPRODUCT(ABS('LCIA (Annex 1)'!E51:E61))=0,0,('LCIA (Annex 1)'!E53)/SUMPRODUCT(ABS('LCIA (Annex 1)'!E51:E61)))</f>
        <v>0</v>
      </c>
      <c r="F53" s="62" t="n">
        <f aca="false">IF(SUMPRODUCT(ABS('LCIA (Annex 1)'!E66:E76))=0,0,('LCIA (Annex 1)'!E68)/SUMPRODUCT(ABS('LCIA (Annex 1)'!E66:E76)))</f>
        <v>0</v>
      </c>
      <c r="G53" s="62" t="n">
        <f aca="false">IF(SUMPRODUCT(ABS('LCIA (Annex 1)'!E81:E91))=0,0,('LCIA (Annex 1)'!E83)/SUMPRODUCT(ABS('LCIA (Annex 1)'!E81:E91)))</f>
        <v>0</v>
      </c>
      <c r="H53" s="62" t="n">
        <f aca="false">IF(SUMPRODUCT(ABS('LCIA (Annex 1)'!E96:E106))=0,0,('LCIA (Annex 1)'!E98)/SUMPRODUCT(ABS('LCIA (Annex 1)'!E96:E106)))</f>
        <v>0.498290085037735</v>
      </c>
    </row>
    <row r="54" customFormat="false" ht="15" hidden="false" customHeight="false" outlineLevel="0" collapsed="false">
      <c r="A54" s="33" t="s">
        <v>348</v>
      </c>
      <c r="B54" s="62" t="n">
        <f aca="false">IF(SUMPRODUCT(ABS('LCIA (Annex 1)'!E6:E16))=0,0,('LCIA (Annex 1)'!E6+'LCIA (Annex 1)'!E9+'LCIA (Annex 1)'!E11+'LCIA (Annex 1)'!E13)/SUMPRODUCT(ABS('LCIA (Annex 1)'!E6:E16)))</f>
        <v>0.0331569664902998</v>
      </c>
      <c r="C54" s="62" t="n">
        <f aca="false">IF(SUMPRODUCT(ABS('LCIA (Annex 1)'!E21:E31))=0,0,('LCIA (Annex 1)'!E21+'LCIA (Annex 1)'!E24+'LCIA (Annex 1)'!E26+'LCIA (Annex 1)'!E28)/SUMPRODUCT(ABS('LCIA (Annex 1)'!E21:E31)))</f>
        <v>0.0202608686947556</v>
      </c>
      <c r="D54" s="62" t="n">
        <f aca="false">IF(SUMPRODUCT(ABS('LCIA (Annex 1)'!E36:E46))=0,0,('LCIA (Annex 1)'!E36+'LCIA (Annex 1)'!E39+'LCIA (Annex 1)'!E41+'LCIA (Annex 1)'!E43)/SUMPRODUCT(ABS('LCIA (Annex 1)'!E36:E46)))</f>
        <v>8.09192425958893E-005</v>
      </c>
      <c r="E54" s="62" t="n">
        <f aca="false">IF(SUMPRODUCT(ABS('LCIA (Annex 1)'!E51:E61))=0,0,('LCIA (Annex 1)'!E51+'LCIA (Annex 1)'!E54+'LCIA (Annex 1)'!E56+'LCIA (Annex 1)'!E58)/SUMPRODUCT(ABS('LCIA (Annex 1)'!E51:E61)))</f>
        <v>0</v>
      </c>
      <c r="F54" s="62" t="n">
        <f aca="false">IF(SUMPRODUCT(ABS('LCIA (Annex 1)'!E66:E76))=0,0,('LCIA (Annex 1)'!E66+'LCIA (Annex 1)'!E69+'LCIA (Annex 1)'!E71+'LCIA (Annex 1)'!E73)/SUMPRODUCT(ABS('LCIA (Annex 1)'!E66:E76)))</f>
        <v>0</v>
      </c>
      <c r="G54" s="62" t="n">
        <f aca="false">IF(SUMPRODUCT(ABS('LCIA (Annex 1)'!E81:E91))=0,0,('LCIA (Annex 1)'!E81+'LCIA (Annex 1)'!E84+'LCIA (Annex 1)'!E86+'LCIA (Annex 1)'!E88)/SUMPRODUCT(ABS('LCIA (Annex 1)'!E81:E91)))</f>
        <v>0.0012620950778292</v>
      </c>
      <c r="H54" s="62" t="n">
        <f aca="false">IF(SUMPRODUCT(ABS('LCIA (Annex 1)'!E96:E106))=0,0,('LCIA (Annex 1)'!E96+'LCIA (Annex 1)'!E99+'LCIA (Annex 1)'!E101+'LCIA (Annex 1)'!E103)/SUMPRODUCT(ABS('LCIA (Annex 1)'!E96:E106)))</f>
        <v>1.27225815644704E-005</v>
      </c>
    </row>
    <row r="64" customFormat="false" ht="15" hidden="false" customHeight="false" outlineLevel="0" collapsed="false">
      <c r="A64" s="41" t="s">
        <v>349</v>
      </c>
      <c r="B64" s="5"/>
      <c r="C64" s="5"/>
      <c r="D64" s="5"/>
      <c r="E64" s="5"/>
      <c r="F64" s="5"/>
      <c r="G64" s="5"/>
      <c r="H64" s="5"/>
    </row>
    <row r="66" customFormat="false" ht="15" hidden="false" customHeight="false" outlineLevel="0" collapsed="false">
      <c r="A66" s="31" t="s">
        <v>350</v>
      </c>
    </row>
    <row r="67" customFormat="false" ht="26.85" hidden="false" customHeight="false" outlineLevel="0" collapsed="false">
      <c r="A67" s="8" t="s">
        <v>338</v>
      </c>
      <c r="B67" s="8"/>
      <c r="C67" s="8" t="s">
        <v>11</v>
      </c>
      <c r="D67" s="8" t="s">
        <v>15</v>
      </c>
      <c r="E67" s="8" t="s">
        <v>19</v>
      </c>
    </row>
    <row r="68" customFormat="false" ht="15" hidden="false" customHeight="false" outlineLevel="0" collapsed="false">
      <c r="A68" s="33" t="s">
        <v>320</v>
      </c>
      <c r="C68" s="34" t="n">
        <f aca="false">'LCIA (Annex 1)'!C14</f>
        <v>1549</v>
      </c>
      <c r="D68" s="34" t="n">
        <f aca="false">'LCIA (Annex 1)'!D14</f>
        <v>733</v>
      </c>
      <c r="E68" s="34" t="n">
        <f aca="false">'LCIA (Annex 1)'!E14</f>
        <v>1873</v>
      </c>
    </row>
    <row r="69" customFormat="false" ht="15" hidden="false" customHeight="false" outlineLevel="0" collapsed="false">
      <c r="A69" s="33" t="s">
        <v>346</v>
      </c>
      <c r="C69" s="34" t="n">
        <f aca="false">'LCIA (Annex 1)'!C10</f>
        <v>0</v>
      </c>
      <c r="D69" s="34" t="n">
        <f aca="false">'LCIA (Annex 1)'!D10</f>
        <v>0</v>
      </c>
      <c r="E69" s="34" t="n">
        <f aca="false">'LCIA (Annex 1)'!E10</f>
        <v>0</v>
      </c>
    </row>
    <row r="70" customFormat="false" ht="15" hidden="false" customHeight="false" outlineLevel="0" collapsed="false">
      <c r="A70" s="33" t="s">
        <v>313</v>
      </c>
      <c r="C70" s="34" t="n">
        <f aca="false">'LCIA (Annex 1)'!C7</f>
        <v>330</v>
      </c>
      <c r="D70" s="34" t="n">
        <f aca="false">'LCIA (Annex 1)'!D7</f>
        <v>6</v>
      </c>
      <c r="E70" s="34" t="n">
        <f aca="false">'LCIA (Annex 1)'!E7</f>
        <v>474</v>
      </c>
    </row>
    <row r="71" customFormat="false" ht="15" hidden="false" customHeight="false" outlineLevel="0" collapsed="false">
      <c r="A71" s="33" t="s">
        <v>321</v>
      </c>
      <c r="C71" s="34" t="n">
        <f aca="false">'LCIA (Annex 1)'!C15</f>
        <v>325</v>
      </c>
      <c r="D71" s="34" t="n">
        <f aca="false">'LCIA (Annex 1)'!D15</f>
        <v>208</v>
      </c>
      <c r="E71" s="34" t="n">
        <f aca="false">'LCIA (Annex 1)'!E15</f>
        <v>379</v>
      </c>
    </row>
    <row r="72" customFormat="false" ht="15" hidden="false" customHeight="false" outlineLevel="0" collapsed="false">
      <c r="A72" s="33" t="s">
        <v>318</v>
      </c>
      <c r="C72" s="34" t="n">
        <f aca="false">'LCIA (Annex 1)'!C12</f>
        <v>386</v>
      </c>
      <c r="D72" s="34" t="n">
        <f aca="false">'LCIA (Annex 1)'!D12</f>
        <v>228</v>
      </c>
      <c r="E72" s="34" t="n">
        <f aca="false">'LCIA (Annex 1)'!E12</f>
        <v>15</v>
      </c>
    </row>
    <row r="73" customFormat="false" ht="15" hidden="false" customHeight="false" outlineLevel="0" collapsed="false">
      <c r="A73" s="33" t="s">
        <v>347</v>
      </c>
      <c r="C73" s="34" t="n">
        <f aca="false">'LCIA (Annex 1)'!C16</f>
        <v>0</v>
      </c>
      <c r="D73" s="34" t="n">
        <f aca="false">'LCIA (Annex 1)'!D16</f>
        <v>0</v>
      </c>
      <c r="E73" s="34" t="n">
        <f aca="false">'LCIA (Annex 1)'!E16</f>
        <v>0</v>
      </c>
    </row>
    <row r="74" customFormat="false" ht="15" hidden="false" customHeight="false" outlineLevel="0" collapsed="false">
      <c r="A74" s="33" t="s">
        <v>314</v>
      </c>
      <c r="C74" s="34" t="n">
        <f aca="false">'LCIA (Annex 1)'!C8</f>
        <v>0</v>
      </c>
      <c r="D74" s="34" t="n">
        <f aca="false">'LCIA (Annex 1)'!D8</f>
        <v>0</v>
      </c>
      <c r="E74" s="34" t="n">
        <f aca="false">'LCIA (Annex 1)'!E8</f>
        <v>0</v>
      </c>
    </row>
    <row r="75" customFormat="false" ht="15" hidden="false" customHeight="false" outlineLevel="0" collapsed="false">
      <c r="A75" s="33" t="s">
        <v>348</v>
      </c>
      <c r="C75" s="34" t="n">
        <f aca="false">'LCIA (Annex 1)'!C6+'LCIA (Annex 1)'!C9+'LCIA (Annex 1)'!C11+'LCIA (Annex 1)'!C13</f>
        <v>212</v>
      </c>
      <c r="D75" s="34" t="n">
        <f aca="false">'LCIA (Annex 1)'!D6+'LCIA (Annex 1)'!D9+'LCIA (Annex 1)'!D11+'LCIA (Annex 1)'!D13</f>
        <v>79</v>
      </c>
      <c r="E75" s="34" t="n">
        <f aca="false">'LCIA (Annex 1)'!E6+'LCIA (Annex 1)'!E9+'LCIA (Annex 1)'!E11+'LCIA (Annex 1)'!E13</f>
        <v>94</v>
      </c>
    </row>
    <row r="76" customFormat="false" ht="15" hidden="false" customHeight="false" outlineLevel="0" collapsed="false">
      <c r="A76" s="31" t="s">
        <v>324</v>
      </c>
      <c r="C76" s="65" t="n">
        <f aca="false">'LCIA (Annex 1)'!C18</f>
        <v>2801</v>
      </c>
      <c r="D76" s="65" t="n">
        <f aca="false">'LCIA (Annex 1)'!D18</f>
        <v>1255</v>
      </c>
      <c r="E76" s="65" t="n">
        <f aca="false">'LCIA (Annex 1)'!E18</f>
        <v>2836</v>
      </c>
    </row>
    <row r="85" customFormat="false" ht="15" hidden="false" customHeight="false" outlineLevel="0" collapsed="false">
      <c r="A85" s="31" t="s">
        <v>351</v>
      </c>
    </row>
    <row r="86" customFormat="false" ht="26.85" hidden="false" customHeight="false" outlineLevel="0" collapsed="false">
      <c r="A86" s="8" t="s">
        <v>338</v>
      </c>
      <c r="B86" s="8"/>
      <c r="C86" s="8" t="s">
        <v>11</v>
      </c>
      <c r="D86" s="8" t="s">
        <v>15</v>
      </c>
      <c r="E86" s="8" t="s">
        <v>19</v>
      </c>
    </row>
    <row r="87" customFormat="false" ht="15" hidden="false" customHeight="false" outlineLevel="0" collapsed="false">
      <c r="A87" s="33" t="s">
        <v>320</v>
      </c>
      <c r="C87" s="34" t="n">
        <f aca="false">'LCIA (Annex 1)'!C29</f>
        <v>21028</v>
      </c>
      <c r="D87" s="34" t="n">
        <f aca="false">'LCIA (Annex 1)'!D29</f>
        <v>7900</v>
      </c>
      <c r="E87" s="34" t="n">
        <f aca="false">'LCIA (Annex 1)'!E29</f>
        <v>25185</v>
      </c>
    </row>
    <row r="88" customFormat="false" ht="15" hidden="false" customHeight="false" outlineLevel="0" collapsed="false">
      <c r="A88" s="33" t="s">
        <v>346</v>
      </c>
      <c r="C88" s="34" t="n">
        <f aca="false">'LCIA (Annex 1)'!C25</f>
        <v>0</v>
      </c>
      <c r="D88" s="34" t="n">
        <f aca="false">'LCIA (Annex 1)'!D25</f>
        <v>0</v>
      </c>
      <c r="E88" s="34" t="n">
        <f aca="false">'LCIA (Annex 1)'!E25</f>
        <v>0</v>
      </c>
    </row>
    <row r="89" customFormat="false" ht="15" hidden="false" customHeight="false" outlineLevel="0" collapsed="false">
      <c r="A89" s="33" t="s">
        <v>313</v>
      </c>
      <c r="C89" s="34" t="n">
        <f aca="false">'LCIA (Annex 1)'!C22</f>
        <v>45724</v>
      </c>
      <c r="D89" s="34" t="n">
        <f aca="false">'LCIA (Annex 1)'!D22</f>
        <v>82</v>
      </c>
      <c r="E89" s="34" t="n">
        <f aca="false">'LCIA (Annex 1)'!E22</f>
        <v>65724</v>
      </c>
    </row>
    <row r="90" customFormat="false" ht="15" hidden="false" customHeight="false" outlineLevel="0" collapsed="false">
      <c r="A90" s="33" t="s">
        <v>321</v>
      </c>
      <c r="C90" s="34" t="n">
        <f aca="false">'LCIA (Annex 1)'!C30</f>
        <v>5483</v>
      </c>
      <c r="D90" s="34" t="n">
        <f aca="false">'LCIA (Annex 1)'!D30</f>
        <v>3497</v>
      </c>
      <c r="E90" s="34" t="n">
        <f aca="false">'LCIA (Annex 1)'!E30</f>
        <v>6409</v>
      </c>
    </row>
    <row r="91" customFormat="false" ht="15" hidden="false" customHeight="false" outlineLevel="0" collapsed="false">
      <c r="A91" s="33" t="s">
        <v>318</v>
      </c>
      <c r="C91" s="34" t="n">
        <f aca="false">'LCIA (Annex 1)'!C27</f>
        <v>14023</v>
      </c>
      <c r="D91" s="34" t="n">
        <f aca="false">'LCIA (Annex 1)'!D27</f>
        <v>6248</v>
      </c>
      <c r="E91" s="34" t="n">
        <f aca="false">'LCIA (Annex 1)'!E27</f>
        <v>555</v>
      </c>
    </row>
    <row r="92" customFormat="false" ht="15" hidden="false" customHeight="false" outlineLevel="0" collapsed="false">
      <c r="A92" s="33" t="s">
        <v>347</v>
      </c>
      <c r="C92" s="34" t="n">
        <f aca="false">'LCIA (Annex 1)'!C31</f>
        <v>0</v>
      </c>
      <c r="D92" s="34" t="n">
        <f aca="false">'LCIA (Annex 1)'!D31</f>
        <v>0</v>
      </c>
      <c r="E92" s="34" t="n">
        <f aca="false">'LCIA (Annex 1)'!E31</f>
        <v>0</v>
      </c>
    </row>
    <row r="93" customFormat="false" ht="15" hidden="false" customHeight="false" outlineLevel="0" collapsed="false">
      <c r="A93" s="33" t="s">
        <v>314</v>
      </c>
      <c r="C93" s="34" t="n">
        <f aca="false">'LCIA (Annex 1)'!C23</f>
        <v>0</v>
      </c>
      <c r="D93" s="34" t="n">
        <f aca="false">'LCIA (Annex 1)'!D23</f>
        <v>0</v>
      </c>
      <c r="E93" s="34" t="n">
        <f aca="false">'LCIA (Annex 1)'!E23</f>
        <v>0</v>
      </c>
    </row>
    <row r="94" customFormat="false" ht="15" hidden="false" customHeight="false" outlineLevel="0" collapsed="false">
      <c r="A94" s="33" t="s">
        <v>348</v>
      </c>
      <c r="C94" s="34" t="n">
        <f aca="false">'LCIA (Annex 1)'!C21+'LCIA (Annex 1)'!C24+'LCIA (Annex 1)'!C26+'LCIA (Annex 1)'!C28</f>
        <v>3870</v>
      </c>
      <c r="D94" s="34" t="n">
        <f aca="false">'LCIA (Annex 1)'!D21+'LCIA (Annex 1)'!D24+'LCIA (Annex 1)'!D26+'LCIA (Annex 1)'!D28</f>
        <v>1370</v>
      </c>
      <c r="E94" s="34" t="n">
        <f aca="false">'LCIA (Annex 1)'!E21+'LCIA (Annex 1)'!E24+'LCIA (Annex 1)'!E26+'LCIA (Annex 1)'!E28</f>
        <v>2024</v>
      </c>
    </row>
    <row r="95" customFormat="false" ht="15" hidden="false" customHeight="false" outlineLevel="0" collapsed="false">
      <c r="A95" s="31" t="s">
        <v>324</v>
      </c>
      <c r="C95" s="65" t="n">
        <f aca="false">'LCIA (Annex 1)'!C33</f>
        <v>90127</v>
      </c>
      <c r="D95" s="65" t="n">
        <f aca="false">'LCIA (Annex 1)'!D33</f>
        <v>19097</v>
      </c>
      <c r="E95" s="65" t="n">
        <f aca="false">'LCIA (Annex 1)'!E33</f>
        <v>99897</v>
      </c>
    </row>
    <row r="104" customFormat="false" ht="15" hidden="false" customHeight="false" outlineLevel="0" collapsed="false">
      <c r="A104" s="31" t="s">
        <v>352</v>
      </c>
    </row>
    <row r="105" customFormat="false" ht="26.85" hidden="false" customHeight="false" outlineLevel="0" collapsed="false">
      <c r="A105" s="8" t="s">
        <v>338</v>
      </c>
      <c r="B105" s="8"/>
      <c r="C105" s="8" t="s">
        <v>11</v>
      </c>
      <c r="D105" s="8" t="s">
        <v>15</v>
      </c>
      <c r="E105" s="8" t="s">
        <v>19</v>
      </c>
    </row>
    <row r="106" customFormat="false" ht="15" hidden="false" customHeight="false" outlineLevel="0" collapsed="false">
      <c r="A106" s="33" t="s">
        <v>320</v>
      </c>
      <c r="C106" s="34" t="n">
        <f aca="false">'LCIA (Annex 1)'!C44</f>
        <v>10423</v>
      </c>
      <c r="D106" s="34" t="n">
        <f aca="false">'LCIA (Annex 1)'!D44</f>
        <v>4365</v>
      </c>
      <c r="E106" s="34" t="n">
        <f aca="false">'LCIA (Annex 1)'!E44</f>
        <v>12357</v>
      </c>
    </row>
    <row r="107" customFormat="false" ht="15" hidden="false" customHeight="false" outlineLevel="0" collapsed="false">
      <c r="A107" s="33" t="s">
        <v>346</v>
      </c>
      <c r="C107" s="34" t="n">
        <f aca="false">'LCIA (Annex 1)'!C40</f>
        <v>0</v>
      </c>
      <c r="D107" s="34" t="n">
        <f aca="false">'LCIA (Annex 1)'!D40</f>
        <v>0</v>
      </c>
      <c r="E107" s="34" t="n">
        <f aca="false">'LCIA (Annex 1)'!E40</f>
        <v>0</v>
      </c>
    </row>
    <row r="108" customFormat="false" ht="15" hidden="false" customHeight="false" outlineLevel="0" collapsed="false">
      <c r="A108" s="33" t="s">
        <v>313</v>
      </c>
      <c r="C108" s="34" t="n">
        <f aca="false">'LCIA (Annex 1)'!C37</f>
        <v>0</v>
      </c>
      <c r="D108" s="34" t="n">
        <f aca="false">'LCIA (Annex 1)'!D37</f>
        <v>0</v>
      </c>
      <c r="E108" s="34" t="n">
        <f aca="false">'LCIA (Annex 1)'!E37</f>
        <v>0</v>
      </c>
    </row>
    <row r="109" customFormat="false" ht="15" hidden="false" customHeight="false" outlineLevel="0" collapsed="false">
      <c r="A109" s="33" t="s">
        <v>321</v>
      </c>
      <c r="C109" s="34" t="n">
        <f aca="false">'LCIA (Annex 1)'!C45</f>
        <v>0</v>
      </c>
      <c r="D109" s="34" t="n">
        <f aca="false">'LCIA (Annex 1)'!D45</f>
        <v>0</v>
      </c>
      <c r="E109" s="34" t="n">
        <f aca="false">'LCIA (Annex 1)'!E45</f>
        <v>0</v>
      </c>
    </row>
    <row r="110" customFormat="false" ht="15" hidden="false" customHeight="false" outlineLevel="0" collapsed="false">
      <c r="A110" s="33" t="s">
        <v>318</v>
      </c>
      <c r="C110" s="34" t="n">
        <f aca="false">'LCIA (Annex 1)'!C42</f>
        <v>0</v>
      </c>
      <c r="D110" s="34" t="n">
        <f aca="false">'LCIA (Annex 1)'!D42</f>
        <v>0</v>
      </c>
      <c r="E110" s="34" t="n">
        <f aca="false">'LCIA (Annex 1)'!E42</f>
        <v>0</v>
      </c>
    </row>
    <row r="111" customFormat="false" ht="15" hidden="false" customHeight="false" outlineLevel="0" collapsed="false">
      <c r="A111" s="33" t="s">
        <v>347</v>
      </c>
      <c r="C111" s="34" t="n">
        <f aca="false">'LCIA (Annex 1)'!C46</f>
        <v>0</v>
      </c>
      <c r="D111" s="34" t="n">
        <f aca="false">'LCIA (Annex 1)'!D46</f>
        <v>0</v>
      </c>
      <c r="E111" s="34" t="n">
        <f aca="false">'LCIA (Annex 1)'!E46</f>
        <v>0</v>
      </c>
    </row>
    <row r="112" customFormat="false" ht="15" hidden="false" customHeight="false" outlineLevel="0" collapsed="false">
      <c r="A112" s="33" t="s">
        <v>314</v>
      </c>
      <c r="C112" s="34" t="n">
        <f aca="false">'LCIA (Annex 1)'!C38</f>
        <v>0</v>
      </c>
      <c r="D112" s="34" t="n">
        <f aca="false">'LCIA (Annex 1)'!D38</f>
        <v>0</v>
      </c>
      <c r="E112" s="34" t="n">
        <f aca="false">'LCIA (Annex 1)'!E38</f>
        <v>0</v>
      </c>
    </row>
    <row r="113" customFormat="false" ht="15" hidden="false" customHeight="false" outlineLevel="0" collapsed="false">
      <c r="A113" s="33" t="s">
        <v>348</v>
      </c>
      <c r="C113" s="34" t="n">
        <f aca="false">'LCIA (Annex 1)'!C36+'LCIA (Annex 1)'!C39+'LCIA (Annex 1)'!C41+'LCIA (Annex 1)'!C43</f>
        <v>55</v>
      </c>
      <c r="D113" s="34" t="n">
        <f aca="false">'LCIA (Annex 1)'!D36+'LCIA (Annex 1)'!D39+'LCIA (Annex 1)'!D41+'LCIA (Annex 1)'!D43</f>
        <v>37</v>
      </c>
      <c r="E113" s="34" t="n">
        <f aca="false">'LCIA (Annex 1)'!E36+'LCIA (Annex 1)'!E39+'LCIA (Annex 1)'!E41+'LCIA (Annex 1)'!E43</f>
        <v>1</v>
      </c>
    </row>
    <row r="114" customFormat="false" ht="15" hidden="false" customHeight="false" outlineLevel="0" collapsed="false">
      <c r="A114" s="31" t="s">
        <v>324</v>
      </c>
      <c r="C114" s="65" t="n">
        <f aca="false">'LCIA (Annex 1)'!C48</f>
        <v>10478</v>
      </c>
      <c r="D114" s="65" t="n">
        <f aca="false">'LCIA (Annex 1)'!D48</f>
        <v>4402</v>
      </c>
      <c r="E114" s="65" t="n">
        <f aca="false">'LCIA (Annex 1)'!E48</f>
        <v>12358</v>
      </c>
    </row>
    <row r="123" customFormat="false" ht="15" hidden="false" customHeight="false" outlineLevel="0" collapsed="false">
      <c r="A123" s="31" t="s">
        <v>353</v>
      </c>
    </row>
    <row r="124" customFormat="false" ht="26.85" hidden="false" customHeight="false" outlineLevel="0" collapsed="false">
      <c r="A124" s="8" t="s">
        <v>338</v>
      </c>
      <c r="B124" s="8"/>
      <c r="C124" s="8" t="s">
        <v>11</v>
      </c>
      <c r="D124" s="8" t="s">
        <v>15</v>
      </c>
      <c r="E124" s="8" t="s">
        <v>19</v>
      </c>
    </row>
    <row r="125" customFormat="false" ht="15" hidden="false" customHeight="false" outlineLevel="0" collapsed="false">
      <c r="A125" s="33" t="s">
        <v>320</v>
      </c>
      <c r="C125" s="34" t="n">
        <f aca="false">'LCIA (Annex 1)'!C59</f>
        <v>8</v>
      </c>
      <c r="D125" s="34" t="n">
        <f aca="false">'LCIA (Annex 1)'!D59</f>
        <v>3</v>
      </c>
      <c r="E125" s="34" t="n">
        <f aca="false">'LCIA (Annex 1)'!E59</f>
        <v>10</v>
      </c>
    </row>
    <row r="126" customFormat="false" ht="15" hidden="false" customHeight="false" outlineLevel="0" collapsed="false">
      <c r="A126" s="33" t="s">
        <v>346</v>
      </c>
      <c r="C126" s="34" t="n">
        <f aca="false">'LCIA (Annex 1)'!C55</f>
        <v>25</v>
      </c>
      <c r="D126" s="34" t="n">
        <f aca="false">'LCIA (Annex 1)'!D55</f>
        <v>0</v>
      </c>
      <c r="E126" s="34" t="n">
        <f aca="false">'LCIA (Annex 1)'!E55</f>
        <v>29</v>
      </c>
    </row>
    <row r="127" customFormat="false" ht="15" hidden="false" customHeight="false" outlineLevel="0" collapsed="false">
      <c r="A127" s="33" t="s">
        <v>313</v>
      </c>
      <c r="C127" s="34" t="n">
        <f aca="false">'LCIA (Annex 1)'!C52</f>
        <v>2</v>
      </c>
      <c r="D127" s="34" t="n">
        <f aca="false">'LCIA (Annex 1)'!D52</f>
        <v>0</v>
      </c>
      <c r="E127" s="34" t="n">
        <f aca="false">'LCIA (Annex 1)'!E52</f>
        <v>3</v>
      </c>
    </row>
    <row r="128" customFormat="false" ht="15" hidden="false" customHeight="false" outlineLevel="0" collapsed="false">
      <c r="A128" s="33" t="s">
        <v>321</v>
      </c>
      <c r="C128" s="34" t="n">
        <f aca="false">'LCIA (Annex 1)'!C60</f>
        <v>2</v>
      </c>
      <c r="D128" s="34" t="n">
        <f aca="false">'LCIA (Annex 1)'!D60</f>
        <v>1</v>
      </c>
      <c r="E128" s="34" t="n">
        <f aca="false">'LCIA (Annex 1)'!E60</f>
        <v>2</v>
      </c>
    </row>
    <row r="129" customFormat="false" ht="15" hidden="false" customHeight="false" outlineLevel="0" collapsed="false">
      <c r="A129" s="33" t="s">
        <v>318</v>
      </c>
      <c r="C129" s="34" t="n">
        <f aca="false">'LCIA (Annex 1)'!C57</f>
        <v>3</v>
      </c>
      <c r="D129" s="34" t="n">
        <f aca="false">'LCIA (Annex 1)'!D57</f>
        <v>1</v>
      </c>
      <c r="E129" s="34" t="n">
        <f aca="false">'LCIA (Annex 1)'!E57</f>
        <v>0</v>
      </c>
    </row>
    <row r="130" customFormat="false" ht="15" hidden="false" customHeight="false" outlineLevel="0" collapsed="false">
      <c r="A130" s="33" t="s">
        <v>347</v>
      </c>
      <c r="C130" s="34" t="n">
        <f aca="false">'LCIA (Annex 1)'!C61</f>
        <v>0</v>
      </c>
      <c r="D130" s="34" t="n">
        <f aca="false">'LCIA (Annex 1)'!D61</f>
        <v>0</v>
      </c>
      <c r="E130" s="34" t="n">
        <f aca="false">'LCIA (Annex 1)'!E61</f>
        <v>0</v>
      </c>
    </row>
    <row r="131" customFormat="false" ht="15" hidden="false" customHeight="false" outlineLevel="0" collapsed="false">
      <c r="A131" s="33" t="s">
        <v>314</v>
      </c>
      <c r="C131" s="34" t="n">
        <f aca="false">'LCIA (Annex 1)'!C53</f>
        <v>0</v>
      </c>
      <c r="D131" s="34" t="n">
        <f aca="false">'LCIA (Annex 1)'!D53</f>
        <v>0</v>
      </c>
      <c r="E131" s="34" t="n">
        <f aca="false">'LCIA (Annex 1)'!E53</f>
        <v>0</v>
      </c>
    </row>
    <row r="132" customFormat="false" ht="15" hidden="false" customHeight="false" outlineLevel="0" collapsed="false">
      <c r="A132" s="33" t="s">
        <v>348</v>
      </c>
      <c r="C132" s="34" t="n">
        <f aca="false">'LCIA (Annex 1)'!C51+'LCIA (Annex 1)'!C54+'LCIA (Annex 1)'!C56+'LCIA (Annex 1)'!C58</f>
        <v>2</v>
      </c>
      <c r="D132" s="34" t="n">
        <f aca="false">'LCIA (Annex 1)'!D51+'LCIA (Annex 1)'!D54+'LCIA (Annex 1)'!D56+'LCIA (Annex 1)'!D58</f>
        <v>0</v>
      </c>
      <c r="E132" s="34" t="n">
        <f aca="false">'LCIA (Annex 1)'!E51+'LCIA (Annex 1)'!E54+'LCIA (Annex 1)'!E56+'LCIA (Annex 1)'!E58</f>
        <v>0</v>
      </c>
    </row>
    <row r="133" customFormat="false" ht="15" hidden="false" customHeight="false" outlineLevel="0" collapsed="false">
      <c r="A133" s="31" t="s">
        <v>324</v>
      </c>
      <c r="C133" s="65" t="n">
        <f aca="false">'LCIA (Annex 1)'!C63</f>
        <v>42</v>
      </c>
      <c r="D133" s="65" t="n">
        <f aca="false">'LCIA (Annex 1)'!D63</f>
        <v>6</v>
      </c>
      <c r="E133" s="65" t="n">
        <f aca="false">'LCIA (Annex 1)'!E63</f>
        <v>45</v>
      </c>
    </row>
    <row r="142" customFormat="false" ht="15" hidden="false" customHeight="false" outlineLevel="0" collapsed="false">
      <c r="A142" s="31" t="s">
        <v>354</v>
      </c>
    </row>
    <row r="143" customFormat="false" ht="26.85" hidden="false" customHeight="false" outlineLevel="0" collapsed="false">
      <c r="A143" s="8" t="s">
        <v>338</v>
      </c>
      <c r="B143" s="8"/>
      <c r="C143" s="8" t="s">
        <v>11</v>
      </c>
      <c r="D143" s="8" t="s">
        <v>15</v>
      </c>
      <c r="E143" s="8" t="s">
        <v>19</v>
      </c>
    </row>
    <row r="144" customFormat="false" ht="15" hidden="false" customHeight="false" outlineLevel="0" collapsed="false">
      <c r="A144" s="33" t="s">
        <v>320</v>
      </c>
      <c r="C144" s="34" t="n">
        <f aca="false">'LCIA (Annex 1)'!C74</f>
        <v>8</v>
      </c>
      <c r="D144" s="34" t="n">
        <f aca="false">'LCIA (Annex 1)'!D74</f>
        <v>3</v>
      </c>
      <c r="E144" s="34" t="n">
        <f aca="false">'LCIA (Annex 1)'!E74</f>
        <v>8</v>
      </c>
    </row>
    <row r="145" customFormat="false" ht="15" hidden="false" customHeight="false" outlineLevel="0" collapsed="false">
      <c r="A145" s="33" t="s">
        <v>346</v>
      </c>
      <c r="C145" s="34" t="n">
        <f aca="false">'LCIA (Annex 1)'!C70</f>
        <v>16</v>
      </c>
      <c r="D145" s="34" t="n">
        <f aca="false">'LCIA (Annex 1)'!D70</f>
        <v>-1</v>
      </c>
      <c r="E145" s="34" t="n">
        <f aca="false">'LCIA (Annex 1)'!E70</f>
        <v>51</v>
      </c>
    </row>
    <row r="146" customFormat="false" ht="15" hidden="false" customHeight="false" outlineLevel="0" collapsed="false">
      <c r="A146" s="33" t="s">
        <v>313</v>
      </c>
      <c r="C146" s="34" t="n">
        <f aca="false">'LCIA (Annex 1)'!C67</f>
        <v>1</v>
      </c>
      <c r="D146" s="34" t="n">
        <f aca="false">'LCIA (Annex 1)'!D67</f>
        <v>0</v>
      </c>
      <c r="E146" s="34" t="n">
        <f aca="false">'LCIA (Annex 1)'!E67</f>
        <v>1</v>
      </c>
    </row>
    <row r="147" customFormat="false" ht="15" hidden="false" customHeight="false" outlineLevel="0" collapsed="false">
      <c r="A147" s="33" t="s">
        <v>321</v>
      </c>
      <c r="C147" s="34" t="n">
        <f aca="false">'LCIA (Annex 1)'!C75</f>
        <v>0</v>
      </c>
      <c r="D147" s="34" t="n">
        <f aca="false">'LCIA (Annex 1)'!D75</f>
        <v>0</v>
      </c>
      <c r="E147" s="34" t="n">
        <f aca="false">'LCIA (Annex 1)'!E75</f>
        <v>0</v>
      </c>
    </row>
    <row r="148" customFormat="false" ht="15" hidden="false" customHeight="false" outlineLevel="0" collapsed="false">
      <c r="A148" s="33" t="s">
        <v>318</v>
      </c>
      <c r="C148" s="34" t="n">
        <f aca="false">'LCIA (Annex 1)'!C72</f>
        <v>1</v>
      </c>
      <c r="D148" s="34" t="n">
        <f aca="false">'LCIA (Annex 1)'!D72</f>
        <v>0</v>
      </c>
      <c r="E148" s="34" t="n">
        <f aca="false">'LCIA (Annex 1)'!E72</f>
        <v>0</v>
      </c>
    </row>
    <row r="149" customFormat="false" ht="15" hidden="false" customHeight="false" outlineLevel="0" collapsed="false">
      <c r="A149" s="33" t="s">
        <v>347</v>
      </c>
      <c r="C149" s="34" t="n">
        <f aca="false">'LCIA (Annex 1)'!C76</f>
        <v>0</v>
      </c>
      <c r="D149" s="34" t="n">
        <f aca="false">'LCIA (Annex 1)'!D76</f>
        <v>0</v>
      </c>
      <c r="E149" s="34" t="n">
        <f aca="false">'LCIA (Annex 1)'!E76</f>
        <v>0</v>
      </c>
    </row>
    <row r="150" customFormat="false" ht="15" hidden="false" customHeight="false" outlineLevel="0" collapsed="false">
      <c r="A150" s="33" t="s">
        <v>314</v>
      </c>
      <c r="C150" s="34" t="n">
        <f aca="false">'LCIA (Annex 1)'!C68</f>
        <v>0</v>
      </c>
      <c r="D150" s="34" t="n">
        <f aca="false">'LCIA (Annex 1)'!D68</f>
        <v>0</v>
      </c>
      <c r="E150" s="34" t="n">
        <f aca="false">'LCIA (Annex 1)'!E68</f>
        <v>0</v>
      </c>
    </row>
    <row r="151" customFormat="false" ht="15" hidden="false" customHeight="false" outlineLevel="0" collapsed="false">
      <c r="A151" s="33" t="s">
        <v>348</v>
      </c>
      <c r="C151" s="34" t="n">
        <f aca="false">'LCIA (Annex 1)'!C66+'LCIA (Annex 1)'!C69+'LCIA (Annex 1)'!C71+'LCIA (Annex 1)'!C73</f>
        <v>0</v>
      </c>
      <c r="D151" s="34" t="n">
        <f aca="false">'LCIA (Annex 1)'!D66+'LCIA (Annex 1)'!D69+'LCIA (Annex 1)'!D71+'LCIA (Annex 1)'!D73</f>
        <v>0</v>
      </c>
      <c r="E151" s="34" t="n">
        <f aca="false">'LCIA (Annex 1)'!E66+'LCIA (Annex 1)'!E69+'LCIA (Annex 1)'!E71+'LCIA (Annex 1)'!E73</f>
        <v>0</v>
      </c>
    </row>
    <row r="152" customFormat="false" ht="15" hidden="false" customHeight="false" outlineLevel="0" collapsed="false">
      <c r="A152" s="31" t="s">
        <v>324</v>
      </c>
      <c r="C152" s="65" t="n">
        <f aca="false">'LCIA (Annex 1)'!C78</f>
        <v>26</v>
      </c>
      <c r="D152" s="65" t="n">
        <f aca="false">'LCIA (Annex 1)'!D78</f>
        <v>2</v>
      </c>
      <c r="E152" s="65" t="n">
        <f aca="false">'LCIA (Annex 1)'!E78</f>
        <v>61</v>
      </c>
    </row>
    <row r="161" customFormat="false" ht="15" hidden="false" customHeight="false" outlineLevel="0" collapsed="false">
      <c r="A161" s="31" t="s">
        <v>355</v>
      </c>
    </row>
    <row r="162" customFormat="false" ht="26.85" hidden="false" customHeight="false" outlineLevel="0" collapsed="false">
      <c r="A162" s="8" t="s">
        <v>338</v>
      </c>
      <c r="B162" s="8"/>
      <c r="C162" s="8" t="s">
        <v>11</v>
      </c>
      <c r="D162" s="8" t="s">
        <v>15</v>
      </c>
      <c r="E162" s="8" t="s">
        <v>19</v>
      </c>
    </row>
    <row r="163" customFormat="false" ht="15" hidden="false" customHeight="false" outlineLevel="0" collapsed="false">
      <c r="A163" s="33" t="s">
        <v>320</v>
      </c>
      <c r="C163" s="34" t="n">
        <f aca="false">'LCIA (Annex 1)'!C89</f>
        <v>1942</v>
      </c>
      <c r="D163" s="34" t="n">
        <f aca="false">'LCIA (Annex 1)'!D89</f>
        <v>660</v>
      </c>
      <c r="E163" s="34" t="n">
        <f aca="false">'LCIA (Annex 1)'!E89</f>
        <v>1897</v>
      </c>
    </row>
    <row r="164" customFormat="false" ht="15" hidden="false" customHeight="false" outlineLevel="0" collapsed="false">
      <c r="A164" s="33" t="s">
        <v>346</v>
      </c>
      <c r="C164" s="34" t="n">
        <f aca="false">'LCIA (Annex 1)'!C85</f>
        <v>0</v>
      </c>
      <c r="D164" s="34" t="n">
        <f aca="false">'LCIA (Annex 1)'!D85</f>
        <v>0</v>
      </c>
      <c r="E164" s="34" t="n">
        <f aca="false">'LCIA (Annex 1)'!E85</f>
        <v>0</v>
      </c>
    </row>
    <row r="165" customFormat="false" ht="15" hidden="false" customHeight="false" outlineLevel="0" collapsed="false">
      <c r="A165" s="33" t="s">
        <v>313</v>
      </c>
      <c r="C165" s="34" t="n">
        <f aca="false">'LCIA (Annex 1)'!C82</f>
        <v>8</v>
      </c>
      <c r="D165" s="34" t="n">
        <f aca="false">'LCIA (Annex 1)'!D82</f>
        <v>0</v>
      </c>
      <c r="E165" s="34" t="n">
        <f aca="false">'LCIA (Annex 1)'!E82</f>
        <v>12</v>
      </c>
    </row>
    <row r="166" customFormat="false" ht="15" hidden="false" customHeight="false" outlineLevel="0" collapsed="false">
      <c r="A166" s="33" t="s">
        <v>321</v>
      </c>
      <c r="C166" s="34" t="n">
        <f aca="false">'LCIA (Annex 1)'!C90</f>
        <v>4</v>
      </c>
      <c r="D166" s="34" t="n">
        <f aca="false">'LCIA (Annex 1)'!D90</f>
        <v>3</v>
      </c>
      <c r="E166" s="34" t="n">
        <f aca="false">'LCIA (Annex 1)'!E90</f>
        <v>5</v>
      </c>
    </row>
    <row r="167" customFormat="false" ht="15" hidden="false" customHeight="false" outlineLevel="0" collapsed="false">
      <c r="A167" s="33" t="s">
        <v>318</v>
      </c>
      <c r="C167" s="34" t="n">
        <f aca="false">'LCIA (Annex 1)'!C87</f>
        <v>6</v>
      </c>
      <c r="D167" s="34" t="n">
        <f aca="false">'LCIA (Annex 1)'!D87</f>
        <v>0</v>
      </c>
      <c r="E167" s="34" t="n">
        <f aca="false">'LCIA (Annex 1)'!E87</f>
        <v>0</v>
      </c>
    </row>
    <row r="168" customFormat="false" ht="15" hidden="false" customHeight="false" outlineLevel="0" collapsed="false">
      <c r="A168" s="33" t="s">
        <v>347</v>
      </c>
      <c r="C168" s="34" t="n">
        <f aca="false">'LCIA (Annex 1)'!C91</f>
        <v>941</v>
      </c>
      <c r="D168" s="34" t="n">
        <f aca="false">'LCIA (Annex 1)'!D91</f>
        <v>4194</v>
      </c>
      <c r="E168" s="34" t="n">
        <f aca="false">'LCIA (Annex 1)'!E91</f>
        <v>460</v>
      </c>
    </row>
    <row r="169" customFormat="false" ht="15" hidden="false" customHeight="false" outlineLevel="0" collapsed="false">
      <c r="A169" s="33" t="s">
        <v>314</v>
      </c>
      <c r="C169" s="34" t="n">
        <f aca="false">'LCIA (Annex 1)'!C83</f>
        <v>0</v>
      </c>
      <c r="D169" s="34" t="n">
        <f aca="false">'LCIA (Annex 1)'!D83</f>
        <v>0</v>
      </c>
      <c r="E169" s="34" t="n">
        <f aca="false">'LCIA (Annex 1)'!E83</f>
        <v>0</v>
      </c>
    </row>
    <row r="170" customFormat="false" ht="15" hidden="false" customHeight="false" outlineLevel="0" collapsed="false">
      <c r="A170" s="33" t="s">
        <v>348</v>
      </c>
      <c r="C170" s="34" t="n">
        <f aca="false">'LCIA (Annex 1)'!C81+'LCIA (Annex 1)'!C84+'LCIA (Annex 1)'!C86+'LCIA (Annex 1)'!C88</f>
        <v>45</v>
      </c>
      <c r="D170" s="34" t="n">
        <f aca="false">'LCIA (Annex 1)'!D81+'LCIA (Annex 1)'!D84+'LCIA (Annex 1)'!D86+'LCIA (Annex 1)'!D88</f>
        <v>27</v>
      </c>
      <c r="E170" s="34" t="n">
        <f aca="false">'LCIA (Annex 1)'!E81+'LCIA (Annex 1)'!E84+'LCIA (Annex 1)'!E86+'LCIA (Annex 1)'!E88</f>
        <v>3</v>
      </c>
    </row>
    <row r="171" customFormat="false" ht="15" hidden="false" customHeight="false" outlineLevel="0" collapsed="false">
      <c r="A171" s="31" t="s">
        <v>324</v>
      </c>
      <c r="C171" s="65" t="n">
        <f aca="false">'LCIA (Annex 1)'!C93</f>
        <v>2946</v>
      </c>
      <c r="D171" s="65" t="n">
        <f aca="false">'LCIA (Annex 1)'!D93</f>
        <v>4885</v>
      </c>
      <c r="E171" s="65" t="n">
        <f aca="false">'LCIA (Annex 1)'!E93</f>
        <v>2379</v>
      </c>
    </row>
    <row r="180" customFormat="false" ht="15" hidden="false" customHeight="false" outlineLevel="0" collapsed="false">
      <c r="A180" s="31" t="s">
        <v>356</v>
      </c>
    </row>
    <row r="181" customFormat="false" ht="26.85" hidden="false" customHeight="false" outlineLevel="0" collapsed="false">
      <c r="A181" s="8" t="s">
        <v>338</v>
      </c>
      <c r="B181" s="8"/>
      <c r="C181" s="8" t="s">
        <v>11</v>
      </c>
      <c r="D181" s="8" t="s">
        <v>15</v>
      </c>
      <c r="E181" s="8" t="s">
        <v>19</v>
      </c>
    </row>
    <row r="182" customFormat="false" ht="15" hidden="false" customHeight="false" outlineLevel="0" collapsed="false">
      <c r="A182" s="33" t="s">
        <v>320</v>
      </c>
      <c r="C182" s="34" t="n">
        <f aca="false">'LCIA (Annex 1)'!C104</f>
        <v>47</v>
      </c>
      <c r="D182" s="34" t="n">
        <f aca="false">'LCIA (Annex 1)'!D104</f>
        <v>14</v>
      </c>
      <c r="E182" s="34" t="n">
        <f aca="false">'LCIA (Annex 1)'!E104</f>
        <v>44</v>
      </c>
    </row>
    <row r="183" customFormat="false" ht="15" hidden="false" customHeight="false" outlineLevel="0" collapsed="false">
      <c r="A183" s="33" t="s">
        <v>346</v>
      </c>
      <c r="C183" s="34" t="n">
        <f aca="false">'LCIA (Annex 1)'!C100</f>
        <v>0</v>
      </c>
      <c r="D183" s="34" t="n">
        <f aca="false">'LCIA (Annex 1)'!D100</f>
        <v>0</v>
      </c>
      <c r="E183" s="34" t="n">
        <f aca="false">'LCIA (Annex 1)'!E100</f>
        <v>0</v>
      </c>
    </row>
    <row r="184" customFormat="false" ht="15" hidden="false" customHeight="false" outlineLevel="0" collapsed="false">
      <c r="A184" s="33" t="s">
        <v>313</v>
      </c>
      <c r="C184" s="34" t="n">
        <f aca="false">'LCIA (Annex 1)'!C97</f>
        <v>38</v>
      </c>
      <c r="D184" s="34" t="n">
        <f aca="false">'LCIA (Annex 1)'!D97</f>
        <v>0</v>
      </c>
      <c r="E184" s="34" t="n">
        <f aca="false">'LCIA (Annex 1)'!E97</f>
        <v>54</v>
      </c>
    </row>
    <row r="185" customFormat="false" ht="15" hidden="false" customHeight="false" outlineLevel="0" collapsed="false">
      <c r="A185" s="33" t="s">
        <v>321</v>
      </c>
      <c r="C185" s="34" t="n">
        <f aca="false">'LCIA (Annex 1)'!C105</f>
        <v>3</v>
      </c>
      <c r="D185" s="34" t="n">
        <f aca="false">'LCIA (Annex 1)'!D105</f>
        <v>2</v>
      </c>
      <c r="E185" s="34" t="n">
        <f aca="false">'LCIA (Annex 1)'!E105</f>
        <v>3</v>
      </c>
    </row>
    <row r="186" customFormat="false" ht="15" hidden="false" customHeight="false" outlineLevel="0" collapsed="false">
      <c r="A186" s="33" t="s">
        <v>318</v>
      </c>
      <c r="C186" s="34" t="n">
        <f aca="false">'LCIA (Annex 1)'!C102</f>
        <v>6</v>
      </c>
      <c r="D186" s="34" t="n">
        <f aca="false">'LCIA (Annex 1)'!D102</f>
        <v>5</v>
      </c>
      <c r="E186" s="34" t="n">
        <f aca="false">'LCIA (Annex 1)'!E102</f>
        <v>0</v>
      </c>
    </row>
    <row r="187" customFormat="false" ht="15" hidden="false" customHeight="false" outlineLevel="0" collapsed="false">
      <c r="A187" s="33" t="s">
        <v>347</v>
      </c>
      <c r="C187" s="34" t="n">
        <f aca="false">'LCIA (Annex 1)'!C106</f>
        <v>81336</v>
      </c>
      <c r="D187" s="34" t="n">
        <f aca="false">'LCIA (Annex 1)'!D106</f>
        <v>70297</v>
      </c>
      <c r="E187" s="34" t="n">
        <f aca="false">'LCIA (Annex 1)'!E106</f>
        <v>197067</v>
      </c>
    </row>
    <row r="188" customFormat="false" ht="15" hidden="false" customHeight="false" outlineLevel="0" collapsed="false">
      <c r="A188" s="33" t="s">
        <v>314</v>
      </c>
      <c r="C188" s="34" t="n">
        <f aca="false">'LCIA (Annex 1)'!C98</f>
        <v>82261</v>
      </c>
      <c r="D188" s="34" t="n">
        <f aca="false">'LCIA (Annex 1)'!D98</f>
        <v>45273</v>
      </c>
      <c r="E188" s="34" t="n">
        <f aca="false">'LCIA (Annex 1)'!E98</f>
        <v>195829</v>
      </c>
    </row>
    <row r="189" customFormat="false" ht="15" hidden="false" customHeight="false" outlineLevel="0" collapsed="false">
      <c r="A189" s="33" t="s">
        <v>348</v>
      </c>
      <c r="C189" s="34" t="n">
        <f aca="false">'LCIA (Annex 1)'!C96+'LCIA (Annex 1)'!C99+'LCIA (Annex 1)'!C101+'LCIA (Annex 1)'!C103</f>
        <v>150</v>
      </c>
      <c r="D189" s="34" t="n">
        <f aca="false">'LCIA (Annex 1)'!D96+'LCIA (Annex 1)'!D99+'LCIA (Annex 1)'!D101+'LCIA (Annex 1)'!D103</f>
        <v>101</v>
      </c>
      <c r="E189" s="34" t="n">
        <f aca="false">'LCIA (Annex 1)'!E96+'LCIA (Annex 1)'!E99+'LCIA (Annex 1)'!E101+'LCIA (Annex 1)'!E103</f>
        <v>5</v>
      </c>
    </row>
    <row r="190" customFormat="false" ht="15" hidden="false" customHeight="false" outlineLevel="0" collapsed="false">
      <c r="A190" s="31" t="s">
        <v>324</v>
      </c>
      <c r="C190" s="65" t="n">
        <f aca="false">'LCIA (Annex 1)'!C108</f>
        <v>163840</v>
      </c>
      <c r="D190" s="65" t="n">
        <f aca="false">'LCIA (Annex 1)'!D108</f>
        <v>115691</v>
      </c>
      <c r="E190" s="65" t="n">
        <f aca="false">'LCIA (Annex 1)'!E108</f>
        <v>393002</v>
      </c>
    </row>
  </sheetData>
  <conditionalFormatting sqref="B9:H16">
    <cfRule type="colorScale" priority="2">
      <colorScale>
        <cfvo type="num" val="0"/>
        <cfvo type="num" val="1"/>
        <color rgb="FFFFFFFF"/>
        <color rgb="FF0F6E56"/>
      </colorScale>
    </cfRule>
  </conditionalFormatting>
  <conditionalFormatting sqref="B28:H35">
    <cfRule type="colorScale" priority="3">
      <colorScale>
        <cfvo type="num" val="0"/>
        <cfvo type="num" val="1"/>
        <color rgb="FFFFFFFF"/>
        <color rgb="FF0F6E56"/>
      </colorScale>
    </cfRule>
  </conditionalFormatting>
  <conditionalFormatting sqref="B47:H54">
    <cfRule type="colorScale" priority="4">
      <colorScale>
        <cfvo type="num" val="0"/>
        <cfvo type="num" val="1"/>
        <color rgb="FFFFFFFF"/>
        <color rgb="FF0F6E5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5" min="3" style="0" width="22"/>
    <col collapsed="false" customWidth="true" hidden="false" outlineLevel="0" max="7" min="6" style="0" width="15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28" t="s">
        <v>357</v>
      </c>
    </row>
    <row r="2" customFormat="false" ht="15" hidden="false" customHeight="false" outlineLevel="0" collapsed="false">
      <c r="A2" s="29" t="s">
        <v>107</v>
      </c>
    </row>
    <row r="4" customFormat="false" ht="26.85" hidden="false" customHeight="false" outlineLevel="0" collapsed="false">
      <c r="A4" s="8" t="s">
        <v>358</v>
      </c>
      <c r="B4" s="8" t="s">
        <v>143</v>
      </c>
      <c r="C4" s="8" t="s">
        <v>11</v>
      </c>
      <c r="D4" s="8" t="s">
        <v>15</v>
      </c>
      <c r="E4" s="8" t="s">
        <v>19</v>
      </c>
      <c r="F4" s="8" t="s">
        <v>359</v>
      </c>
      <c r="G4" s="8" t="s">
        <v>360</v>
      </c>
      <c r="H4" s="8" t="s">
        <v>361</v>
      </c>
    </row>
    <row r="5" customFormat="false" ht="15" hidden="false" customHeight="false" outlineLevel="0" collapsed="false">
      <c r="A5" s="33" t="s">
        <v>362</v>
      </c>
      <c r="B5" s="33" t="s">
        <v>312</v>
      </c>
      <c r="C5" s="34" t="n">
        <f aca="false">'LCIA (Annex 1)'!C18</f>
        <v>2801</v>
      </c>
      <c r="D5" s="34" t="n">
        <f aca="false">'LCIA (Annex 1)'!D18</f>
        <v>1255</v>
      </c>
      <c r="E5" s="34" t="n">
        <f aca="false">'LCIA (Annex 1)'!E18</f>
        <v>2836</v>
      </c>
      <c r="F5" s="66" t="n">
        <f aca="false">C5/E5-1</f>
        <v>-0.0123413258110014</v>
      </c>
      <c r="G5" s="66" t="n">
        <f aca="false">D5/E5-1</f>
        <v>-0.557475317348378</v>
      </c>
      <c r="H5" s="43" t="str">
        <f aca="false">INDEX($C$4:$E$4,MATCH(MIN(C5:E5),C5:E5,0))</f>
        <v>Semi-extensive pond IMTA</v>
      </c>
    </row>
    <row r="6" customFormat="false" ht="15" hidden="false" customHeight="false" outlineLevel="0" collapsed="false">
      <c r="A6" s="33" t="s">
        <v>363</v>
      </c>
      <c r="B6" s="33" t="s">
        <v>326</v>
      </c>
      <c r="C6" s="34" t="n">
        <f aca="false">'LCIA (Annex 1)'!C33</f>
        <v>90127</v>
      </c>
      <c r="D6" s="34" t="n">
        <f aca="false">'LCIA (Annex 1)'!D33</f>
        <v>19097</v>
      </c>
      <c r="E6" s="34" t="n">
        <f aca="false">'LCIA (Annex 1)'!E33</f>
        <v>99897</v>
      </c>
      <c r="F6" s="66" t="n">
        <f aca="false">C6/E6-1</f>
        <v>-0.0978007347567995</v>
      </c>
      <c r="G6" s="66" t="n">
        <f aca="false">D6/E6-1</f>
        <v>-0.808833098091034</v>
      </c>
      <c r="H6" s="43" t="str">
        <f aca="false">INDEX($C$4:$E$4,MATCH(MIN(C6:E6),C6:E6,0))</f>
        <v>Semi-extensive pond IMTA</v>
      </c>
    </row>
    <row r="7" customFormat="false" ht="15" hidden="false" customHeight="false" outlineLevel="0" collapsed="false">
      <c r="A7" s="33" t="s">
        <v>364</v>
      </c>
      <c r="B7" s="33" t="s">
        <v>328</v>
      </c>
      <c r="C7" s="34" t="n">
        <f aca="false">'LCIA (Annex 1)'!C48</f>
        <v>10478</v>
      </c>
      <c r="D7" s="34" t="n">
        <f aca="false">'LCIA (Annex 1)'!D48</f>
        <v>4402</v>
      </c>
      <c r="E7" s="34" t="n">
        <f aca="false">'LCIA (Annex 1)'!E48</f>
        <v>12358</v>
      </c>
      <c r="F7" s="66" t="n">
        <f aca="false">C7/E7-1</f>
        <v>-0.152128176080272</v>
      </c>
      <c r="G7" s="66" t="n">
        <f aca="false">D7/E7-1</f>
        <v>-0.643793494092895</v>
      </c>
      <c r="H7" s="43" t="str">
        <f aca="false">INDEX($C$4:$E$4,MATCH(MIN(C7:E7),C7:E7,0))</f>
        <v>Semi-extensive pond IMTA</v>
      </c>
    </row>
    <row r="8" customFormat="false" ht="15" hidden="false" customHeight="false" outlineLevel="0" collapsed="false">
      <c r="A8" s="33" t="s">
        <v>365</v>
      </c>
      <c r="B8" s="33" t="s">
        <v>330</v>
      </c>
      <c r="C8" s="34" t="n">
        <f aca="false">'LCIA (Annex 1)'!C63</f>
        <v>42</v>
      </c>
      <c r="D8" s="34" t="n">
        <f aca="false">'LCIA (Annex 1)'!D63</f>
        <v>6</v>
      </c>
      <c r="E8" s="34" t="n">
        <f aca="false">'LCIA (Annex 1)'!E63</f>
        <v>45</v>
      </c>
      <c r="F8" s="66" t="n">
        <f aca="false">C8/E8-1</f>
        <v>-0.0666666666666667</v>
      </c>
      <c r="G8" s="66" t="n">
        <f aca="false">D8/E8-1</f>
        <v>-0.866666666666667</v>
      </c>
      <c r="H8" s="43" t="str">
        <f aca="false">INDEX($C$4:$E$4,MATCH(MIN(C8:E8),C8:E8,0))</f>
        <v>Semi-extensive pond IMTA</v>
      </c>
    </row>
    <row r="9" customFormat="false" ht="15" hidden="false" customHeight="false" outlineLevel="0" collapsed="false">
      <c r="A9" s="33" t="s">
        <v>366</v>
      </c>
      <c r="B9" s="33" t="s">
        <v>332</v>
      </c>
      <c r="C9" s="34" t="n">
        <f aca="false">'LCIA (Annex 1)'!C78</f>
        <v>26</v>
      </c>
      <c r="D9" s="34" t="n">
        <f aca="false">'LCIA (Annex 1)'!D78</f>
        <v>2</v>
      </c>
      <c r="E9" s="34" t="n">
        <f aca="false">'LCIA (Annex 1)'!E78</f>
        <v>61</v>
      </c>
      <c r="F9" s="66" t="n">
        <f aca="false">C9/E9-1</f>
        <v>-0.573770491803279</v>
      </c>
      <c r="G9" s="66" t="n">
        <f aca="false">D9/E9-1</f>
        <v>-0.967213114754098</v>
      </c>
      <c r="H9" s="43" t="str">
        <f aca="false">INDEX($C$4:$E$4,MATCH(MIN(C9:E9),C9:E9,0))</f>
        <v>Semi-extensive pond IMTA</v>
      </c>
    </row>
    <row r="10" customFormat="false" ht="15" hidden="false" customHeight="false" outlineLevel="0" collapsed="false">
      <c r="A10" s="33" t="s">
        <v>367</v>
      </c>
      <c r="B10" s="33" t="s">
        <v>229</v>
      </c>
      <c r="C10" s="34" t="n">
        <f aca="false">'LCIA (Annex 1)'!C93</f>
        <v>2946</v>
      </c>
      <c r="D10" s="34" t="n">
        <f aca="false">'LCIA (Annex 1)'!D93</f>
        <v>4885</v>
      </c>
      <c r="E10" s="34" t="n">
        <f aca="false">'LCIA (Annex 1)'!E93</f>
        <v>2379</v>
      </c>
      <c r="F10" s="66" t="n">
        <f aca="false">C10/E10-1</f>
        <v>0.238335435056747</v>
      </c>
      <c r="G10" s="66" t="n">
        <f aca="false">D10/E10-1</f>
        <v>1.05338377469525</v>
      </c>
      <c r="H10" s="43" t="str">
        <f aca="false">INDEX($C$4:$E$4,MATCH(MIN(C10:E10),C10:E10,0))</f>
        <v>Semi-intensive fish polyculture</v>
      </c>
    </row>
    <row r="11" customFormat="false" ht="15" hidden="false" customHeight="false" outlineLevel="0" collapsed="false">
      <c r="A11" s="33" t="s">
        <v>368</v>
      </c>
      <c r="B11" s="33" t="s">
        <v>150</v>
      </c>
      <c r="C11" s="34" t="n">
        <f aca="false">'LCIA (Annex 1)'!C108</f>
        <v>163840</v>
      </c>
      <c r="D11" s="34" t="n">
        <f aca="false">'LCIA (Annex 1)'!D108</f>
        <v>115691</v>
      </c>
      <c r="E11" s="34" t="n">
        <f aca="false">'LCIA (Annex 1)'!E108</f>
        <v>393002</v>
      </c>
      <c r="F11" s="66" t="n">
        <f aca="false">C11/E11-1</f>
        <v>-0.583106447295434</v>
      </c>
      <c r="G11" s="66" t="n">
        <f aca="false">D11/E11-1</f>
        <v>-0.705622363244971</v>
      </c>
      <c r="H11" s="43" t="str">
        <f aca="false">INDEX($C$4:$E$4,MATCH(MIN(C11:E11),C11:E11,0))</f>
        <v>Semi-extensive pond IMTA</v>
      </c>
    </row>
    <row r="14" customFormat="false" ht="15" hidden="false" customHeight="false" outlineLevel="0" collapsed="false">
      <c r="A14" s="41" t="s">
        <v>369</v>
      </c>
      <c r="B14" s="5"/>
      <c r="C14" s="5"/>
      <c r="D14" s="5"/>
      <c r="E14" s="5"/>
      <c r="F14" s="5"/>
      <c r="G14" s="5"/>
      <c r="H14" s="5"/>
    </row>
    <row r="15" customFormat="false" ht="26.85" hidden="false" customHeight="false" outlineLevel="0" collapsed="false">
      <c r="A15" s="8" t="s">
        <v>22</v>
      </c>
      <c r="B15" s="8" t="s">
        <v>143</v>
      </c>
      <c r="C15" s="8" t="s">
        <v>11</v>
      </c>
      <c r="D15" s="8" t="s">
        <v>15</v>
      </c>
      <c r="E15" s="8" t="s">
        <v>19</v>
      </c>
    </row>
    <row r="16" customFormat="false" ht="15" hidden="false" customHeight="false" outlineLevel="0" collapsed="false">
      <c r="A16" s="33" t="s">
        <v>370</v>
      </c>
      <c r="B16" s="33" t="s">
        <v>371</v>
      </c>
      <c r="C16" s="67" t="n">
        <f aca="false">'LCIA (Annex 1)'!C14/'LCI per tonne'!C8</f>
        <v>1.00832680084746</v>
      </c>
      <c r="D16" s="67" t="n">
        <f aca="false">'LCIA (Annex 1)'!D14/'LCI per tonne'!D8</f>
        <v>1.30951685393258</v>
      </c>
      <c r="E16" s="67" t="n">
        <f aca="false">'LCIA (Annex 1)'!E14/'LCI per tonne'!E8</f>
        <v>1.0473440546697</v>
      </c>
    </row>
    <row r="17" customFormat="false" ht="15" hidden="false" customHeight="false" outlineLevel="0" collapsed="false">
      <c r="A17" s="33" t="s">
        <v>372</v>
      </c>
      <c r="B17" s="33" t="s">
        <v>373</v>
      </c>
      <c r="C17" s="67" t="n">
        <f aca="false">'LCIA (Annex 1)'!C29/'LCI per tonne'!C8</f>
        <v>13.6882478813559</v>
      </c>
      <c r="D17" s="67" t="n">
        <f aca="false">'LCIA (Annex 1)'!D29/'LCI per tonne'!D8</f>
        <v>14.1134831460674</v>
      </c>
      <c r="E17" s="67" t="n">
        <f aca="false">'LCIA (Annex 1)'!E29/'LCI per tonne'!E8</f>
        <v>14.0829471526196</v>
      </c>
    </row>
    <row r="18" customFormat="false" ht="15" hidden="false" customHeight="false" outlineLevel="0" collapsed="false">
      <c r="A18" s="33" t="s">
        <v>374</v>
      </c>
      <c r="B18" s="33" t="s">
        <v>375</v>
      </c>
      <c r="C18" s="67" t="n">
        <f aca="false">'LCIA (Annex 1)'!C44/'LCI per tonne'!C8</f>
        <v>6.78488718220339</v>
      </c>
      <c r="D18" s="67" t="n">
        <f aca="false">'LCIA (Annex 1)'!D44/'LCI per tonne'!D8</f>
        <v>7.79814606741573</v>
      </c>
      <c r="E18" s="67" t="n">
        <f aca="false">'LCIA (Annex 1)'!E44/'LCI per tonne'!E8</f>
        <v>6.90978669703872</v>
      </c>
    </row>
  </sheetData>
  <conditionalFormatting sqref="F5:F11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G5:G11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7" topLeftCell="G8" activePane="bottomRight" state="frozen"/>
      <selection pane="topLeft" activeCell="A1" activeCellId="0" sqref="A1"/>
      <selection pane="topRight" activeCell="G1" activeCellId="0" sqref="G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9" min="7" style="0" width="14"/>
    <col collapsed="false" customWidth="true" hidden="false" outlineLevel="0" max="12" min="10" style="0" width="10"/>
    <col collapsed="false" customWidth="true" hidden="false" outlineLevel="0" max="13" min="13" style="0" width="52"/>
  </cols>
  <sheetData>
    <row r="1" customFormat="false" ht="17.35" hidden="false" customHeight="false" outlineLevel="0" collapsed="false">
      <c r="A1" s="28" t="s">
        <v>376</v>
      </c>
    </row>
    <row r="2" customFormat="false" ht="15" hidden="false" customHeight="false" outlineLevel="0" collapsed="false">
      <c r="A2" s="29" t="s">
        <v>107</v>
      </c>
    </row>
    <row r="5" customFormat="false" ht="15" hidden="false" customHeight="false" outlineLevel="0" collapsed="false">
      <c r="A5" s="31" t="s">
        <v>377</v>
      </c>
      <c r="F5" s="68" t="n">
        <v>0.1</v>
      </c>
      <c r="G5" s="29" t="s">
        <v>378</v>
      </c>
    </row>
    <row r="7" customFormat="false" ht="26.85" hidden="false" customHeight="false" outlineLevel="0" collapsed="false">
      <c r="A7" s="8" t="s">
        <v>379</v>
      </c>
      <c r="B7" s="8" t="s">
        <v>380</v>
      </c>
      <c r="C7" s="8" t="s">
        <v>381</v>
      </c>
      <c r="D7" s="8" t="s">
        <v>143</v>
      </c>
      <c r="E7" s="8" t="s">
        <v>382</v>
      </c>
      <c r="F7" s="8" t="s">
        <v>383</v>
      </c>
      <c r="G7" s="8" t="s">
        <v>384</v>
      </c>
      <c r="H7" s="8" t="s">
        <v>385</v>
      </c>
      <c r="I7" s="8" t="s">
        <v>386</v>
      </c>
      <c r="J7" s="8" t="s">
        <v>387</v>
      </c>
      <c r="K7" s="8" t="s">
        <v>388</v>
      </c>
      <c r="L7" s="8" t="s">
        <v>389</v>
      </c>
      <c r="M7" s="8" t="s">
        <v>390</v>
      </c>
    </row>
    <row r="8" customFormat="false" ht="15" hidden="false" customHeight="false" outlineLevel="0" collapsed="false">
      <c r="A8" s="69" t="s">
        <v>391</v>
      </c>
      <c r="B8" s="14" t="s">
        <v>392</v>
      </c>
      <c r="C8" s="14" t="s">
        <v>393</v>
      </c>
      <c r="D8" s="14" t="s">
        <v>394</v>
      </c>
      <c r="E8" s="14" t="s">
        <v>395</v>
      </c>
      <c r="F8" s="34" t="n">
        <f aca="false">'LCIA (Annex 1)'!E18*(1-$F$5)</f>
        <v>2552.4</v>
      </c>
      <c r="G8" s="65" t="n">
        <f aca="false">'LCIA (Annex 1)'!C18</f>
        <v>2801</v>
      </c>
      <c r="H8" s="65" t="n">
        <f aca="false">'LCIA (Annex 1)'!D18</f>
        <v>1255</v>
      </c>
      <c r="I8" s="65" t="n">
        <f aca="false">'LCIA (Annex 1)'!E18</f>
        <v>2836</v>
      </c>
      <c r="J8" s="70" t="str">
        <f aca="false">IF(G8&lt;=$F8,"✓","✗")</f>
        <v>✗</v>
      </c>
      <c r="K8" s="70" t="str">
        <f aca="false">IF(H8&lt;=$F8,"✓","✗")</f>
        <v>✓</v>
      </c>
      <c r="L8" s="70" t="s">
        <v>396</v>
      </c>
      <c r="M8" s="29" t="s">
        <v>397</v>
      </c>
    </row>
    <row r="9" customFormat="false" ht="15" hidden="false" customHeight="false" outlineLevel="0" collapsed="false">
      <c r="A9" s="69" t="s">
        <v>398</v>
      </c>
      <c r="B9" s="14" t="s">
        <v>392</v>
      </c>
      <c r="C9" s="14" t="s">
        <v>399</v>
      </c>
      <c r="D9" s="14" t="s">
        <v>400</v>
      </c>
      <c r="E9" s="14" t="s">
        <v>395</v>
      </c>
      <c r="F9" s="34" t="n">
        <f aca="false">'LCIA (Annex 1)'!E33*(1-$F$5)</f>
        <v>89907.3</v>
      </c>
      <c r="G9" s="65" t="n">
        <f aca="false">'LCIA (Annex 1)'!C33</f>
        <v>90127</v>
      </c>
      <c r="H9" s="65" t="n">
        <f aca="false">'LCIA (Annex 1)'!D33</f>
        <v>19097</v>
      </c>
      <c r="I9" s="65" t="n">
        <f aca="false">'LCIA (Annex 1)'!E33</f>
        <v>99897</v>
      </c>
      <c r="J9" s="70" t="str">
        <f aca="false">IF(G9&lt;=$F9,"✓","✗")</f>
        <v>✗</v>
      </c>
      <c r="K9" s="70" t="str">
        <f aca="false">IF(H9&lt;=$F9,"✓","✗")</f>
        <v>✓</v>
      </c>
      <c r="L9" s="70" t="s">
        <v>396</v>
      </c>
      <c r="M9" s="29" t="s">
        <v>397</v>
      </c>
    </row>
    <row r="10" customFormat="false" ht="15" hidden="false" customHeight="false" outlineLevel="0" collapsed="false">
      <c r="A10" s="69" t="s">
        <v>401</v>
      </c>
      <c r="B10" s="14" t="s">
        <v>392</v>
      </c>
      <c r="C10" s="14" t="s">
        <v>402</v>
      </c>
      <c r="D10" s="14" t="s">
        <v>403</v>
      </c>
      <c r="E10" s="14" t="s">
        <v>395</v>
      </c>
      <c r="F10" s="34" t="n">
        <f aca="false">'LCIA (Annex 1)'!E48*(1-$F$5)</f>
        <v>11122.2</v>
      </c>
      <c r="G10" s="65" t="n">
        <f aca="false">'LCIA (Annex 1)'!C48</f>
        <v>10478</v>
      </c>
      <c r="H10" s="65" t="n">
        <f aca="false">'LCIA (Annex 1)'!D48</f>
        <v>4402</v>
      </c>
      <c r="I10" s="65" t="n">
        <f aca="false">'LCIA (Annex 1)'!E48</f>
        <v>12358</v>
      </c>
      <c r="J10" s="70" t="str">
        <f aca="false">IF(G10&lt;=$F10,"✓","✗")</f>
        <v>✓</v>
      </c>
      <c r="K10" s="70" t="str">
        <f aca="false">IF(H10&lt;=$F10,"✓","✗")</f>
        <v>✓</v>
      </c>
      <c r="L10" s="70" t="s">
        <v>396</v>
      </c>
      <c r="M10" s="29" t="s">
        <v>397</v>
      </c>
    </row>
    <row r="11" customFormat="false" ht="15" hidden="false" customHeight="false" outlineLevel="0" collapsed="false">
      <c r="A11" s="69" t="s">
        <v>404</v>
      </c>
      <c r="B11" s="14" t="s">
        <v>392</v>
      </c>
      <c r="C11" s="14" t="s">
        <v>405</v>
      </c>
      <c r="D11" s="14" t="s">
        <v>406</v>
      </c>
      <c r="E11" s="14" t="s">
        <v>395</v>
      </c>
      <c r="F11" s="45" t="n">
        <f aca="false">'LCIA (Annex 1)'!E63*(1-$F$5)</f>
        <v>40.5</v>
      </c>
      <c r="G11" s="48" t="n">
        <f aca="false">'LCIA (Annex 1)'!C63</f>
        <v>42</v>
      </c>
      <c r="H11" s="48" t="n">
        <f aca="false">'LCIA (Annex 1)'!D63</f>
        <v>6</v>
      </c>
      <c r="I11" s="48" t="n">
        <f aca="false">'LCIA (Annex 1)'!E63</f>
        <v>45</v>
      </c>
      <c r="J11" s="70" t="str">
        <f aca="false">IF(G11&lt;=$F11,"✓","✗")</f>
        <v>✗</v>
      </c>
      <c r="K11" s="70" t="str">
        <f aca="false">IF(H11&lt;=$F11,"✓","✗")</f>
        <v>✓</v>
      </c>
      <c r="L11" s="70" t="s">
        <v>396</v>
      </c>
      <c r="M11" s="29" t="s">
        <v>397</v>
      </c>
    </row>
    <row r="12" customFormat="false" ht="15" hidden="false" customHeight="false" outlineLevel="0" collapsed="false">
      <c r="A12" s="69" t="s">
        <v>407</v>
      </c>
      <c r="B12" s="14" t="s">
        <v>392</v>
      </c>
      <c r="C12" s="14" t="s">
        <v>408</v>
      </c>
      <c r="D12" s="14" t="s">
        <v>409</v>
      </c>
      <c r="E12" s="14" t="s">
        <v>395</v>
      </c>
      <c r="F12" s="45" t="n">
        <f aca="false">'LCIA (Annex 1)'!E78*(1-$F$5)</f>
        <v>54.9</v>
      </c>
      <c r="G12" s="48" t="n">
        <f aca="false">'LCIA (Annex 1)'!C78</f>
        <v>26</v>
      </c>
      <c r="H12" s="48" t="n">
        <f aca="false">'LCIA (Annex 1)'!D78</f>
        <v>2</v>
      </c>
      <c r="I12" s="48" t="n">
        <f aca="false">'LCIA (Annex 1)'!E78</f>
        <v>61</v>
      </c>
      <c r="J12" s="70" t="str">
        <f aca="false">IF(G12&lt;=$F12,"✓","✗")</f>
        <v>✓</v>
      </c>
      <c r="K12" s="70" t="str">
        <f aca="false">IF(H12&lt;=$F12,"✓","✗")</f>
        <v>✓</v>
      </c>
      <c r="L12" s="70" t="s">
        <v>396</v>
      </c>
      <c r="M12" s="29" t="s">
        <v>397</v>
      </c>
    </row>
    <row r="13" customFormat="false" ht="15" hidden="false" customHeight="false" outlineLevel="0" collapsed="false">
      <c r="A13" s="69" t="s">
        <v>410</v>
      </c>
      <c r="B13" s="14" t="s">
        <v>392</v>
      </c>
      <c r="C13" s="14" t="s">
        <v>411</v>
      </c>
      <c r="D13" s="14" t="s">
        <v>412</v>
      </c>
      <c r="E13" s="14" t="s">
        <v>395</v>
      </c>
      <c r="F13" s="34" t="n">
        <f aca="false">'LCIA (Annex 1)'!E93*(1-$F$5)</f>
        <v>2141.1</v>
      </c>
      <c r="G13" s="65" t="n">
        <f aca="false">'LCIA (Annex 1)'!C93</f>
        <v>2946</v>
      </c>
      <c r="H13" s="65" t="n">
        <f aca="false">'LCIA (Annex 1)'!D93</f>
        <v>4885</v>
      </c>
      <c r="I13" s="65" t="n">
        <f aca="false">'LCIA (Annex 1)'!E93</f>
        <v>2379</v>
      </c>
      <c r="J13" s="70" t="str">
        <f aca="false">IF(G13&lt;=$F13,"✓","✗")</f>
        <v>✗</v>
      </c>
      <c r="K13" s="70" t="str">
        <f aca="false">IF(H13&lt;=$F13,"✓","✗")</f>
        <v>✗</v>
      </c>
      <c r="L13" s="70" t="s">
        <v>396</v>
      </c>
      <c r="M13" s="29" t="s">
        <v>397</v>
      </c>
    </row>
    <row r="14" customFormat="false" ht="15" hidden="false" customHeight="false" outlineLevel="0" collapsed="false">
      <c r="A14" s="69" t="s">
        <v>413</v>
      </c>
      <c r="B14" s="14" t="s">
        <v>392</v>
      </c>
      <c r="C14" s="14" t="s">
        <v>414</v>
      </c>
      <c r="D14" s="14" t="s">
        <v>415</v>
      </c>
      <c r="E14" s="14" t="s">
        <v>395</v>
      </c>
      <c r="F14" s="34" t="n">
        <f aca="false">'LCIA (Annex 1)'!E108*(1-$F$5)</f>
        <v>353701.8</v>
      </c>
      <c r="G14" s="65" t="n">
        <f aca="false">'LCIA (Annex 1)'!C108</f>
        <v>163840</v>
      </c>
      <c r="H14" s="65" t="n">
        <f aca="false">'LCIA (Annex 1)'!D108</f>
        <v>115691</v>
      </c>
      <c r="I14" s="65" t="n">
        <f aca="false">'LCIA (Annex 1)'!E108</f>
        <v>393002</v>
      </c>
      <c r="J14" s="70" t="str">
        <f aca="false">IF(G14&lt;=$F14,"✓","✗")</f>
        <v>✓</v>
      </c>
      <c r="K14" s="70" t="str">
        <f aca="false">IF(H14&lt;=$F14,"✓","✗")</f>
        <v>✓</v>
      </c>
      <c r="L14" s="70" t="s">
        <v>396</v>
      </c>
      <c r="M14" s="29" t="s">
        <v>397</v>
      </c>
    </row>
    <row r="15" customFormat="false" ht="15" hidden="false" customHeight="false" outlineLevel="0" collapsed="false">
      <c r="A15" s="69" t="s">
        <v>416</v>
      </c>
      <c r="B15" s="14" t="s">
        <v>417</v>
      </c>
      <c r="C15" s="14" t="s">
        <v>28</v>
      </c>
      <c r="D15" s="14" t="s">
        <v>159</v>
      </c>
      <c r="E15" s="14" t="s">
        <v>418</v>
      </c>
      <c r="F15" s="71" t="n">
        <v>0.35</v>
      </c>
      <c r="G15" s="47" t="n">
        <f aca="false">'Nutrient balance'!C13</f>
        <v>0.469758878127522</v>
      </c>
      <c r="H15" s="47" t="n">
        <f aca="false">'Nutrient balance'!D13</f>
        <v>1.1060393258427</v>
      </c>
      <c r="I15" s="47" t="n">
        <f aca="false">'Nutrient balance'!E13</f>
        <v>0.201757240481614</v>
      </c>
      <c r="J15" s="70" t="str">
        <f aca="false">IF(G15&gt;=$F15,"✓","✗")</f>
        <v>✓</v>
      </c>
      <c r="K15" s="70" t="str">
        <f aca="false">IF(H15&gt;=$F15,"✓","✗")</f>
        <v>✓</v>
      </c>
      <c r="L15" s="70" t="str">
        <f aca="false">IF(I15&gt;=$F15,"✓","✗")</f>
        <v>✗</v>
      </c>
      <c r="M15" s="29" t="s">
        <v>419</v>
      </c>
    </row>
    <row r="16" customFormat="false" ht="15" hidden="false" customHeight="false" outlineLevel="0" collapsed="false">
      <c r="A16" s="69" t="s">
        <v>420</v>
      </c>
      <c r="B16" s="14" t="s">
        <v>417</v>
      </c>
      <c r="C16" s="14" t="s">
        <v>421</v>
      </c>
      <c r="D16" s="14" t="s">
        <v>159</v>
      </c>
      <c r="E16" s="14" t="s">
        <v>418</v>
      </c>
      <c r="F16" s="71" t="n">
        <v>0.3</v>
      </c>
      <c r="G16" s="47" t="n">
        <f aca="false">'Nutrient balance'!C22</f>
        <v>0.3215799031477</v>
      </c>
      <c r="H16" s="47" t="n">
        <f aca="false">'Nutrient balance'!D22</f>
        <v>0.950734658599827</v>
      </c>
      <c r="I16" s="47" t="n">
        <f aca="false">'Nutrient balance'!E22</f>
        <v>0.162707452001302</v>
      </c>
      <c r="J16" s="70" t="str">
        <f aca="false">IF(G16&gt;=$F16,"✓","✗")</f>
        <v>✓</v>
      </c>
      <c r="K16" s="70" t="str">
        <f aca="false">IF(H16&gt;=$F16,"✓","✗")</f>
        <v>✓</v>
      </c>
      <c r="L16" s="70" t="str">
        <f aca="false">IF(I16&gt;=$F16,"✓","✗")</f>
        <v>✗</v>
      </c>
      <c r="M16" s="29" t="s">
        <v>422</v>
      </c>
    </row>
    <row r="17" customFormat="false" ht="15" hidden="false" customHeight="false" outlineLevel="0" collapsed="false">
      <c r="A17" s="69" t="s">
        <v>423</v>
      </c>
      <c r="B17" s="14" t="s">
        <v>417</v>
      </c>
      <c r="C17" s="14" t="s">
        <v>424</v>
      </c>
      <c r="D17" s="14" t="s">
        <v>425</v>
      </c>
      <c r="E17" s="14" t="s">
        <v>395</v>
      </c>
      <c r="F17" s="72" t="n">
        <v>60</v>
      </c>
      <c r="G17" s="48" t="n">
        <f aca="false">'Nutrient balance'!C14</f>
        <v>54.7384865744508</v>
      </c>
      <c r="H17" s="48" t="n">
        <f aca="false">'Nutrient balance'!D14</f>
        <v>-3.79874213836478</v>
      </c>
      <c r="I17" s="48" t="n">
        <f aca="false">'Nutrient balance'!E14</f>
        <v>95.9296072999837</v>
      </c>
      <c r="J17" s="70" t="str">
        <f aca="false">IF(G17&lt;=$F17,"✓","✗")</f>
        <v>✓</v>
      </c>
      <c r="K17" s="70" t="str">
        <f aca="false">IF(H17&lt;=$F17,"✓","✗")</f>
        <v>✓</v>
      </c>
      <c r="L17" s="70" t="str">
        <f aca="false">IF(I17&lt;=$F17,"✓","✗")</f>
        <v>✗</v>
      </c>
      <c r="M17" s="29" t="s">
        <v>426</v>
      </c>
    </row>
    <row r="18" customFormat="false" ht="15" hidden="false" customHeight="false" outlineLevel="0" collapsed="false">
      <c r="A18" s="69" t="s">
        <v>427</v>
      </c>
      <c r="B18" s="14" t="s">
        <v>417</v>
      </c>
      <c r="C18" s="14" t="s">
        <v>428</v>
      </c>
      <c r="D18" s="14" t="s">
        <v>224</v>
      </c>
      <c r="E18" s="14" t="s">
        <v>395</v>
      </c>
      <c r="F18" s="72" t="n">
        <v>1.75</v>
      </c>
      <c r="G18" s="48" t="n">
        <f aca="false">Inventory!C26</f>
        <v>1.7179253867152</v>
      </c>
      <c r="H18" s="48" t="n">
        <f aca="false">Inventory!D26</f>
        <v>1.36923076923077</v>
      </c>
      <c r="I18" s="48" t="n">
        <f aca="false">Inventory!E26</f>
        <v>1.78833306175656</v>
      </c>
      <c r="J18" s="70" t="str">
        <f aca="false">IF(G18&lt;=$F18,"✓","✗")</f>
        <v>✓</v>
      </c>
      <c r="K18" s="70" t="str">
        <f aca="false">IF(H18&lt;=$F18,"✓","✗")</f>
        <v>✓</v>
      </c>
      <c r="L18" s="70" t="str">
        <f aca="false">IF(I18&lt;=$F18,"✓","✗")</f>
        <v>✗</v>
      </c>
      <c r="M18" s="29" t="s">
        <v>429</v>
      </c>
    </row>
    <row r="19" customFormat="false" ht="15" hidden="false" customHeight="false" outlineLevel="0" collapsed="false">
      <c r="A19" s="69" t="s">
        <v>430</v>
      </c>
      <c r="B19" s="14" t="s">
        <v>417</v>
      </c>
      <c r="C19" s="14" t="s">
        <v>431</v>
      </c>
      <c r="D19" s="14" t="s">
        <v>159</v>
      </c>
      <c r="E19" s="14" t="s">
        <v>418</v>
      </c>
      <c r="F19" s="71" t="n">
        <v>0.5</v>
      </c>
      <c r="G19" s="47" t="n">
        <f aca="false">(Inventory!C19+Inventory!C20)/(Inventory!C18+Inventory!C19+Inventory!C20)</f>
        <v>0.551977170811252</v>
      </c>
      <c r="H19" s="47" t="n">
        <f aca="false">(Inventory!D19+Inventory!D20)/(Inventory!D18+Inventory!D19+Inventory!D20)</f>
        <v>0.998172052082455</v>
      </c>
      <c r="I19" s="47" t="n">
        <f aca="false">(Inventory!E19+Inventory!E20)/(Inventory!E18+Inventory!E19+Inventory!E20)</f>
        <v>0</v>
      </c>
      <c r="J19" s="70" t="str">
        <f aca="false">IF(G19&gt;=$F19,"✓","✗")</f>
        <v>✓</v>
      </c>
      <c r="K19" s="70" t="str">
        <f aca="false">IF(H19&gt;=$F19,"✓","✗")</f>
        <v>✓</v>
      </c>
      <c r="L19" s="70" t="str">
        <f aca="false">IF(I19&gt;=$F19,"✓","✗")</f>
        <v>✗</v>
      </c>
      <c r="M19" s="29" t="s">
        <v>432</v>
      </c>
    </row>
    <row r="20" customFormat="false" ht="15" hidden="false" customHeight="false" outlineLevel="0" collapsed="false">
      <c r="A20" s="69" t="s">
        <v>433</v>
      </c>
      <c r="B20" s="14" t="s">
        <v>417</v>
      </c>
      <c r="C20" s="14" t="s">
        <v>434</v>
      </c>
      <c r="D20" s="14" t="s">
        <v>159</v>
      </c>
      <c r="E20" s="14" t="s">
        <v>395</v>
      </c>
      <c r="F20" s="71" t="n">
        <v>0.6</v>
      </c>
      <c r="G20" s="47" t="n">
        <f aca="false">'LCIA (Annex 1)'!C14/'LCIA (Annex 1)'!C18</f>
        <v>0.553016779721528</v>
      </c>
      <c r="H20" s="47" t="n">
        <f aca="false">'LCIA (Annex 1)'!D14/'LCIA (Annex 1)'!D18</f>
        <v>0.58406374501992</v>
      </c>
      <c r="I20" s="47" t="n">
        <f aca="false">'LCIA (Annex 1)'!E14/'LCIA (Annex 1)'!E18</f>
        <v>0.660437235543018</v>
      </c>
      <c r="J20" s="70" t="str">
        <f aca="false">IF(G20&lt;=$F20,"✓","✗")</f>
        <v>✓</v>
      </c>
      <c r="K20" s="70" t="str">
        <f aca="false">IF(H20&lt;=$F20,"✓","✗")</f>
        <v>✓</v>
      </c>
      <c r="L20" s="70" t="str">
        <f aca="false">IF(I20&lt;=$F20,"✓","✗")</f>
        <v>✗</v>
      </c>
      <c r="M20" s="29" t="s">
        <v>435</v>
      </c>
    </row>
    <row r="22" customFormat="false" ht="15" hidden="false" customHeight="false" outlineLevel="0" collapsed="false">
      <c r="A22" s="73" t="s">
        <v>436</v>
      </c>
      <c r="J22" s="73" t="str">
        <f aca="false">COUNTIF(J8:J20,"✓")&amp;" / "&amp;COUNTA(J8:J20)</f>
        <v>9 / 13</v>
      </c>
      <c r="K22" s="73" t="str">
        <f aca="false">COUNTIF(K8:K20,"✓")&amp;" / "&amp;COUNTA(K8:K20)</f>
        <v>12 / 13</v>
      </c>
      <c r="L22" s="73" t="str">
        <f aca="false">COUNTIF(L8:L20,"✓")&amp;" / "&amp;COUNTA(L8:L20)</f>
        <v>0 / 13</v>
      </c>
    </row>
    <row r="24" customFormat="false" ht="15" hidden="false" customHeight="false" outlineLevel="0" collapsed="false">
      <c r="A24" s="29" t="s">
        <v>437</v>
      </c>
    </row>
  </sheetData>
  <conditionalFormatting sqref="J8:J20">
    <cfRule type="expression" priority="2" aboveAverage="0" equalAverage="0" bottom="0" percent="0" rank="0" text="" dxfId="0">
      <formula>J8="✓"</formula>
    </cfRule>
    <cfRule type="expression" priority="3" aboveAverage="0" equalAverage="0" bottom="0" percent="0" rank="0" text="" dxfId="1">
      <formula>J8="✗"</formula>
    </cfRule>
  </conditionalFormatting>
  <conditionalFormatting sqref="G8:G20">
    <cfRule type="expression" priority="4" aboveAverage="0" equalAverage="0" bottom="0" percent="0" rank="0" text="" dxfId="0">
      <formula>J8="✓"</formula>
    </cfRule>
    <cfRule type="expression" priority="5" aboveAverage="0" equalAverage="0" bottom="0" percent="0" rank="0" text="" dxfId="1">
      <formula>J8="✗"</formula>
    </cfRule>
  </conditionalFormatting>
  <conditionalFormatting sqref="K8:K20">
    <cfRule type="expression" priority="6" aboveAverage="0" equalAverage="0" bottom="0" percent="0" rank="0" text="" dxfId="0">
      <formula>K8="✓"</formula>
    </cfRule>
    <cfRule type="expression" priority="7" aboveAverage="0" equalAverage="0" bottom="0" percent="0" rank="0" text="" dxfId="1">
      <formula>K8="✗"</formula>
    </cfRule>
  </conditionalFormatting>
  <conditionalFormatting sqref="H8:H20">
    <cfRule type="expression" priority="8" aboveAverage="0" equalAverage="0" bottom="0" percent="0" rank="0" text="" dxfId="0">
      <formula>K8="✓"</formula>
    </cfRule>
    <cfRule type="expression" priority="9" aboveAverage="0" equalAverage="0" bottom="0" percent="0" rank="0" text="" dxfId="1">
      <formula>K8="✗"</formula>
    </cfRule>
  </conditionalFormatting>
  <conditionalFormatting sqref="L8:L20">
    <cfRule type="expression" priority="10" aboveAverage="0" equalAverage="0" bottom="0" percent="0" rank="0" text="" dxfId="0">
      <formula>L8="✓"</formula>
    </cfRule>
    <cfRule type="expression" priority="11" aboveAverage="0" equalAverage="0" bottom="0" percent="0" rank="0" text="" dxfId="1">
      <formula>L8="✗"</formula>
    </cfRule>
  </conditionalFormatting>
  <conditionalFormatting sqref="I8:I20">
    <cfRule type="expression" priority="12" aboveAverage="0" equalAverage="0" bottom="0" percent="0" rank="0" text="" dxfId="0">
      <formula>L8="✓"</formula>
    </cfRule>
    <cfRule type="expression" priority="13" aboveAverage="0" equalAverage="0" bottom="0" percent="0" rank="0" text="" dxfId="1">
      <formula>L8="✗"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"/>
    <col collapsed="false" customWidth="true" hidden="false" outlineLevel="0" max="5" min="3" style="0" width="26"/>
  </cols>
  <sheetData>
    <row r="1" customFormat="false" ht="17.35" hidden="false" customHeight="false" outlineLevel="0" collapsed="false">
      <c r="A1" s="28" t="s">
        <v>438</v>
      </c>
    </row>
    <row r="2" customFormat="false" ht="15" hidden="false" customHeight="false" outlineLevel="0" collapsed="false">
      <c r="A2" s="29" t="s">
        <v>107</v>
      </c>
    </row>
    <row r="4" customFormat="false" ht="26.85" hidden="false" customHeight="false" outlineLevel="0" collapsed="false">
      <c r="A4" s="8"/>
      <c r="B4" s="8"/>
      <c r="C4" s="8" t="s">
        <v>11</v>
      </c>
      <c r="D4" s="8" t="s">
        <v>15</v>
      </c>
      <c r="E4" s="8" t="s">
        <v>19</v>
      </c>
    </row>
    <row r="5" customFormat="false" ht="15" hidden="false" customHeight="false" outlineLevel="0" collapsed="false">
      <c r="A5" s="31" t="s">
        <v>439</v>
      </c>
      <c r="C5" s="73" t="str">
        <f aca="false">'KPI framework'!J22</f>
        <v>9 / 13</v>
      </c>
      <c r="D5" s="73" t="str">
        <f aca="false">'KPI framework'!K22</f>
        <v>12 / 13</v>
      </c>
      <c r="E5" s="73" t="str">
        <f aca="false">'KPI framework'!L22</f>
        <v>0 / 13</v>
      </c>
    </row>
    <row r="6" customFormat="false" ht="15" hidden="false" customHeight="false" outlineLevel="0" collapsed="false">
      <c r="A6" s="31" t="s">
        <v>24</v>
      </c>
      <c r="C6" s="34" t="n">
        <f aca="false">Comparison!C5</f>
        <v>2801</v>
      </c>
      <c r="D6" s="34" t="n">
        <f aca="false">Comparison!D5</f>
        <v>1255</v>
      </c>
      <c r="E6" s="34" t="n">
        <f aca="false">Comparison!E5</f>
        <v>2836</v>
      </c>
    </row>
    <row r="7" customFormat="false" ht="15" hidden="false" customHeight="false" outlineLevel="0" collapsed="false">
      <c r="A7" s="31" t="s">
        <v>25</v>
      </c>
      <c r="C7" s="34" t="n">
        <f aca="false">Comparison!C9</f>
        <v>26</v>
      </c>
      <c r="D7" s="34" t="n">
        <f aca="false">Comparison!D9</f>
        <v>2</v>
      </c>
      <c r="E7" s="34" t="n">
        <f aca="false">Comparison!E9</f>
        <v>61</v>
      </c>
    </row>
    <row r="8" customFormat="false" ht="15" hidden="false" customHeight="false" outlineLevel="0" collapsed="false">
      <c r="A8" s="31" t="s">
        <v>27</v>
      </c>
      <c r="C8" s="34" t="n">
        <f aca="false">Comparison!C11</f>
        <v>163840</v>
      </c>
      <c r="D8" s="34" t="n">
        <f aca="false">Comparison!D11</f>
        <v>115691</v>
      </c>
      <c r="E8" s="34" t="n">
        <f aca="false">Comparison!E11</f>
        <v>393002</v>
      </c>
    </row>
    <row r="9" customFormat="false" ht="15" hidden="false" customHeight="false" outlineLevel="0" collapsed="false">
      <c r="A9" s="31" t="s">
        <v>26</v>
      </c>
      <c r="C9" s="34" t="n">
        <f aca="false">Comparison!C10</f>
        <v>2946</v>
      </c>
      <c r="D9" s="34" t="n">
        <f aca="false">Comparison!D10</f>
        <v>4885</v>
      </c>
      <c r="E9" s="34" t="n">
        <f aca="false">Comparison!E10</f>
        <v>2379</v>
      </c>
    </row>
    <row r="10" customFormat="false" ht="15" hidden="false" customHeight="false" outlineLevel="0" collapsed="false">
      <c r="A10" s="31" t="s">
        <v>28</v>
      </c>
      <c r="C10" s="62" t="n">
        <f aca="false">'Nutrient balance'!C13</f>
        <v>0.469758878127522</v>
      </c>
      <c r="D10" s="62" t="n">
        <f aca="false">'Nutrient balance'!D13</f>
        <v>1.1060393258427</v>
      </c>
      <c r="E10" s="62" t="n">
        <f aca="false">'Nutrient balance'!E13</f>
        <v>0.201757240481614</v>
      </c>
    </row>
    <row r="11" customFormat="false" ht="15" hidden="false" customHeight="false" outlineLevel="0" collapsed="false">
      <c r="A11" s="31" t="s">
        <v>440</v>
      </c>
      <c r="C11" s="74" t="n">
        <f aca="false">'Nutrient balance'!C14</f>
        <v>54.7384865744508</v>
      </c>
      <c r="D11" s="74" t="n">
        <f aca="false">'Nutrient balance'!D14</f>
        <v>-3.79874213836478</v>
      </c>
      <c r="E11" s="74" t="n">
        <f aca="false">'Nutrient balance'!E14</f>
        <v>95.9296072999837</v>
      </c>
    </row>
    <row r="15" customFormat="false" ht="15" hidden="false" customHeight="false" outlineLevel="0" collapsed="false">
      <c r="A15" s="41" t="s">
        <v>441</v>
      </c>
      <c r="B15" s="5"/>
      <c r="C15" s="5"/>
      <c r="D15" s="5"/>
      <c r="E15" s="5"/>
    </row>
    <row r="16" customFormat="false" ht="26.85" hidden="false" customHeight="false" outlineLevel="0" collapsed="false">
      <c r="A16" s="8" t="s">
        <v>306</v>
      </c>
      <c r="B16" s="8"/>
      <c r="C16" s="8" t="s">
        <v>11</v>
      </c>
      <c r="D16" s="8" t="s">
        <v>15</v>
      </c>
      <c r="E16" s="8" t="s">
        <v>19</v>
      </c>
    </row>
    <row r="17" customFormat="false" ht="15" hidden="false" customHeight="false" outlineLevel="0" collapsed="false">
      <c r="A17" s="33" t="s">
        <v>311</v>
      </c>
      <c r="C17" s="34" t="n">
        <f aca="false">'LCIA (Annex 1)'!C6</f>
        <v>137</v>
      </c>
      <c r="D17" s="34" t="n">
        <f aca="false">'LCIA (Annex 1)'!D6</f>
        <v>12</v>
      </c>
      <c r="E17" s="34" t="n">
        <f aca="false">'LCIA (Annex 1)'!E6</f>
        <v>13</v>
      </c>
    </row>
    <row r="18" customFormat="false" ht="15" hidden="false" customHeight="false" outlineLevel="0" collapsed="false">
      <c r="A18" s="33" t="s">
        <v>313</v>
      </c>
      <c r="C18" s="34" t="n">
        <f aca="false">'LCIA (Annex 1)'!C7</f>
        <v>330</v>
      </c>
      <c r="D18" s="34" t="n">
        <f aca="false">'LCIA (Annex 1)'!D7</f>
        <v>6</v>
      </c>
      <c r="E18" s="34" t="n">
        <f aca="false">'LCIA (Annex 1)'!E7</f>
        <v>474</v>
      </c>
    </row>
    <row r="19" customFormat="false" ht="15" hidden="false" customHeight="false" outlineLevel="0" collapsed="false">
      <c r="A19" s="33" t="s">
        <v>315</v>
      </c>
      <c r="C19" s="34" t="n">
        <f aca="false">'LCIA (Annex 1)'!C9</f>
        <v>32</v>
      </c>
      <c r="D19" s="34" t="n">
        <f aca="false">'LCIA (Annex 1)'!D9</f>
        <v>8</v>
      </c>
      <c r="E19" s="34" t="n">
        <f aca="false">'LCIA (Annex 1)'!E9</f>
        <v>80</v>
      </c>
    </row>
    <row r="20" customFormat="false" ht="15" hidden="false" customHeight="false" outlineLevel="0" collapsed="false">
      <c r="A20" s="33" t="s">
        <v>317</v>
      </c>
      <c r="C20" s="34" t="n">
        <f aca="false">'LCIA (Annex 1)'!C11</f>
        <v>0</v>
      </c>
      <c r="D20" s="34" t="n">
        <f aca="false">'LCIA (Annex 1)'!D11</f>
        <v>30</v>
      </c>
      <c r="E20" s="34" t="n">
        <f aca="false">'LCIA (Annex 1)'!E11</f>
        <v>0</v>
      </c>
    </row>
    <row r="21" customFormat="false" ht="15" hidden="false" customHeight="false" outlineLevel="0" collapsed="false">
      <c r="A21" s="33" t="s">
        <v>318</v>
      </c>
      <c r="C21" s="34" t="n">
        <f aca="false">'LCIA (Annex 1)'!C12</f>
        <v>386</v>
      </c>
      <c r="D21" s="34" t="n">
        <f aca="false">'LCIA (Annex 1)'!D12</f>
        <v>228</v>
      </c>
      <c r="E21" s="34" t="n">
        <f aca="false">'LCIA (Annex 1)'!E12</f>
        <v>15</v>
      </c>
    </row>
    <row r="22" customFormat="false" ht="15" hidden="false" customHeight="false" outlineLevel="0" collapsed="false">
      <c r="A22" s="33" t="s">
        <v>319</v>
      </c>
      <c r="C22" s="34" t="n">
        <f aca="false">'LCIA (Annex 1)'!C13</f>
        <v>43</v>
      </c>
      <c r="D22" s="34" t="n">
        <f aca="false">'LCIA (Annex 1)'!D13</f>
        <v>29</v>
      </c>
      <c r="E22" s="34" t="n">
        <f aca="false">'LCIA (Annex 1)'!E13</f>
        <v>1</v>
      </c>
    </row>
    <row r="23" customFormat="false" ht="15" hidden="false" customHeight="false" outlineLevel="0" collapsed="false">
      <c r="A23" s="33" t="s">
        <v>320</v>
      </c>
      <c r="C23" s="34" t="n">
        <f aca="false">'LCIA (Annex 1)'!C14</f>
        <v>1549</v>
      </c>
      <c r="D23" s="34" t="n">
        <f aca="false">'LCIA (Annex 1)'!D14</f>
        <v>733</v>
      </c>
      <c r="E23" s="34" t="n">
        <f aca="false">'LCIA (Annex 1)'!E14</f>
        <v>1873</v>
      </c>
    </row>
    <row r="24" customFormat="false" ht="15" hidden="false" customHeight="false" outlineLevel="0" collapsed="false">
      <c r="A24" s="33" t="s">
        <v>321</v>
      </c>
      <c r="C24" s="34" t="n">
        <f aca="false">'LCIA (Annex 1)'!C15</f>
        <v>325</v>
      </c>
      <c r="D24" s="34" t="n">
        <f aca="false">'LCIA (Annex 1)'!D15</f>
        <v>208</v>
      </c>
      <c r="E24" s="34" t="n">
        <f aca="false">'LCIA (Annex 1)'!E15</f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2"/>
  </cols>
  <sheetData>
    <row r="1" customFormat="false" ht="17.35" hidden="false" customHeight="false" outlineLevel="0" collapsed="false">
      <c r="A1" s="28" t="s">
        <v>442</v>
      </c>
    </row>
    <row r="2" customFormat="false" ht="15" hidden="false" customHeight="false" outlineLevel="0" collapsed="false">
      <c r="A2" s="29" t="s">
        <v>107</v>
      </c>
    </row>
    <row r="4" customFormat="false" ht="15" hidden="false" customHeight="false" outlineLevel="0" collapsed="false">
      <c r="A4" s="41" t="s">
        <v>443</v>
      </c>
      <c r="B4" s="5"/>
      <c r="C4" s="5"/>
      <c r="D4" s="5"/>
      <c r="E4" s="5"/>
      <c r="F4" s="5"/>
    </row>
    <row r="5" customFormat="false" ht="26.85" hidden="false" customHeight="false" outlineLevel="0" collapsed="false">
      <c r="A5" s="8" t="s">
        <v>358</v>
      </c>
      <c r="B5" s="8"/>
      <c r="C5" s="8" t="s">
        <v>11</v>
      </c>
      <c r="D5" s="8" t="s">
        <v>15</v>
      </c>
      <c r="E5" s="8" t="s">
        <v>19</v>
      </c>
    </row>
    <row r="6" customFormat="false" ht="15" hidden="false" customHeight="false" outlineLevel="0" collapsed="false">
      <c r="A6" s="33" t="s">
        <v>393</v>
      </c>
      <c r="C6" s="62" t="n">
        <f aca="false">Comparison!C5/Comparison!$E5</f>
        <v>0.987658674188999</v>
      </c>
      <c r="D6" s="62" t="n">
        <f aca="false">Comparison!D5/Comparison!$E5</f>
        <v>0.442524682651622</v>
      </c>
      <c r="E6" s="62" t="n">
        <f aca="false">Comparison!E5/Comparison!$E5</f>
        <v>1</v>
      </c>
    </row>
    <row r="7" customFormat="false" ht="15" hidden="false" customHeight="false" outlineLevel="0" collapsed="false">
      <c r="A7" s="33" t="s">
        <v>399</v>
      </c>
      <c r="C7" s="62" t="n">
        <f aca="false">Comparison!C6/Comparison!$E6</f>
        <v>0.902199265243201</v>
      </c>
      <c r="D7" s="62" t="n">
        <f aca="false">Comparison!D6/Comparison!$E6</f>
        <v>0.191166901908966</v>
      </c>
      <c r="E7" s="62" t="n">
        <f aca="false">Comparison!E6/Comparison!$E6</f>
        <v>1</v>
      </c>
    </row>
    <row r="8" customFormat="false" ht="15" hidden="false" customHeight="false" outlineLevel="0" collapsed="false">
      <c r="A8" s="33" t="s">
        <v>402</v>
      </c>
      <c r="C8" s="62" t="n">
        <f aca="false">Comparison!C7/Comparison!$E7</f>
        <v>0.847871823919728</v>
      </c>
      <c r="D8" s="62" t="n">
        <f aca="false">Comparison!D7/Comparison!$E7</f>
        <v>0.356206505907105</v>
      </c>
      <c r="E8" s="62" t="n">
        <f aca="false">Comparison!E7/Comparison!$E7</f>
        <v>1</v>
      </c>
    </row>
    <row r="9" customFormat="false" ht="15" hidden="false" customHeight="false" outlineLevel="0" collapsed="false">
      <c r="A9" s="33" t="s">
        <v>405</v>
      </c>
      <c r="C9" s="62" t="n">
        <f aca="false">Comparison!C8/Comparison!$E8</f>
        <v>0.933333333333333</v>
      </c>
      <c r="D9" s="62" t="n">
        <f aca="false">Comparison!D8/Comparison!$E8</f>
        <v>0.133333333333333</v>
      </c>
      <c r="E9" s="62" t="n">
        <f aca="false">Comparison!E8/Comparison!$E8</f>
        <v>1</v>
      </c>
    </row>
    <row r="10" customFormat="false" ht="15" hidden="false" customHeight="false" outlineLevel="0" collapsed="false">
      <c r="A10" s="33" t="s">
        <v>408</v>
      </c>
      <c r="C10" s="62" t="n">
        <f aca="false">Comparison!C9/Comparison!$E9</f>
        <v>0.426229508196721</v>
      </c>
      <c r="D10" s="62" t="n">
        <f aca="false">Comparison!D9/Comparison!$E9</f>
        <v>0.0327868852459016</v>
      </c>
      <c r="E10" s="62" t="n">
        <f aca="false">Comparison!E9/Comparison!$E9</f>
        <v>1</v>
      </c>
    </row>
    <row r="11" customFormat="false" ht="15" hidden="false" customHeight="false" outlineLevel="0" collapsed="false">
      <c r="A11" s="33" t="s">
        <v>411</v>
      </c>
      <c r="C11" s="62" t="n">
        <f aca="false">Comparison!C10/Comparison!$E10</f>
        <v>1.23833543505675</v>
      </c>
      <c r="D11" s="62" t="n">
        <f aca="false">Comparison!D10/Comparison!$E10</f>
        <v>2.05338377469525</v>
      </c>
      <c r="E11" s="62" t="n">
        <f aca="false">Comparison!E10/Comparison!$E10</f>
        <v>1</v>
      </c>
    </row>
    <row r="12" customFormat="false" ht="15" hidden="false" customHeight="false" outlineLevel="0" collapsed="false">
      <c r="A12" s="33" t="s">
        <v>414</v>
      </c>
      <c r="C12" s="62" t="n">
        <f aca="false">Comparison!C11/Comparison!$E11</f>
        <v>0.416893552704566</v>
      </c>
      <c r="D12" s="62" t="n">
        <f aca="false">Comparison!D11/Comparison!$E11</f>
        <v>0.294377636755029</v>
      </c>
      <c r="E12" s="62" t="n">
        <f aca="false">Comparison!E11/Comparison!$E11</f>
        <v>1</v>
      </c>
    </row>
    <row r="25" customFormat="false" ht="15" hidden="false" customHeight="false" outlineLevel="0" collapsed="false">
      <c r="A25" s="41" t="s">
        <v>444</v>
      </c>
      <c r="B25" s="5"/>
      <c r="C25" s="5"/>
      <c r="D25" s="5"/>
      <c r="E25" s="5"/>
      <c r="F25" s="5"/>
    </row>
    <row r="26" customFormat="false" ht="26.85" hidden="false" customHeight="false" outlineLevel="0" collapsed="false">
      <c r="A26" s="8" t="s">
        <v>358</v>
      </c>
      <c r="B26" s="8"/>
      <c r="C26" s="8" t="s">
        <v>359</v>
      </c>
      <c r="D26" s="8" t="s">
        <v>360</v>
      </c>
    </row>
    <row r="27" customFormat="false" ht="15" hidden="false" customHeight="false" outlineLevel="0" collapsed="false">
      <c r="A27" s="33" t="s">
        <v>393</v>
      </c>
      <c r="C27" s="66" t="n">
        <f aca="false">Comparison!F5</f>
        <v>-0.0123413258110014</v>
      </c>
      <c r="D27" s="66" t="n">
        <f aca="false">Comparison!G5</f>
        <v>-0.557475317348378</v>
      </c>
    </row>
    <row r="28" customFormat="false" ht="15" hidden="false" customHeight="false" outlineLevel="0" collapsed="false">
      <c r="A28" s="33" t="s">
        <v>399</v>
      </c>
      <c r="C28" s="66" t="n">
        <f aca="false">Comparison!F6</f>
        <v>-0.0978007347567995</v>
      </c>
      <c r="D28" s="66" t="n">
        <f aca="false">Comparison!G6</f>
        <v>-0.808833098091034</v>
      </c>
    </row>
    <row r="29" customFormat="false" ht="15" hidden="false" customHeight="false" outlineLevel="0" collapsed="false">
      <c r="A29" s="33" t="s">
        <v>402</v>
      </c>
      <c r="C29" s="66" t="n">
        <f aca="false">Comparison!F7</f>
        <v>-0.152128176080272</v>
      </c>
      <c r="D29" s="66" t="n">
        <f aca="false">Comparison!G7</f>
        <v>-0.643793494092895</v>
      </c>
    </row>
    <row r="30" customFormat="false" ht="15" hidden="false" customHeight="false" outlineLevel="0" collapsed="false">
      <c r="A30" s="33" t="s">
        <v>405</v>
      </c>
      <c r="C30" s="66" t="n">
        <f aca="false">Comparison!F8</f>
        <v>-0.0666666666666667</v>
      </c>
      <c r="D30" s="66" t="n">
        <f aca="false">Comparison!G8</f>
        <v>-0.866666666666667</v>
      </c>
    </row>
    <row r="31" customFormat="false" ht="15" hidden="false" customHeight="false" outlineLevel="0" collapsed="false">
      <c r="A31" s="33" t="s">
        <v>408</v>
      </c>
      <c r="C31" s="66" t="n">
        <f aca="false">Comparison!F9</f>
        <v>-0.573770491803279</v>
      </c>
      <c r="D31" s="66" t="n">
        <f aca="false">Comparison!G9</f>
        <v>-0.967213114754098</v>
      </c>
    </row>
    <row r="32" customFormat="false" ht="15" hidden="false" customHeight="false" outlineLevel="0" collapsed="false">
      <c r="A32" s="33" t="s">
        <v>411</v>
      </c>
      <c r="C32" s="66" t="n">
        <f aca="false">Comparison!F10</f>
        <v>0.238335435056747</v>
      </c>
      <c r="D32" s="66" t="n">
        <f aca="false">Comparison!G10</f>
        <v>1.05338377469525</v>
      </c>
    </row>
    <row r="33" customFormat="false" ht="15" hidden="false" customHeight="false" outlineLevel="0" collapsed="false">
      <c r="A33" s="33" t="s">
        <v>414</v>
      </c>
      <c r="C33" s="66" t="n">
        <f aca="false">Comparison!F11</f>
        <v>-0.583106447295434</v>
      </c>
      <c r="D33" s="66" t="n">
        <f aca="false">Comparison!G11</f>
        <v>-0.705622363244971</v>
      </c>
    </row>
    <row r="46" customFormat="false" ht="15" hidden="false" customHeight="false" outlineLevel="0" collapsed="false">
      <c r="A46" s="41" t="s">
        <v>445</v>
      </c>
      <c r="B46" s="5"/>
      <c r="C46" s="5"/>
      <c r="D46" s="5"/>
      <c r="E46" s="5"/>
      <c r="F46" s="5"/>
    </row>
    <row r="47" customFormat="false" ht="26.85" hidden="false" customHeight="false" outlineLevel="0" collapsed="false">
      <c r="A47" s="8" t="s">
        <v>7</v>
      </c>
      <c r="B47" s="8"/>
      <c r="C47" s="8" t="s">
        <v>446</v>
      </c>
      <c r="D47" s="8" t="s">
        <v>447</v>
      </c>
      <c r="E47" s="8" t="s">
        <v>448</v>
      </c>
    </row>
    <row r="48" customFormat="false" ht="15" hidden="false" customHeight="false" outlineLevel="0" collapsed="false">
      <c r="A48" s="33" t="s">
        <v>11</v>
      </c>
      <c r="C48" s="35" t="n">
        <f aca="false">'Nutrient balance'!C9*Inventory!C25</f>
        <v>23.5964198535395</v>
      </c>
      <c r="D48" s="35" t="n">
        <f aca="false">'Nutrient balance'!C10*Inventory!C25</f>
        <v>24.8982912937347</v>
      </c>
      <c r="E48" s="35" t="n">
        <f aca="false">'Nutrient balance'!C11*Inventory!C25</f>
        <v>54.7384865744508</v>
      </c>
    </row>
    <row r="49" customFormat="false" ht="15" hidden="false" customHeight="false" outlineLevel="0" collapsed="false">
      <c r="A49" s="33" t="s">
        <v>15</v>
      </c>
      <c r="C49" s="35" t="n">
        <f aca="false">'Nutrient balance'!D9*Inventory!D25</f>
        <v>28.3018867924528</v>
      </c>
      <c r="D49" s="35" t="n">
        <f aca="false">'Nutrient balance'!D10*Inventory!D25</f>
        <v>11.3207547169811</v>
      </c>
      <c r="E49" s="35" t="n">
        <f aca="false">'Nutrient balance'!D11*Inventory!D25</f>
        <v>-3.79874213836478</v>
      </c>
    </row>
    <row r="50" customFormat="false" ht="15" hidden="false" customHeight="false" outlineLevel="0" collapsed="false">
      <c r="A50" s="33" t="s">
        <v>19</v>
      </c>
      <c r="C50" s="35" t="n">
        <f aca="false">'Nutrient balance'!E9*Inventory!E25</f>
        <v>24.246374450057</v>
      </c>
      <c r="D50" s="35" t="n">
        <f aca="false">'Nutrient balance'!E10*Inventory!E25</f>
        <v>0</v>
      </c>
      <c r="E50" s="35" t="n">
        <f aca="false">'Nutrient balance'!E11*Inventory!E25</f>
        <v>95.9296072999837</v>
      </c>
    </row>
    <row r="64" customFormat="false" ht="15" hidden="false" customHeight="false" outlineLevel="0" collapsed="false">
      <c r="A64" s="41" t="s">
        <v>449</v>
      </c>
      <c r="B64" s="5"/>
      <c r="C64" s="5"/>
      <c r="D64" s="5"/>
      <c r="E64" s="5"/>
      <c r="F64" s="5"/>
    </row>
    <row r="65" customFormat="false" ht="26.85" hidden="false" customHeight="false" outlineLevel="0" collapsed="false">
      <c r="A65" s="8" t="s">
        <v>7</v>
      </c>
      <c r="B65" s="8"/>
      <c r="C65" s="8" t="s">
        <v>446</v>
      </c>
      <c r="D65" s="8" t="s">
        <v>447</v>
      </c>
      <c r="E65" s="8" t="s">
        <v>448</v>
      </c>
    </row>
    <row r="66" customFormat="false" ht="15" hidden="false" customHeight="false" outlineLevel="0" collapsed="false">
      <c r="A66" s="33" t="s">
        <v>11</v>
      </c>
      <c r="C66" s="35" t="n">
        <f aca="false">'Nutrient balance'!C18*Inventory!C25</f>
        <v>4.8006509357201</v>
      </c>
      <c r="D66" s="35" t="n">
        <f aca="false">'Nutrient balance'!C19*Inventory!C25</f>
        <v>2.11554109031733</v>
      </c>
      <c r="E66" s="35" t="n">
        <f aca="false">'Nutrient balance'!C20*Inventory!C25</f>
        <v>14.5907241659886</v>
      </c>
    </row>
    <row r="67" customFormat="false" ht="15" hidden="false" customHeight="false" outlineLevel="0" collapsed="false">
      <c r="A67" s="33" t="s">
        <v>15</v>
      </c>
      <c r="C67" s="35" t="n">
        <f aca="false">'Nutrient balance'!D18*Inventory!D25</f>
        <v>6.28930817610063</v>
      </c>
      <c r="D67" s="35" t="n">
        <f aca="false">'Nutrient balance'!D19*Inventory!D25</f>
        <v>0.628930817610063</v>
      </c>
      <c r="E67" s="35" t="n">
        <f aca="false">'Nutrient balance'!D20*Inventory!D25</f>
        <v>0.358490566037736</v>
      </c>
    </row>
    <row r="68" customFormat="false" ht="15" hidden="false" customHeight="false" outlineLevel="0" collapsed="false">
      <c r="A68" s="33" t="s">
        <v>19</v>
      </c>
      <c r="C68" s="35" t="n">
        <f aca="false">'Nutrient balance'!E18*Inventory!E25</f>
        <v>4.07365162131335</v>
      </c>
      <c r="D68" s="35" t="n">
        <f aca="false">'Nutrient balance'!E19*Inventory!E25</f>
        <v>0</v>
      </c>
      <c r="E68" s="35" t="n">
        <f aca="false">'Nutrient balance'!E20*Inventory!E25</f>
        <v>20.9630112432785</v>
      </c>
    </row>
    <row r="82" customFormat="false" ht="15" hidden="false" customHeight="false" outlineLevel="0" collapsed="false">
      <c r="A82" s="41" t="s">
        <v>450</v>
      </c>
      <c r="B82" s="5"/>
      <c r="C82" s="5"/>
      <c r="D82" s="5"/>
      <c r="E82" s="5"/>
      <c r="F82" s="5"/>
    </row>
    <row r="83" customFormat="false" ht="26.85" hidden="false" customHeight="false" outlineLevel="0" collapsed="false">
      <c r="A83" s="8" t="s">
        <v>7</v>
      </c>
      <c r="B83" s="8"/>
      <c r="C83" s="8" t="s">
        <v>451</v>
      </c>
      <c r="D83" s="8" t="s">
        <v>452</v>
      </c>
      <c r="E83" s="8" t="s">
        <v>453</v>
      </c>
    </row>
    <row r="84" customFormat="false" ht="15" hidden="false" customHeight="false" outlineLevel="0" collapsed="false">
      <c r="A84" s="33" t="s">
        <v>11</v>
      </c>
      <c r="C84" s="75" t="n">
        <f aca="false">COUNTIF('KPI framework'!J8:J14,"✓")</f>
        <v>3</v>
      </c>
      <c r="D84" s="75" t="n">
        <f aca="false">COUNTIF('KPI framework'!J15:J20,"✓")</f>
        <v>6</v>
      </c>
      <c r="E84" s="76" t="n">
        <f aca="false">C84+D84</f>
        <v>9</v>
      </c>
    </row>
    <row r="85" customFormat="false" ht="15" hidden="false" customHeight="false" outlineLevel="0" collapsed="false">
      <c r="A85" s="33" t="s">
        <v>15</v>
      </c>
      <c r="C85" s="75" t="n">
        <f aca="false">COUNTIF('KPI framework'!K8:K14,"✓")</f>
        <v>6</v>
      </c>
      <c r="D85" s="75" t="n">
        <f aca="false">COUNTIF('KPI framework'!K15:K20,"✓")</f>
        <v>6</v>
      </c>
      <c r="E85" s="76" t="n">
        <f aca="false">C85+D85</f>
        <v>12</v>
      </c>
    </row>
    <row r="86" customFormat="false" ht="15" hidden="false" customHeight="false" outlineLevel="0" collapsed="false">
      <c r="A86" s="33" t="s">
        <v>19</v>
      </c>
      <c r="C86" s="75" t="n">
        <f aca="false">COUNTIF('KPI framework'!L8:L14,"✓")</f>
        <v>0</v>
      </c>
      <c r="D86" s="75" t="n">
        <f aca="false">COUNTIF('KPI framework'!L15:L20,"✓")</f>
        <v>0</v>
      </c>
      <c r="E86" s="76" t="n">
        <f aca="false">C86+D86</f>
        <v>0</v>
      </c>
    </row>
    <row r="101" customFormat="false" ht="15" hidden="false" customHeight="false" outlineLevel="0" collapsed="false">
      <c r="A101" s="41" t="s">
        <v>454</v>
      </c>
      <c r="B101" s="5"/>
      <c r="C101" s="5"/>
      <c r="D101" s="5"/>
      <c r="E101" s="5"/>
      <c r="F101" s="5"/>
    </row>
    <row r="102" customFormat="false" ht="26.85" hidden="false" customHeight="false" outlineLevel="0" collapsed="false">
      <c r="A102" s="8" t="s">
        <v>381</v>
      </c>
      <c r="B102" s="8"/>
      <c r="C102" s="8" t="s">
        <v>11</v>
      </c>
      <c r="D102" s="8" t="s">
        <v>15</v>
      </c>
      <c r="E102" s="8" t="s">
        <v>19</v>
      </c>
    </row>
    <row r="103" customFormat="false" ht="15" hidden="false" customHeight="false" outlineLevel="0" collapsed="false">
      <c r="A103" s="33" t="s">
        <v>455</v>
      </c>
      <c r="C103" s="66" t="n">
        <f aca="false">MAX(-1,MIN(1.5,('KPI framework'!$F8-'KPI framework'!G8)/ABS('KPI framework'!$F8)))</f>
        <v>-0.0973985268766651</v>
      </c>
      <c r="D103" s="66" t="n">
        <f aca="false">MAX(-1,MIN(1.5,('KPI framework'!$F8-'KPI framework'!H8)/ABS('KPI framework'!$F8)))</f>
        <v>0.508305908164864</v>
      </c>
      <c r="E103" s="66" t="e">
        <f aca="false">NA()</f>
        <v>#N/A</v>
      </c>
    </row>
    <row r="104" customFormat="false" ht="15" hidden="false" customHeight="false" outlineLevel="0" collapsed="false">
      <c r="A104" s="33" t="s">
        <v>456</v>
      </c>
      <c r="C104" s="66" t="n">
        <f aca="false">MAX(-1,MIN(1.5,('KPI framework'!$F9-'KPI framework'!G9)/ABS('KPI framework'!$F9)))</f>
        <v>-0.00244362804800052</v>
      </c>
      <c r="D104" s="66" t="n">
        <f aca="false">MAX(-1,MIN(1.5,('KPI framework'!$F9-'KPI framework'!H9)/ABS('KPI framework'!$F9)))</f>
        <v>0.78759233121226</v>
      </c>
      <c r="E104" s="66" t="e">
        <f aca="false">NA()</f>
        <v>#N/A</v>
      </c>
    </row>
    <row r="105" customFormat="false" ht="15" hidden="false" customHeight="false" outlineLevel="0" collapsed="false">
      <c r="A105" s="33" t="s">
        <v>457</v>
      </c>
      <c r="C105" s="66" t="n">
        <f aca="false">MAX(-1,MIN(1.5,('KPI framework'!$F10-'KPI framework'!G10)/ABS('KPI framework'!$F10)))</f>
        <v>0.0579201956447466</v>
      </c>
      <c r="D105" s="66" t="n">
        <f aca="false">MAX(-1,MIN(1.5,('KPI framework'!$F10-'KPI framework'!H10)/ABS('KPI framework'!$F10)))</f>
        <v>0.60421499343655</v>
      </c>
      <c r="E105" s="66" t="e">
        <f aca="false">NA()</f>
        <v>#N/A</v>
      </c>
    </row>
    <row r="106" customFormat="false" ht="15" hidden="false" customHeight="false" outlineLevel="0" collapsed="false">
      <c r="A106" s="33" t="s">
        <v>458</v>
      </c>
      <c r="C106" s="66" t="n">
        <f aca="false">MAX(-1,MIN(1.5,('KPI framework'!$F11-'KPI framework'!G11)/ABS('KPI framework'!$F11)))</f>
        <v>-0.037037037037037</v>
      </c>
      <c r="D106" s="66" t="n">
        <f aca="false">MAX(-1,MIN(1.5,('KPI framework'!$F11-'KPI framework'!H11)/ABS('KPI framework'!$F11)))</f>
        <v>0.851851851851852</v>
      </c>
      <c r="E106" s="66" t="e">
        <f aca="false">NA()</f>
        <v>#N/A</v>
      </c>
    </row>
    <row r="107" customFormat="false" ht="15" hidden="false" customHeight="false" outlineLevel="0" collapsed="false">
      <c r="A107" s="33" t="s">
        <v>459</v>
      </c>
      <c r="C107" s="66" t="n">
        <f aca="false">MAX(-1,MIN(1.5,('KPI framework'!$F12-'KPI framework'!G12)/ABS('KPI framework'!$F12)))</f>
        <v>0.526411657559199</v>
      </c>
      <c r="D107" s="66" t="n">
        <f aca="false">MAX(-1,MIN(1.5,('KPI framework'!$F12-'KPI framework'!H12)/ABS('KPI framework'!$F12)))</f>
        <v>0.963570127504554</v>
      </c>
      <c r="E107" s="66" t="e">
        <f aca="false">NA()</f>
        <v>#N/A</v>
      </c>
    </row>
    <row r="108" customFormat="false" ht="15" hidden="false" customHeight="false" outlineLevel="0" collapsed="false">
      <c r="A108" s="33" t="s">
        <v>460</v>
      </c>
      <c r="C108" s="66" t="n">
        <f aca="false">MAX(-1,MIN(1.5,('KPI framework'!$F13-'KPI framework'!G13)/ABS('KPI framework'!$F13)))</f>
        <v>-0.375928261174163</v>
      </c>
      <c r="D108" s="66" t="n">
        <f aca="false">MAX(-1,MIN(1.5,('KPI framework'!$F13-'KPI framework'!H13)/ABS('KPI framework'!$F13)))</f>
        <v>-1</v>
      </c>
      <c r="E108" s="66" t="e">
        <f aca="false">NA()</f>
        <v>#N/A</v>
      </c>
    </row>
    <row r="109" customFormat="false" ht="15" hidden="false" customHeight="false" outlineLevel="0" collapsed="false">
      <c r="A109" s="33" t="s">
        <v>461</v>
      </c>
      <c r="C109" s="66" t="n">
        <f aca="false">MAX(-1,MIN(1.5,('KPI framework'!$F14-'KPI framework'!G14)/ABS('KPI framework'!$F14)))</f>
        <v>0.536784941439371</v>
      </c>
      <c r="D109" s="66" t="n">
        <f aca="false">MAX(-1,MIN(1.5,('KPI framework'!$F14-'KPI framework'!H14)/ABS('KPI framework'!$F14)))</f>
        <v>0.672913736938856</v>
      </c>
      <c r="E109" s="66" t="e">
        <f aca="false">NA()</f>
        <v>#N/A</v>
      </c>
    </row>
    <row r="110" customFormat="false" ht="15" hidden="false" customHeight="false" outlineLevel="0" collapsed="false">
      <c r="A110" s="33" t="s">
        <v>462</v>
      </c>
      <c r="C110" s="66" t="n">
        <f aca="false">MAX(-1,MIN(1.5,('KPI framework'!G15-'KPI framework'!$F15)/ABS('KPI framework'!$F15)))</f>
        <v>0.342168223221492</v>
      </c>
      <c r="D110" s="66" t="n">
        <f aca="false">MAX(-1,MIN(1.5,('KPI framework'!H15-'KPI framework'!$F15)/ABS('KPI framework'!$F15)))</f>
        <v>1.5</v>
      </c>
      <c r="E110" s="66" t="n">
        <f aca="false">MAX(-1,MIN(1.5,('KPI framework'!I15-'KPI framework'!$F15)/ABS('KPI framework'!$F15)))</f>
        <v>-0.423550741481103</v>
      </c>
    </row>
    <row r="111" customFormat="false" ht="15" hidden="false" customHeight="false" outlineLevel="0" collapsed="false">
      <c r="A111" s="33" t="s">
        <v>463</v>
      </c>
      <c r="C111" s="66" t="n">
        <f aca="false">MAX(-1,MIN(1.5,('KPI framework'!G16-'KPI framework'!$F16)/ABS('KPI framework'!$F16)))</f>
        <v>0.0719330104923327</v>
      </c>
      <c r="D111" s="66" t="n">
        <f aca="false">MAX(-1,MIN(1.5,('KPI framework'!H16-'KPI framework'!$F16)/ABS('KPI framework'!$F16)))</f>
        <v>1.5</v>
      </c>
      <c r="E111" s="66" t="n">
        <f aca="false">MAX(-1,MIN(1.5,('KPI framework'!I16-'KPI framework'!$F16)/ABS('KPI framework'!$F16)))</f>
        <v>-0.457641826662328</v>
      </c>
    </row>
    <row r="112" customFormat="false" ht="15" hidden="false" customHeight="false" outlineLevel="0" collapsed="false">
      <c r="A112" s="33" t="s">
        <v>464</v>
      </c>
      <c r="C112" s="66" t="n">
        <f aca="false">MAX(-1,MIN(1.5,('KPI framework'!$F17-'KPI framework'!G17)/ABS('KPI framework'!$F17)))</f>
        <v>0.0876918904258202</v>
      </c>
      <c r="D112" s="66" t="n">
        <f aca="false">MAX(-1,MIN(1.5,('KPI framework'!$F17-'KPI framework'!H17)/ABS('KPI framework'!$F17)))</f>
        <v>1.06331236897275</v>
      </c>
      <c r="E112" s="66" t="n">
        <f aca="false">MAX(-1,MIN(1.5,('KPI framework'!$F17-'KPI framework'!I17)/ABS('KPI framework'!$F17)))</f>
        <v>-0.598826788333062</v>
      </c>
    </row>
    <row r="113" customFormat="false" ht="15" hidden="false" customHeight="false" outlineLevel="0" collapsed="false">
      <c r="A113" s="33" t="s">
        <v>465</v>
      </c>
      <c r="C113" s="66" t="n">
        <f aca="false">MAX(-1,MIN(1.5,('KPI framework'!$F18-'KPI framework'!G18)/ABS('KPI framework'!$F18)))</f>
        <v>0.0183283504484597</v>
      </c>
      <c r="D113" s="66" t="n">
        <f aca="false">MAX(-1,MIN(1.5,('KPI framework'!$F18-'KPI framework'!H18)/ABS('KPI framework'!$F18)))</f>
        <v>0.217582417582418</v>
      </c>
      <c r="E113" s="66" t="n">
        <f aca="false">MAX(-1,MIN(1.5,('KPI framework'!$F18-'KPI framework'!I18)/ABS('KPI framework'!$F18)))</f>
        <v>-0.0219046067180334</v>
      </c>
    </row>
    <row r="114" customFormat="false" ht="15" hidden="false" customHeight="false" outlineLevel="0" collapsed="false">
      <c r="A114" s="33" t="s">
        <v>466</v>
      </c>
      <c r="C114" s="66" t="n">
        <f aca="false">MAX(-1,MIN(1.5,('KPI framework'!G19-'KPI framework'!$F19)/ABS('KPI framework'!$F19)))</f>
        <v>0.103954341622503</v>
      </c>
      <c r="D114" s="66" t="n">
        <f aca="false">MAX(-1,MIN(1.5,('KPI framework'!H19-'KPI framework'!$F19)/ABS('KPI framework'!$F19)))</f>
        <v>0.996344104164909</v>
      </c>
      <c r="E114" s="66" t="n">
        <f aca="false">MAX(-1,MIN(1.5,('KPI framework'!I19-'KPI framework'!$F19)/ABS('KPI framework'!$F19)))</f>
        <v>-1</v>
      </c>
    </row>
    <row r="115" customFormat="false" ht="15" hidden="false" customHeight="false" outlineLevel="0" collapsed="false">
      <c r="A115" s="33" t="s">
        <v>467</v>
      </c>
      <c r="C115" s="66" t="n">
        <f aca="false">MAX(-1,MIN(1.5,('KPI framework'!$F20-'KPI framework'!G20)/ABS('KPI framework'!$F20)))</f>
        <v>0.0783053671307865</v>
      </c>
      <c r="D115" s="66" t="n">
        <f aca="false">MAX(-1,MIN(1.5,('KPI framework'!$F20-'KPI framework'!H20)/ABS('KPI framework'!$F20)))</f>
        <v>0.0265604249667994</v>
      </c>
      <c r="E115" s="66" t="n">
        <f aca="false">MAX(-1,MIN(1.5,('KPI framework'!$F20-'KPI framework'!I20)/ABS('KPI framework'!$F20)))</f>
        <v>-0.100728725905031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6" style="0" width="44"/>
    <col collapsed="false" customWidth="true" hidden="false" outlineLevel="0" max="23" min="17" style="0" width="14"/>
  </cols>
  <sheetData>
    <row r="1" customFormat="false" ht="17.35" hidden="false" customHeight="false" outlineLevel="0" collapsed="false">
      <c r="A1" s="28" t="s">
        <v>468</v>
      </c>
    </row>
    <row r="2" customFormat="false" ht="15" hidden="false" customHeight="false" outlineLevel="0" collapsed="false">
      <c r="A2" s="29" t="s">
        <v>107</v>
      </c>
    </row>
    <row r="3" customFormat="false" ht="15" hidden="false" customHeight="false" outlineLevel="0" collapsed="false">
      <c r="A3" s="29" t="s">
        <v>469</v>
      </c>
    </row>
    <row r="5" customFormat="false" ht="15" hidden="false" customHeight="false" outlineLevel="0" collapsed="false">
      <c r="A5" s="29" t="s">
        <v>470</v>
      </c>
    </row>
    <row r="6" customFormat="false" ht="15" hidden="false" customHeight="false" outlineLevel="0" collapsed="false">
      <c r="P6" s="31" t="s">
        <v>471</v>
      </c>
    </row>
    <row r="7" customFormat="false" ht="39.55" hidden="false" customHeight="false" outlineLevel="0" collapsed="false">
      <c r="P7" s="8" t="s">
        <v>22</v>
      </c>
      <c r="Q7" s="8" t="s">
        <v>11</v>
      </c>
      <c r="R7" s="8" t="s">
        <v>15</v>
      </c>
      <c r="S7" s="8" t="s">
        <v>19</v>
      </c>
    </row>
    <row r="8" customFormat="false" ht="15" hidden="false" customHeight="false" outlineLevel="0" collapsed="false">
      <c r="P8" s="14" t="s">
        <v>25</v>
      </c>
      <c r="Q8" s="34" t="n">
        <f aca="false">Comparison!C9</f>
        <v>26</v>
      </c>
      <c r="R8" s="34" t="n">
        <f aca="false">Comparison!D9</f>
        <v>2</v>
      </c>
      <c r="S8" s="34" t="n">
        <f aca="false">Comparison!E9</f>
        <v>61</v>
      </c>
    </row>
    <row r="9" customFormat="false" ht="15" hidden="false" customHeight="false" outlineLevel="0" collapsed="false">
      <c r="P9" s="14" t="s">
        <v>472</v>
      </c>
      <c r="Q9" s="62" t="n">
        <f aca="false">Comparison!C9/Comparison!$E9-1</f>
        <v>-0.573770491803279</v>
      </c>
      <c r="R9" s="62" t="n">
        <f aca="false">Comparison!D9/Comparison!$E9-1</f>
        <v>-0.967213114754098</v>
      </c>
      <c r="S9" s="62" t="n">
        <f aca="false">Comparison!E9/Comparison!$E9-1</f>
        <v>0</v>
      </c>
    </row>
    <row r="10" customFormat="false" ht="15" hidden="false" customHeight="false" outlineLevel="0" collapsed="false">
      <c r="P10" s="14" t="s">
        <v>473</v>
      </c>
      <c r="Q10" s="62" t="n">
        <f aca="false">'Nutrient balance'!C13</f>
        <v>0.469758878127522</v>
      </c>
      <c r="R10" s="62" t="n">
        <f aca="false">'Nutrient balance'!D13</f>
        <v>1.1060393258427</v>
      </c>
      <c r="S10" s="62" t="n">
        <f aca="false">'Nutrient balance'!E13</f>
        <v>0.201757240481614</v>
      </c>
    </row>
    <row r="11" customFormat="false" ht="15" hidden="false" customHeight="false" outlineLevel="0" collapsed="false">
      <c r="P11" s="14" t="s">
        <v>24</v>
      </c>
      <c r="Q11" s="34" t="n">
        <f aca="false">Comparison!C5</f>
        <v>2801</v>
      </c>
      <c r="R11" s="34" t="n">
        <f aca="false">Comparison!D5</f>
        <v>1255</v>
      </c>
      <c r="S11" s="34" t="n">
        <f aca="false">Comparison!E5</f>
        <v>2836</v>
      </c>
    </row>
    <row r="12" customFormat="false" ht="15" hidden="false" customHeight="false" outlineLevel="0" collapsed="false">
      <c r="P12" s="14" t="s">
        <v>474</v>
      </c>
      <c r="Q12" s="62" t="n">
        <f aca="false">Comparison!C5/Comparison!$E5-1</f>
        <v>-0.0123413258110014</v>
      </c>
      <c r="R12" s="62" t="n">
        <f aca="false">Comparison!D5/Comparison!$E5-1</f>
        <v>-0.557475317348378</v>
      </c>
      <c r="S12" s="62" t="n">
        <f aca="false">Comparison!E5/Comparison!$E5-1</f>
        <v>0</v>
      </c>
    </row>
    <row r="13" customFormat="false" ht="15" hidden="false" customHeight="false" outlineLevel="0" collapsed="false">
      <c r="P13" s="14" t="s">
        <v>475</v>
      </c>
      <c r="Q13" s="62" t="n">
        <f aca="false">'LCIA (Annex 1)'!C14/'LCIA (Annex 1)'!C18</f>
        <v>0.553016779721528</v>
      </c>
      <c r="R13" s="62" t="n">
        <f aca="false">'LCIA (Annex 1)'!D14/'LCIA (Annex 1)'!D18</f>
        <v>0.58406374501992</v>
      </c>
      <c r="S13" s="62" t="n">
        <f aca="false">'LCIA (Annex 1)'!E14/'LCIA (Annex 1)'!E18</f>
        <v>0.660437235543018</v>
      </c>
    </row>
    <row r="14" customFormat="false" ht="15" hidden="false" customHeight="false" outlineLevel="0" collapsed="false">
      <c r="P14" s="14" t="s">
        <v>26</v>
      </c>
      <c r="Q14" s="34" t="n">
        <f aca="false">Comparison!C10</f>
        <v>2946</v>
      </c>
      <c r="R14" s="34" t="n">
        <f aca="false">Comparison!D10</f>
        <v>4885</v>
      </c>
      <c r="S14" s="34" t="n">
        <f aca="false">Comparison!E10</f>
        <v>2379</v>
      </c>
    </row>
    <row r="15" customFormat="false" ht="15" hidden="false" customHeight="false" outlineLevel="0" collapsed="false">
      <c r="P15" s="14" t="s">
        <v>476</v>
      </c>
      <c r="Q15" s="62" t="n">
        <f aca="false">Comparison!C10/Comparison!$E10-1</f>
        <v>0.238335435056747</v>
      </c>
      <c r="R15" s="62" t="n">
        <f aca="false">Comparison!D10/Comparison!$E10-1</f>
        <v>1.05338377469525</v>
      </c>
      <c r="S15" s="62" t="n">
        <f aca="false">Comparison!E10/Comparison!$E10-1</f>
        <v>0</v>
      </c>
    </row>
    <row r="27" customFormat="false" ht="15" hidden="false" customHeight="false" outlineLevel="0" collapsed="false">
      <c r="A27" s="29" t="s">
        <v>477</v>
      </c>
    </row>
    <row r="28" customFormat="false" ht="15" hidden="false" customHeight="false" outlineLevel="0" collapsed="false">
      <c r="P28" s="31" t="s">
        <v>478</v>
      </c>
    </row>
    <row r="29" customFormat="false" ht="26.85" hidden="false" customHeight="false" outlineLevel="0" collapsed="false">
      <c r="P29" s="8" t="s">
        <v>358</v>
      </c>
      <c r="Q29" s="8" t="s">
        <v>359</v>
      </c>
      <c r="R29" s="8" t="s">
        <v>360</v>
      </c>
    </row>
    <row r="30" customFormat="false" ht="15" hidden="false" customHeight="false" outlineLevel="0" collapsed="false">
      <c r="P30" s="14" t="s">
        <v>393</v>
      </c>
      <c r="Q30" s="66" t="n">
        <f aca="false">Comparison!F5</f>
        <v>-0.0123413258110014</v>
      </c>
      <c r="R30" s="66" t="n">
        <f aca="false">Comparison!G5</f>
        <v>-0.557475317348378</v>
      </c>
    </row>
    <row r="31" customFormat="false" ht="15" hidden="false" customHeight="false" outlineLevel="0" collapsed="false">
      <c r="P31" s="14" t="s">
        <v>399</v>
      </c>
      <c r="Q31" s="66" t="n">
        <f aca="false">Comparison!F6</f>
        <v>-0.0978007347567995</v>
      </c>
      <c r="R31" s="66" t="n">
        <f aca="false">Comparison!G6</f>
        <v>-0.808833098091034</v>
      </c>
    </row>
    <row r="32" customFormat="false" ht="15" hidden="false" customHeight="false" outlineLevel="0" collapsed="false">
      <c r="P32" s="14" t="s">
        <v>402</v>
      </c>
      <c r="Q32" s="66" t="n">
        <f aca="false">Comparison!F7</f>
        <v>-0.152128176080272</v>
      </c>
      <c r="R32" s="66" t="n">
        <f aca="false">Comparison!G7</f>
        <v>-0.643793494092895</v>
      </c>
    </row>
    <row r="33" customFormat="false" ht="15" hidden="false" customHeight="false" outlineLevel="0" collapsed="false">
      <c r="P33" s="14" t="s">
        <v>405</v>
      </c>
      <c r="Q33" s="66" t="n">
        <f aca="false">Comparison!F8</f>
        <v>-0.0666666666666667</v>
      </c>
      <c r="R33" s="66" t="n">
        <f aca="false">Comparison!G8</f>
        <v>-0.866666666666667</v>
      </c>
    </row>
    <row r="34" customFormat="false" ht="15" hidden="false" customHeight="false" outlineLevel="0" collapsed="false">
      <c r="P34" s="14" t="s">
        <v>408</v>
      </c>
      <c r="Q34" s="66" t="n">
        <f aca="false">Comparison!F9</f>
        <v>-0.573770491803279</v>
      </c>
      <c r="R34" s="66" t="n">
        <f aca="false">Comparison!G9</f>
        <v>-0.967213114754098</v>
      </c>
    </row>
    <row r="35" customFormat="false" ht="15" hidden="false" customHeight="false" outlineLevel="0" collapsed="false">
      <c r="P35" s="14" t="s">
        <v>411</v>
      </c>
      <c r="Q35" s="66" t="n">
        <f aca="false">Comparison!F10</f>
        <v>0.238335435056747</v>
      </c>
      <c r="R35" s="66" t="n">
        <f aca="false">Comparison!G10</f>
        <v>1.05338377469525</v>
      </c>
    </row>
    <row r="36" customFormat="false" ht="15" hidden="false" customHeight="false" outlineLevel="0" collapsed="false">
      <c r="P36" s="14" t="s">
        <v>414</v>
      </c>
      <c r="Q36" s="66" t="n">
        <f aca="false">Comparison!F11</f>
        <v>-0.583106447295434</v>
      </c>
      <c r="R36" s="66" t="n">
        <f aca="false">Comparison!G11</f>
        <v>-0.705622363244971</v>
      </c>
    </row>
    <row r="55" customFormat="false" ht="15" hidden="false" customHeight="false" outlineLevel="0" collapsed="false">
      <c r="A55" s="29" t="s">
        <v>479</v>
      </c>
    </row>
    <row r="56" customFormat="false" ht="15" hidden="false" customHeight="false" outlineLevel="0" collapsed="false">
      <c r="P56" s="31" t="s">
        <v>480</v>
      </c>
    </row>
    <row r="57" customFormat="false" ht="39.55" hidden="false" customHeight="false" outlineLevel="0" collapsed="false">
      <c r="P57" s="8" t="s">
        <v>306</v>
      </c>
      <c r="Q57" s="8" t="s">
        <v>11</v>
      </c>
      <c r="R57" s="8" t="s">
        <v>15</v>
      </c>
      <c r="S57" s="8" t="s">
        <v>19</v>
      </c>
    </row>
    <row r="58" customFormat="false" ht="15" hidden="false" customHeight="false" outlineLevel="0" collapsed="false">
      <c r="P58" s="14" t="s">
        <v>320</v>
      </c>
      <c r="Q58" s="34" t="n">
        <f aca="false">'LCIA (Annex 1)'!C14</f>
        <v>1549</v>
      </c>
      <c r="R58" s="34" t="n">
        <f aca="false">'LCIA (Annex 1)'!D14</f>
        <v>733</v>
      </c>
      <c r="S58" s="34" t="n">
        <f aca="false">'LCIA (Annex 1)'!E14</f>
        <v>1873</v>
      </c>
    </row>
    <row r="59" customFormat="false" ht="15" hidden="false" customHeight="false" outlineLevel="0" collapsed="false">
      <c r="P59" s="14" t="s">
        <v>481</v>
      </c>
      <c r="Q59" s="34" t="n">
        <f aca="false">'LCIA (Annex 1)'!C15</f>
        <v>325</v>
      </c>
      <c r="R59" s="34" t="n">
        <f aca="false">'LCIA (Annex 1)'!D15</f>
        <v>208</v>
      </c>
      <c r="S59" s="34" t="n">
        <f aca="false">'LCIA (Annex 1)'!E15</f>
        <v>379</v>
      </c>
    </row>
    <row r="60" customFormat="false" ht="15" hidden="false" customHeight="false" outlineLevel="0" collapsed="false">
      <c r="P60" s="14" t="s">
        <v>482</v>
      </c>
      <c r="Q60" s="34" t="n">
        <f aca="false">'LCIA (Annex 1)'!C7</f>
        <v>330</v>
      </c>
      <c r="R60" s="34" t="n">
        <f aca="false">'LCIA (Annex 1)'!D7</f>
        <v>6</v>
      </c>
      <c r="S60" s="34" t="n">
        <f aca="false">'LCIA (Annex 1)'!E7</f>
        <v>474</v>
      </c>
    </row>
    <row r="61" customFormat="false" ht="15" hidden="false" customHeight="false" outlineLevel="0" collapsed="false">
      <c r="P61" s="14" t="s">
        <v>318</v>
      </c>
      <c r="Q61" s="34" t="n">
        <f aca="false">'LCIA (Annex 1)'!C12</f>
        <v>386</v>
      </c>
      <c r="R61" s="34" t="n">
        <f aca="false">'LCIA (Annex 1)'!D12</f>
        <v>228</v>
      </c>
      <c r="S61" s="34" t="n">
        <f aca="false">'LCIA (Annex 1)'!E12</f>
        <v>15</v>
      </c>
    </row>
    <row r="62" customFormat="false" ht="15" hidden="false" customHeight="false" outlineLevel="0" collapsed="false">
      <c r="P62" s="14" t="s">
        <v>348</v>
      </c>
      <c r="Q62" s="34" t="n">
        <f aca="false">'LCIA (Annex 1)'!C6+'LCIA (Annex 1)'!C9+'LCIA (Annex 1)'!C11+'LCIA (Annex 1)'!C13</f>
        <v>212</v>
      </c>
      <c r="R62" s="34" t="n">
        <f aca="false">'LCIA (Annex 1)'!D6+'LCIA (Annex 1)'!D9+'LCIA (Annex 1)'!D11+'LCIA (Annex 1)'!D13</f>
        <v>79</v>
      </c>
      <c r="S62" s="34" t="n">
        <f aca="false">'LCIA (Annex 1)'!E6+'LCIA (Annex 1)'!E9+'LCIA (Annex 1)'!E11+'LCIA (Annex 1)'!E13</f>
        <v>94</v>
      </c>
    </row>
    <row r="63" customFormat="false" ht="15" hidden="false" customHeight="false" outlineLevel="0" collapsed="false">
      <c r="P63" s="14" t="s">
        <v>324</v>
      </c>
      <c r="Q63" s="34" t="n">
        <f aca="false">'LCIA (Annex 1)'!C18</f>
        <v>2801</v>
      </c>
      <c r="R63" s="34" t="n">
        <f aca="false">'LCIA (Annex 1)'!D18</f>
        <v>1255</v>
      </c>
      <c r="S63" s="34" t="n">
        <f aca="false">'LCIA (Annex 1)'!E18</f>
        <v>2836</v>
      </c>
    </row>
    <row r="64" customFormat="false" ht="15" hidden="false" customHeight="false" outlineLevel="0" collapsed="false">
      <c r="P64" s="14" t="s">
        <v>483</v>
      </c>
      <c r="Q64" s="62" t="n">
        <f aca="false">'LCIA (Annex 1)'!C14/'LCIA (Annex 1)'!C18</f>
        <v>0.553016779721528</v>
      </c>
      <c r="R64" s="62" t="n">
        <f aca="false">'LCIA (Annex 1)'!D14/'LCIA (Annex 1)'!D18</f>
        <v>0.58406374501992</v>
      </c>
      <c r="S64" s="62" t="n">
        <f aca="false">'LCIA (Annex 1)'!E14/'LCIA (Annex 1)'!E18</f>
        <v>0.660437235543018</v>
      </c>
    </row>
    <row r="84" customFormat="false" ht="15" hidden="false" customHeight="false" outlineLevel="0" collapsed="false">
      <c r="A84" s="29" t="s">
        <v>484</v>
      </c>
    </row>
    <row r="85" customFormat="false" ht="15" hidden="false" customHeight="false" outlineLevel="0" collapsed="false">
      <c r="P85" s="31" t="s">
        <v>485</v>
      </c>
    </row>
    <row r="86" customFormat="false" ht="39.55" hidden="false" customHeight="false" outlineLevel="0" collapsed="false">
      <c r="P86" s="8" t="s">
        <v>108</v>
      </c>
      <c r="Q86" s="8" t="s">
        <v>11</v>
      </c>
      <c r="R86" s="8" t="s">
        <v>15</v>
      </c>
      <c r="S86" s="8" t="s">
        <v>19</v>
      </c>
    </row>
    <row r="87" customFormat="false" ht="15" hidden="false" customHeight="false" outlineLevel="0" collapsed="false">
      <c r="P87" s="14" t="s">
        <v>146</v>
      </c>
      <c r="Q87" s="35" t="n">
        <f aca="false">'Nutrient balance'!C8*Inventory!C25</f>
        <v>103.233197721725</v>
      </c>
      <c r="R87" s="35" t="n">
        <f aca="false">'Nutrient balance'!D8*Inventory!D25</f>
        <v>35.8238993710692</v>
      </c>
      <c r="S87" s="35" t="n">
        <f aca="false">'Nutrient balance'!E8*Inventory!E25</f>
        <v>120.175981750041</v>
      </c>
    </row>
    <row r="88" customFormat="false" ht="15" hidden="false" customHeight="false" outlineLevel="0" collapsed="false">
      <c r="P88" s="14" t="s">
        <v>446</v>
      </c>
      <c r="Q88" s="35" t="n">
        <f aca="false">'Nutrient balance'!C9*Inventory!C25</f>
        <v>23.5964198535395</v>
      </c>
      <c r="R88" s="35" t="n">
        <f aca="false">'Nutrient balance'!D9*Inventory!D25</f>
        <v>28.3018867924528</v>
      </c>
      <c r="S88" s="35" t="n">
        <f aca="false">'Nutrient balance'!E9*Inventory!E25</f>
        <v>24.246374450057</v>
      </c>
    </row>
    <row r="89" customFormat="false" ht="15" hidden="false" customHeight="false" outlineLevel="0" collapsed="false">
      <c r="P89" s="14" t="s">
        <v>447</v>
      </c>
      <c r="Q89" s="35" t="n">
        <f aca="false">'Nutrient balance'!C10*Inventory!C25</f>
        <v>24.8982912937347</v>
      </c>
      <c r="R89" s="35" t="n">
        <f aca="false">'Nutrient balance'!D10*Inventory!D25</f>
        <v>11.3207547169811</v>
      </c>
      <c r="S89" s="35" t="n">
        <f aca="false">'Nutrient balance'!E10*Inventory!E25</f>
        <v>0</v>
      </c>
    </row>
    <row r="90" customFormat="false" ht="15" hidden="false" customHeight="false" outlineLevel="0" collapsed="false">
      <c r="P90" s="14" t="s">
        <v>486</v>
      </c>
      <c r="Q90" s="35" t="n">
        <f aca="false">'Nutrient balance'!C11*Inventory!C25</f>
        <v>54.7384865744508</v>
      </c>
      <c r="R90" s="35" t="n">
        <f aca="false">'Nutrient balance'!D11*Inventory!D25</f>
        <v>-3.79874213836478</v>
      </c>
      <c r="S90" s="35" t="n">
        <f aca="false">'Nutrient balance'!E11*Inventory!E25</f>
        <v>95.9296072999837</v>
      </c>
    </row>
    <row r="91" customFormat="false" ht="15" hidden="false" customHeight="false" outlineLevel="0" collapsed="false">
      <c r="P91" s="14" t="s">
        <v>487</v>
      </c>
      <c r="Q91" s="62" t="n">
        <f aca="false">'Nutrient balance'!C13</f>
        <v>0.469758878127522</v>
      </c>
      <c r="R91" s="62" t="n">
        <f aca="false">'Nutrient balance'!D13</f>
        <v>1.1060393258427</v>
      </c>
      <c r="S91" s="62" t="n">
        <f aca="false">'Nutrient balance'!E13</f>
        <v>0.201757240481614</v>
      </c>
    </row>
    <row r="109" customFormat="false" ht="15" hidden="false" customHeight="false" outlineLevel="0" collapsed="false">
      <c r="A109" s="29" t="s">
        <v>488</v>
      </c>
    </row>
    <row r="110" customFormat="false" ht="15" hidden="false" customHeight="false" outlineLevel="0" collapsed="false">
      <c r="P110" s="31" t="s">
        <v>489</v>
      </c>
    </row>
    <row r="111" customFormat="false" ht="15" hidden="false" customHeight="false" outlineLevel="0" collapsed="false">
      <c r="P111" s="8" t="s">
        <v>338</v>
      </c>
      <c r="Q111" s="8" t="s">
        <v>339</v>
      </c>
      <c r="R111" s="8" t="s">
        <v>340</v>
      </c>
      <c r="S111" s="8" t="s">
        <v>341</v>
      </c>
      <c r="T111" s="8" t="s">
        <v>342</v>
      </c>
      <c r="U111" s="8" t="s">
        <v>343</v>
      </c>
      <c r="V111" s="8" t="s">
        <v>344</v>
      </c>
      <c r="W111" s="8" t="s">
        <v>345</v>
      </c>
    </row>
    <row r="112" customFormat="false" ht="15" hidden="false" customHeight="false" outlineLevel="0" collapsed="false">
      <c r="P112" s="14" t="s">
        <v>320</v>
      </c>
      <c r="Q112" s="62" t="n">
        <f aca="false">IF(SUMPRODUCT(ABS('LCIA (Annex 1)'!C6:C16))=0,0,('LCIA (Annex 1)'!C14)/SUMPRODUCT(ABS('LCIA (Annex 1)'!C6:C16)))</f>
        <v>0.552819414703783</v>
      </c>
      <c r="R112" s="62" t="n">
        <f aca="false">IF(SUMPRODUCT(ABS('LCIA (Annex 1)'!C21:C31))=0,0,('LCIA (Annex 1)'!C29)/SUMPRODUCT(ABS('LCIA (Annex 1)'!C21:C31)))</f>
        <v>0.233312622048642</v>
      </c>
      <c r="S112" s="62" t="n">
        <f aca="false">IF(SUMPRODUCT(ABS('LCIA (Annex 1)'!C36:C46))=0,0,('LCIA (Annex 1)'!C44)/SUMPRODUCT(ABS('LCIA (Annex 1)'!C36:C46)))</f>
        <v>0.994750906661577</v>
      </c>
      <c r="T112" s="62" t="n">
        <f aca="false">IF(SUMPRODUCT(ABS('LCIA (Annex 1)'!C51:C61))=0,0,('LCIA (Annex 1)'!C59)/SUMPRODUCT(ABS('LCIA (Annex 1)'!C51:C61)))</f>
        <v>0.19047619047619</v>
      </c>
      <c r="U112" s="62" t="n">
        <f aca="false">IF(SUMPRODUCT(ABS('LCIA (Annex 1)'!C66:C76))=0,0,('LCIA (Annex 1)'!C74)/SUMPRODUCT(ABS('LCIA (Annex 1)'!C66:C76)))</f>
        <v>0.307692307692308</v>
      </c>
      <c r="V112" s="62" t="n">
        <f aca="false">IF(SUMPRODUCT(ABS('LCIA (Annex 1)'!C81:C91))=0,0,('LCIA (Annex 1)'!C89)/SUMPRODUCT(ABS('LCIA (Annex 1)'!C81:C91)))</f>
        <v>0.659198913781399</v>
      </c>
      <c r="W112" s="62" t="n">
        <f aca="false">IF(SUMPRODUCT(ABS('LCIA (Annex 1)'!C96:C106))=0,0,('LCIA (Annex 1)'!C104)/SUMPRODUCT(ABS('LCIA (Annex 1)'!C96:C106)))</f>
        <v>0.000286863483499246</v>
      </c>
    </row>
    <row r="113" customFormat="false" ht="15" hidden="false" customHeight="false" outlineLevel="0" collapsed="false">
      <c r="P113" s="14" t="s">
        <v>346</v>
      </c>
      <c r="Q113" s="62" t="n">
        <f aca="false">IF(SUMPRODUCT(ABS('LCIA (Annex 1)'!C6:C16))=0,0,('LCIA (Annex 1)'!C10)/SUMPRODUCT(ABS('LCIA (Annex 1)'!C6:C16)))</f>
        <v>0</v>
      </c>
      <c r="R113" s="62" t="n">
        <f aca="false">IF(SUMPRODUCT(ABS('LCIA (Annex 1)'!C21:C31))=0,0,('LCIA (Annex 1)'!C25)/SUMPRODUCT(ABS('LCIA (Annex 1)'!C21:C31)))</f>
        <v>0</v>
      </c>
      <c r="S113" s="62" t="n">
        <f aca="false">IF(SUMPRODUCT(ABS('LCIA (Annex 1)'!C36:C46))=0,0,('LCIA (Annex 1)'!C40)/SUMPRODUCT(ABS('LCIA (Annex 1)'!C36:C46)))</f>
        <v>0</v>
      </c>
      <c r="T113" s="62" t="n">
        <f aca="false">IF(SUMPRODUCT(ABS('LCIA (Annex 1)'!C51:C61))=0,0,('LCIA (Annex 1)'!C55)/SUMPRODUCT(ABS('LCIA (Annex 1)'!C51:C61)))</f>
        <v>0.595238095238095</v>
      </c>
      <c r="U113" s="62" t="n">
        <f aca="false">IF(SUMPRODUCT(ABS('LCIA (Annex 1)'!C66:C76))=0,0,('LCIA (Annex 1)'!C70)/SUMPRODUCT(ABS('LCIA (Annex 1)'!C66:C76)))</f>
        <v>0.615384615384615</v>
      </c>
      <c r="V113" s="62" t="n">
        <f aca="false">IF(SUMPRODUCT(ABS('LCIA (Annex 1)'!C81:C91))=0,0,('LCIA (Annex 1)'!C85)/SUMPRODUCT(ABS('LCIA (Annex 1)'!C81:C91)))</f>
        <v>0</v>
      </c>
      <c r="W113" s="62" t="n">
        <f aca="false">IF(SUMPRODUCT(ABS('LCIA (Annex 1)'!C96:C106))=0,0,('LCIA (Annex 1)'!C100)/SUMPRODUCT(ABS('LCIA (Annex 1)'!C96:C106)))</f>
        <v>0</v>
      </c>
    </row>
    <row r="114" customFormat="false" ht="15" hidden="false" customHeight="false" outlineLevel="0" collapsed="false">
      <c r="P114" s="14" t="s">
        <v>313</v>
      </c>
      <c r="Q114" s="62" t="n">
        <f aca="false">IF(SUMPRODUCT(ABS('LCIA (Annex 1)'!C6:C16))=0,0,('LCIA (Annex 1)'!C7)/SUMPRODUCT(ABS('LCIA (Annex 1)'!C6:C16)))</f>
        <v>0.117773019271949</v>
      </c>
      <c r="R114" s="62" t="n">
        <f aca="false">IF(SUMPRODUCT(ABS('LCIA (Annex 1)'!C21:C31))=0,0,('LCIA (Annex 1)'!C22)/SUMPRODUCT(ABS('LCIA (Annex 1)'!C21:C31)))</f>
        <v>0.507322918515889</v>
      </c>
      <c r="S114" s="62" t="n">
        <f aca="false">IF(SUMPRODUCT(ABS('LCIA (Annex 1)'!C36:C46))=0,0,('LCIA (Annex 1)'!C37)/SUMPRODUCT(ABS('LCIA (Annex 1)'!C36:C46)))</f>
        <v>0</v>
      </c>
      <c r="T114" s="62" t="n">
        <f aca="false">IF(SUMPRODUCT(ABS('LCIA (Annex 1)'!C51:C61))=0,0,('LCIA (Annex 1)'!C52)/SUMPRODUCT(ABS('LCIA (Annex 1)'!C51:C61)))</f>
        <v>0.0476190476190476</v>
      </c>
      <c r="U114" s="62" t="n">
        <f aca="false">IF(SUMPRODUCT(ABS('LCIA (Annex 1)'!C66:C76))=0,0,('LCIA (Annex 1)'!C67)/SUMPRODUCT(ABS('LCIA (Annex 1)'!C66:C76)))</f>
        <v>0.0384615384615385</v>
      </c>
      <c r="V114" s="62" t="n">
        <f aca="false">IF(SUMPRODUCT(ABS('LCIA (Annex 1)'!C81:C91))=0,0,('LCIA (Annex 1)'!C82)/SUMPRODUCT(ABS('LCIA (Annex 1)'!C81:C91)))</f>
        <v>0.00271554650373388</v>
      </c>
      <c r="W114" s="62" t="n">
        <f aca="false">IF(SUMPRODUCT(ABS('LCIA (Annex 1)'!C96:C106))=0,0,('LCIA (Annex 1)'!C97)/SUMPRODUCT(ABS('LCIA (Annex 1)'!C96:C106)))</f>
        <v>0.000231932178148327</v>
      </c>
    </row>
    <row r="115" customFormat="false" ht="15" hidden="false" customHeight="false" outlineLevel="0" collapsed="false">
      <c r="P115" s="14" t="s">
        <v>321</v>
      </c>
      <c r="Q115" s="62" t="n">
        <f aca="false">IF(SUMPRODUCT(ABS('LCIA (Annex 1)'!C6:C16))=0,0,('LCIA (Annex 1)'!C15)/SUMPRODUCT(ABS('LCIA (Annex 1)'!C6:C16)))</f>
        <v>0.11598857958601</v>
      </c>
      <c r="R115" s="62" t="n">
        <f aca="false">IF(SUMPRODUCT(ABS('LCIA (Annex 1)'!C21:C31))=0,0,('LCIA (Annex 1)'!C30)/SUMPRODUCT(ABS('LCIA (Annex 1)'!C21:C31)))</f>
        <v>0.0608357003372981</v>
      </c>
      <c r="S115" s="62" t="n">
        <f aca="false">IF(SUMPRODUCT(ABS('LCIA (Annex 1)'!C36:C46))=0,0,('LCIA (Annex 1)'!C45)/SUMPRODUCT(ABS('LCIA (Annex 1)'!C36:C46)))</f>
        <v>0</v>
      </c>
      <c r="T115" s="62" t="n">
        <f aca="false">IF(SUMPRODUCT(ABS('LCIA (Annex 1)'!C51:C61))=0,0,('LCIA (Annex 1)'!C60)/SUMPRODUCT(ABS('LCIA (Annex 1)'!C51:C61)))</f>
        <v>0.0476190476190476</v>
      </c>
      <c r="U115" s="62" t="n">
        <f aca="false">IF(SUMPRODUCT(ABS('LCIA (Annex 1)'!C66:C76))=0,0,('LCIA (Annex 1)'!C75)/SUMPRODUCT(ABS('LCIA (Annex 1)'!C66:C76)))</f>
        <v>0</v>
      </c>
      <c r="V115" s="62" t="n">
        <f aca="false">IF(SUMPRODUCT(ABS('LCIA (Annex 1)'!C81:C91))=0,0,('LCIA (Annex 1)'!C90)/SUMPRODUCT(ABS('LCIA (Annex 1)'!C81:C91)))</f>
        <v>0.00135777325186694</v>
      </c>
      <c r="W115" s="62" t="n">
        <f aca="false">IF(SUMPRODUCT(ABS('LCIA (Annex 1)'!C96:C106))=0,0,('LCIA (Annex 1)'!C105)/SUMPRODUCT(ABS('LCIA (Annex 1)'!C96:C106)))</f>
        <v>1.83104351169732E-005</v>
      </c>
    </row>
    <row r="116" customFormat="false" ht="15" hidden="false" customHeight="false" outlineLevel="0" collapsed="false">
      <c r="P116" s="14" t="s">
        <v>318</v>
      </c>
      <c r="Q116" s="62" t="n">
        <f aca="false">IF(SUMPRODUCT(ABS('LCIA (Annex 1)'!C6:C16))=0,0,('LCIA (Annex 1)'!C12)/SUMPRODUCT(ABS('LCIA (Annex 1)'!C6:C16)))</f>
        <v>0.137758743754461</v>
      </c>
      <c r="R116" s="62" t="n">
        <f aca="false">IF(SUMPRODUCT(ABS('LCIA (Annex 1)'!C21:C31))=0,0,('LCIA (Annex 1)'!C27)/SUMPRODUCT(ABS('LCIA (Annex 1)'!C21:C31)))</f>
        <v>0.155589827800462</v>
      </c>
      <c r="S116" s="62" t="n">
        <f aca="false">IF(SUMPRODUCT(ABS('LCIA (Annex 1)'!C36:C46))=0,0,('LCIA (Annex 1)'!C42)/SUMPRODUCT(ABS('LCIA (Annex 1)'!C36:C46)))</f>
        <v>0</v>
      </c>
      <c r="T116" s="62" t="n">
        <f aca="false">IF(SUMPRODUCT(ABS('LCIA (Annex 1)'!C51:C61))=0,0,('LCIA (Annex 1)'!C57)/SUMPRODUCT(ABS('LCIA (Annex 1)'!C51:C61)))</f>
        <v>0.0714285714285714</v>
      </c>
      <c r="U116" s="62" t="n">
        <f aca="false">IF(SUMPRODUCT(ABS('LCIA (Annex 1)'!C66:C76))=0,0,('LCIA (Annex 1)'!C72)/SUMPRODUCT(ABS('LCIA (Annex 1)'!C66:C76)))</f>
        <v>0.0384615384615385</v>
      </c>
      <c r="V116" s="62" t="n">
        <f aca="false">IF(SUMPRODUCT(ABS('LCIA (Annex 1)'!C81:C91))=0,0,('LCIA (Annex 1)'!C87)/SUMPRODUCT(ABS('LCIA (Annex 1)'!C81:C91)))</f>
        <v>0.00203665987780041</v>
      </c>
      <c r="W116" s="62" t="n">
        <f aca="false">IF(SUMPRODUCT(ABS('LCIA (Annex 1)'!C96:C106))=0,0,('LCIA (Annex 1)'!C102)/SUMPRODUCT(ABS('LCIA (Annex 1)'!C96:C106)))</f>
        <v>3.66208702339463E-005</v>
      </c>
    </row>
    <row r="117" customFormat="false" ht="15" hidden="false" customHeight="false" outlineLevel="0" collapsed="false">
      <c r="P117" s="14" t="s">
        <v>347</v>
      </c>
      <c r="Q117" s="62" t="n">
        <f aca="false">IF(SUMPRODUCT(ABS('LCIA (Annex 1)'!C6:C16))=0,0,('LCIA (Annex 1)'!C16)/SUMPRODUCT(ABS('LCIA (Annex 1)'!C6:C16)))</f>
        <v>0</v>
      </c>
      <c r="R117" s="62" t="n">
        <f aca="false">IF(SUMPRODUCT(ABS('LCIA (Annex 1)'!C21:C31))=0,0,('LCIA (Annex 1)'!C31)/SUMPRODUCT(ABS('LCIA (Annex 1)'!C21:C31)))</f>
        <v>0</v>
      </c>
      <c r="S117" s="62" t="n">
        <f aca="false">IF(SUMPRODUCT(ABS('LCIA (Annex 1)'!C36:C46))=0,0,('LCIA (Annex 1)'!C46)/SUMPRODUCT(ABS('LCIA (Annex 1)'!C36:C46)))</f>
        <v>0</v>
      </c>
      <c r="T117" s="62" t="n">
        <f aca="false">IF(SUMPRODUCT(ABS('LCIA (Annex 1)'!C51:C61))=0,0,('LCIA (Annex 1)'!C61)/SUMPRODUCT(ABS('LCIA (Annex 1)'!C51:C61)))</f>
        <v>0</v>
      </c>
      <c r="U117" s="62" t="n">
        <f aca="false">IF(SUMPRODUCT(ABS('LCIA (Annex 1)'!C66:C76))=0,0,('LCIA (Annex 1)'!C76)/SUMPRODUCT(ABS('LCIA (Annex 1)'!C66:C76)))</f>
        <v>0</v>
      </c>
      <c r="V117" s="62" t="n">
        <f aca="false">IF(SUMPRODUCT(ABS('LCIA (Annex 1)'!C81:C91))=0,0,('LCIA (Annex 1)'!C91)/SUMPRODUCT(ABS('LCIA (Annex 1)'!C81:C91)))</f>
        <v>0.319416157501697</v>
      </c>
      <c r="W117" s="62" t="n">
        <f aca="false">IF(SUMPRODUCT(ABS('LCIA (Annex 1)'!C96:C106))=0,0,('LCIA (Annex 1)'!C106)/SUMPRODUCT(ABS('LCIA (Annex 1)'!C96:C106)))</f>
        <v>0.496432516891376</v>
      </c>
    </row>
    <row r="118" customFormat="false" ht="15" hidden="false" customHeight="false" outlineLevel="0" collapsed="false">
      <c r="P118" s="14" t="s">
        <v>314</v>
      </c>
      <c r="Q118" s="62" t="n">
        <f aca="false">IF(SUMPRODUCT(ABS('LCIA (Annex 1)'!C6:C16))=0,0,('LCIA (Annex 1)'!C8)/SUMPRODUCT(ABS('LCIA (Annex 1)'!C6:C16)))</f>
        <v>0</v>
      </c>
      <c r="R118" s="62" t="n">
        <f aca="false">IF(SUMPRODUCT(ABS('LCIA (Annex 1)'!C21:C31))=0,0,('LCIA (Annex 1)'!C23)/SUMPRODUCT(ABS('LCIA (Annex 1)'!C21:C31)))</f>
        <v>0</v>
      </c>
      <c r="S118" s="62" t="n">
        <f aca="false">IF(SUMPRODUCT(ABS('LCIA (Annex 1)'!C36:C46))=0,0,('LCIA (Annex 1)'!C38)/SUMPRODUCT(ABS('LCIA (Annex 1)'!C36:C46)))</f>
        <v>0</v>
      </c>
      <c r="T118" s="62" t="n">
        <f aca="false">IF(SUMPRODUCT(ABS('LCIA (Annex 1)'!C51:C61))=0,0,('LCIA (Annex 1)'!C53)/SUMPRODUCT(ABS('LCIA (Annex 1)'!C51:C61)))</f>
        <v>0</v>
      </c>
      <c r="U118" s="62" t="n">
        <f aca="false">IF(SUMPRODUCT(ABS('LCIA (Annex 1)'!C66:C76))=0,0,('LCIA (Annex 1)'!C68)/SUMPRODUCT(ABS('LCIA (Annex 1)'!C66:C76)))</f>
        <v>0</v>
      </c>
      <c r="V118" s="62" t="n">
        <f aca="false">IF(SUMPRODUCT(ABS('LCIA (Annex 1)'!C81:C91))=0,0,('LCIA (Annex 1)'!C83)/SUMPRODUCT(ABS('LCIA (Annex 1)'!C81:C91)))</f>
        <v>0</v>
      </c>
      <c r="W118" s="62" t="n">
        <f aca="false">IF(SUMPRODUCT(ABS('LCIA (Annex 1)'!C96:C106))=0,0,('LCIA (Annex 1)'!C98)/SUMPRODUCT(ABS('LCIA (Annex 1)'!C96:C106)))</f>
        <v>0.502078234385777</v>
      </c>
    </row>
    <row r="119" customFormat="false" ht="15" hidden="false" customHeight="false" outlineLevel="0" collapsed="false">
      <c r="P119" s="14" t="s">
        <v>348</v>
      </c>
      <c r="Q119" s="62" t="n">
        <f aca="false">IF(SUMPRODUCT(ABS('LCIA (Annex 1)'!C6:C16))=0,0,('LCIA (Annex 1)'!C6+'LCIA (Annex 1)'!C9+'LCIA (Annex 1)'!C11+'LCIA (Annex 1)'!C13)/SUMPRODUCT(ABS('LCIA (Annex 1)'!C6:C16)))</f>
        <v>0.0756602426837973</v>
      </c>
      <c r="R119" s="62" t="n">
        <f aca="false">IF(SUMPRODUCT(ABS('LCIA (Annex 1)'!C21:C31))=0,0,('LCIA (Annex 1)'!C21+'LCIA (Annex 1)'!C24+'LCIA (Annex 1)'!C26+'LCIA (Annex 1)'!C28)/SUMPRODUCT(ABS('LCIA (Annex 1)'!C21:C31)))</f>
        <v>0.0429389312977099</v>
      </c>
      <c r="S119" s="62" t="n">
        <f aca="false">IF(SUMPRODUCT(ABS('LCIA (Annex 1)'!C36:C46))=0,0,('LCIA (Annex 1)'!C36+'LCIA (Annex 1)'!C39+'LCIA (Annex 1)'!C41+'LCIA (Annex 1)'!C43)/SUMPRODUCT(ABS('LCIA (Annex 1)'!C36:C46)))</f>
        <v>0.00524909333842336</v>
      </c>
      <c r="T119" s="62" t="n">
        <f aca="false">IF(SUMPRODUCT(ABS('LCIA (Annex 1)'!C51:C61))=0,0,('LCIA (Annex 1)'!C51+'LCIA (Annex 1)'!C54+'LCIA (Annex 1)'!C56+'LCIA (Annex 1)'!C58)/SUMPRODUCT(ABS('LCIA (Annex 1)'!C51:C61)))</f>
        <v>0.0476190476190476</v>
      </c>
      <c r="U119" s="62" t="n">
        <f aca="false">IF(SUMPRODUCT(ABS('LCIA (Annex 1)'!C66:C76))=0,0,('LCIA (Annex 1)'!C66+'LCIA (Annex 1)'!C69+'LCIA (Annex 1)'!C71+'LCIA (Annex 1)'!C73)/SUMPRODUCT(ABS('LCIA (Annex 1)'!C66:C76)))</f>
        <v>0</v>
      </c>
      <c r="V119" s="62" t="n">
        <f aca="false">IF(SUMPRODUCT(ABS('LCIA (Annex 1)'!C81:C91))=0,0,('LCIA (Annex 1)'!C81+'LCIA (Annex 1)'!C84+'LCIA (Annex 1)'!C86+'LCIA (Annex 1)'!C88)/SUMPRODUCT(ABS('LCIA (Annex 1)'!C81:C91)))</f>
        <v>0.0152749490835031</v>
      </c>
      <c r="W119" s="62" t="n">
        <f aca="false">IF(SUMPRODUCT(ABS('LCIA (Annex 1)'!C96:C106))=0,0,('LCIA (Annex 1)'!C96+'LCIA (Annex 1)'!C99+'LCIA (Annex 1)'!C101+'LCIA (Annex 1)'!C103)/SUMPRODUCT(ABS('LCIA (Annex 1)'!C96:C106)))</f>
        <v>0.000915521755848658</v>
      </c>
    </row>
    <row r="121" customFormat="false" ht="15" hidden="false" customHeight="false" outlineLevel="0" collapsed="false">
      <c r="P121" s="31" t="s">
        <v>490</v>
      </c>
    </row>
    <row r="122" customFormat="false" ht="15" hidden="false" customHeight="false" outlineLevel="0" collapsed="false">
      <c r="P122" s="8" t="s">
        <v>338</v>
      </c>
      <c r="Q122" s="8" t="s">
        <v>339</v>
      </c>
      <c r="R122" s="8" t="s">
        <v>340</v>
      </c>
      <c r="S122" s="8" t="s">
        <v>341</v>
      </c>
      <c r="T122" s="8" t="s">
        <v>342</v>
      </c>
      <c r="U122" s="8" t="s">
        <v>343</v>
      </c>
      <c r="V122" s="8" t="s">
        <v>344</v>
      </c>
      <c r="W122" s="8" t="s">
        <v>345</v>
      </c>
    </row>
    <row r="123" customFormat="false" ht="15" hidden="false" customHeight="false" outlineLevel="0" collapsed="false">
      <c r="P123" s="14" t="s">
        <v>320</v>
      </c>
      <c r="Q123" s="62" t="n">
        <f aca="false">IF(SUMPRODUCT(ABS('LCIA (Annex 1)'!D6:D16))=0,0,('LCIA (Annex 1)'!D14)/SUMPRODUCT(ABS('LCIA (Annex 1)'!D6:D16)))</f>
        <v>0.584529505582137</v>
      </c>
      <c r="R123" s="62" t="n">
        <f aca="false">IF(SUMPRODUCT(ABS('LCIA (Annex 1)'!D21:D31))=0,0,('LCIA (Annex 1)'!D29)/SUMPRODUCT(ABS('LCIA (Annex 1)'!D21:D31)))</f>
        <v>0.413677540975022</v>
      </c>
      <c r="S123" s="62" t="n">
        <f aca="false">IF(SUMPRODUCT(ABS('LCIA (Annex 1)'!D36:D46))=0,0,('LCIA (Annex 1)'!D44)/SUMPRODUCT(ABS('LCIA (Annex 1)'!D36:D46)))</f>
        <v>0.991594729668333</v>
      </c>
      <c r="T123" s="62" t="n">
        <f aca="false">IF(SUMPRODUCT(ABS('LCIA (Annex 1)'!D51:D61))=0,0,('LCIA (Annex 1)'!D59)/SUMPRODUCT(ABS('LCIA (Annex 1)'!D51:D61)))</f>
        <v>0.6</v>
      </c>
      <c r="U123" s="62" t="n">
        <f aca="false">IF(SUMPRODUCT(ABS('LCIA (Annex 1)'!D66:D76))=0,0,('LCIA (Annex 1)'!D74)/SUMPRODUCT(ABS('LCIA (Annex 1)'!D66:D76)))</f>
        <v>0.75</v>
      </c>
      <c r="V123" s="62" t="n">
        <f aca="false">IF(SUMPRODUCT(ABS('LCIA (Annex 1)'!D81:D91))=0,0,('LCIA (Annex 1)'!D89)/SUMPRODUCT(ABS('LCIA (Annex 1)'!D81:D91)))</f>
        <v>0.135135135135135</v>
      </c>
      <c r="W123" s="62" t="n">
        <f aca="false">IF(SUMPRODUCT(ABS('LCIA (Annex 1)'!D96:D106))=0,0,('LCIA (Annex 1)'!D104)/SUMPRODUCT(ABS('LCIA (Annex 1)'!D96:D106)))</f>
        <v>0.000121010960135532</v>
      </c>
    </row>
    <row r="124" customFormat="false" ht="15" hidden="false" customHeight="false" outlineLevel="0" collapsed="false">
      <c r="P124" s="14" t="s">
        <v>346</v>
      </c>
      <c r="Q124" s="62" t="n">
        <f aca="false">IF(SUMPRODUCT(ABS('LCIA (Annex 1)'!D6:D16))=0,0,('LCIA (Annex 1)'!D10)/SUMPRODUCT(ABS('LCIA (Annex 1)'!D6:D16)))</f>
        <v>0</v>
      </c>
      <c r="R124" s="62" t="n">
        <f aca="false">IF(SUMPRODUCT(ABS('LCIA (Annex 1)'!D21:D31))=0,0,('LCIA (Annex 1)'!D25)/SUMPRODUCT(ABS('LCIA (Annex 1)'!D21:D31)))</f>
        <v>0</v>
      </c>
      <c r="S124" s="62" t="n">
        <f aca="false">IF(SUMPRODUCT(ABS('LCIA (Annex 1)'!D36:D46))=0,0,('LCIA (Annex 1)'!D40)/SUMPRODUCT(ABS('LCIA (Annex 1)'!D36:D46)))</f>
        <v>0</v>
      </c>
      <c r="T124" s="62" t="n">
        <f aca="false">IF(SUMPRODUCT(ABS('LCIA (Annex 1)'!D51:D61))=0,0,('LCIA (Annex 1)'!D55)/SUMPRODUCT(ABS('LCIA (Annex 1)'!D51:D61)))</f>
        <v>0</v>
      </c>
      <c r="U124" s="62" t="n">
        <f aca="false">IF(SUMPRODUCT(ABS('LCIA (Annex 1)'!D66:D76))=0,0,('LCIA (Annex 1)'!D70)/SUMPRODUCT(ABS('LCIA (Annex 1)'!D66:D76)))</f>
        <v>-0.25</v>
      </c>
      <c r="V124" s="62" t="n">
        <f aca="false">IF(SUMPRODUCT(ABS('LCIA (Annex 1)'!D81:D91))=0,0,('LCIA (Annex 1)'!D85)/SUMPRODUCT(ABS('LCIA (Annex 1)'!D81:D91)))</f>
        <v>0</v>
      </c>
      <c r="W124" s="62" t="n">
        <f aca="false">IF(SUMPRODUCT(ABS('LCIA (Annex 1)'!D96:D106))=0,0,('LCIA (Annex 1)'!D100)/SUMPRODUCT(ABS('LCIA (Annex 1)'!D96:D106)))</f>
        <v>0</v>
      </c>
    </row>
    <row r="125" customFormat="false" ht="15" hidden="false" customHeight="false" outlineLevel="0" collapsed="false">
      <c r="P125" s="14" t="s">
        <v>313</v>
      </c>
      <c r="Q125" s="62" t="n">
        <f aca="false">IF(SUMPRODUCT(ABS('LCIA (Annex 1)'!D6:D16))=0,0,('LCIA (Annex 1)'!D7)/SUMPRODUCT(ABS('LCIA (Annex 1)'!D6:D16)))</f>
        <v>0.00478468899521531</v>
      </c>
      <c r="R125" s="62" t="n">
        <f aca="false">IF(SUMPRODUCT(ABS('LCIA (Annex 1)'!D21:D31))=0,0,('LCIA (Annex 1)'!D22)/SUMPRODUCT(ABS('LCIA (Annex 1)'!D21:D31)))</f>
        <v>0.00429386814682935</v>
      </c>
      <c r="S125" s="62" t="n">
        <f aca="false">IF(SUMPRODUCT(ABS('LCIA (Annex 1)'!D36:D46))=0,0,('LCIA (Annex 1)'!D37)/SUMPRODUCT(ABS('LCIA (Annex 1)'!D36:D46)))</f>
        <v>0</v>
      </c>
      <c r="T125" s="62" t="n">
        <f aca="false">IF(SUMPRODUCT(ABS('LCIA (Annex 1)'!D51:D61))=0,0,('LCIA (Annex 1)'!D52)/SUMPRODUCT(ABS('LCIA (Annex 1)'!D51:D61)))</f>
        <v>0</v>
      </c>
      <c r="U125" s="62" t="n">
        <f aca="false">IF(SUMPRODUCT(ABS('LCIA (Annex 1)'!D66:D76))=0,0,('LCIA (Annex 1)'!D67)/SUMPRODUCT(ABS('LCIA (Annex 1)'!D66:D76)))</f>
        <v>0</v>
      </c>
      <c r="V125" s="62" t="n">
        <f aca="false">IF(SUMPRODUCT(ABS('LCIA (Annex 1)'!D81:D91))=0,0,('LCIA (Annex 1)'!D82)/SUMPRODUCT(ABS('LCIA (Annex 1)'!D81:D91)))</f>
        <v>0</v>
      </c>
      <c r="W125" s="62" t="n">
        <f aca="false">IF(SUMPRODUCT(ABS('LCIA (Annex 1)'!D96:D106))=0,0,('LCIA (Annex 1)'!D97)/SUMPRODUCT(ABS('LCIA (Annex 1)'!D96:D106)))</f>
        <v>0</v>
      </c>
    </row>
    <row r="126" customFormat="false" ht="15" hidden="false" customHeight="false" outlineLevel="0" collapsed="false">
      <c r="P126" s="14" t="s">
        <v>321</v>
      </c>
      <c r="Q126" s="62" t="n">
        <f aca="false">IF(SUMPRODUCT(ABS('LCIA (Annex 1)'!D6:D16))=0,0,('LCIA (Annex 1)'!D15)/SUMPRODUCT(ABS('LCIA (Annex 1)'!D6:D16)))</f>
        <v>0.165869218500797</v>
      </c>
      <c r="R126" s="62" t="n">
        <f aca="false">IF(SUMPRODUCT(ABS('LCIA (Annex 1)'!D21:D31))=0,0,('LCIA (Annex 1)'!D30)/SUMPRODUCT(ABS('LCIA (Annex 1)'!D21:D31)))</f>
        <v>0.183117767188564</v>
      </c>
      <c r="S126" s="62" t="n">
        <f aca="false">IF(SUMPRODUCT(ABS('LCIA (Annex 1)'!D36:D46))=0,0,('LCIA (Annex 1)'!D45)/SUMPRODUCT(ABS('LCIA (Annex 1)'!D36:D46)))</f>
        <v>0</v>
      </c>
      <c r="T126" s="62" t="n">
        <f aca="false">IF(SUMPRODUCT(ABS('LCIA (Annex 1)'!D51:D61))=0,0,('LCIA (Annex 1)'!D60)/SUMPRODUCT(ABS('LCIA (Annex 1)'!D51:D61)))</f>
        <v>0.2</v>
      </c>
      <c r="U126" s="62" t="n">
        <f aca="false">IF(SUMPRODUCT(ABS('LCIA (Annex 1)'!D66:D76))=0,0,('LCIA (Annex 1)'!D75)/SUMPRODUCT(ABS('LCIA (Annex 1)'!D66:D76)))</f>
        <v>0</v>
      </c>
      <c r="V126" s="62" t="n">
        <f aca="false">IF(SUMPRODUCT(ABS('LCIA (Annex 1)'!D81:D91))=0,0,('LCIA (Annex 1)'!D90)/SUMPRODUCT(ABS('LCIA (Annex 1)'!D81:D91)))</f>
        <v>0.000614250614250614</v>
      </c>
      <c r="W126" s="62" t="n">
        <f aca="false">IF(SUMPRODUCT(ABS('LCIA (Annex 1)'!D96:D106))=0,0,('LCIA (Annex 1)'!D105)/SUMPRODUCT(ABS('LCIA (Annex 1)'!D96:D106)))</f>
        <v>1.72872800193618E-005</v>
      </c>
    </row>
    <row r="127" customFormat="false" ht="15" hidden="false" customHeight="false" outlineLevel="0" collapsed="false">
      <c r="P127" s="14" t="s">
        <v>318</v>
      </c>
      <c r="Q127" s="62" t="n">
        <f aca="false">IF(SUMPRODUCT(ABS('LCIA (Annex 1)'!D6:D16))=0,0,('LCIA (Annex 1)'!D12)/SUMPRODUCT(ABS('LCIA (Annex 1)'!D6:D16)))</f>
        <v>0.181818181818182</v>
      </c>
      <c r="R127" s="62" t="n">
        <f aca="false">IF(SUMPRODUCT(ABS('LCIA (Annex 1)'!D21:D31))=0,0,('LCIA (Annex 1)'!D27)/SUMPRODUCT(ABS('LCIA (Annex 1)'!D21:D31)))</f>
        <v>0.327171807090119</v>
      </c>
      <c r="S127" s="62" t="n">
        <f aca="false">IF(SUMPRODUCT(ABS('LCIA (Annex 1)'!D36:D46))=0,0,('LCIA (Annex 1)'!D42)/SUMPRODUCT(ABS('LCIA (Annex 1)'!D36:D46)))</f>
        <v>0</v>
      </c>
      <c r="T127" s="62" t="n">
        <f aca="false">IF(SUMPRODUCT(ABS('LCIA (Annex 1)'!D51:D61))=0,0,('LCIA (Annex 1)'!D57)/SUMPRODUCT(ABS('LCIA (Annex 1)'!D51:D61)))</f>
        <v>0.2</v>
      </c>
      <c r="U127" s="62" t="n">
        <f aca="false">IF(SUMPRODUCT(ABS('LCIA (Annex 1)'!D66:D76))=0,0,('LCIA (Annex 1)'!D72)/SUMPRODUCT(ABS('LCIA (Annex 1)'!D66:D76)))</f>
        <v>0</v>
      </c>
      <c r="V127" s="62" t="n">
        <f aca="false">IF(SUMPRODUCT(ABS('LCIA (Annex 1)'!D81:D91))=0,0,('LCIA (Annex 1)'!D87)/SUMPRODUCT(ABS('LCIA (Annex 1)'!D81:D91)))</f>
        <v>0</v>
      </c>
      <c r="W127" s="62" t="n">
        <f aca="false">IF(SUMPRODUCT(ABS('LCIA (Annex 1)'!D96:D106))=0,0,('LCIA (Annex 1)'!D102)/SUMPRODUCT(ABS('LCIA (Annex 1)'!D96:D106)))</f>
        <v>4.32182000484044E-005</v>
      </c>
    </row>
    <row r="128" customFormat="false" ht="15" hidden="false" customHeight="false" outlineLevel="0" collapsed="false">
      <c r="P128" s="14" t="s">
        <v>347</v>
      </c>
      <c r="Q128" s="62" t="n">
        <f aca="false">IF(SUMPRODUCT(ABS('LCIA (Annex 1)'!D6:D16))=0,0,('LCIA (Annex 1)'!D16)/SUMPRODUCT(ABS('LCIA (Annex 1)'!D6:D16)))</f>
        <v>0</v>
      </c>
      <c r="R128" s="62" t="n">
        <f aca="false">IF(SUMPRODUCT(ABS('LCIA (Annex 1)'!D21:D31))=0,0,('LCIA (Annex 1)'!D31)/SUMPRODUCT(ABS('LCIA (Annex 1)'!D21:D31)))</f>
        <v>0</v>
      </c>
      <c r="S128" s="62" t="n">
        <f aca="false">IF(SUMPRODUCT(ABS('LCIA (Annex 1)'!D36:D46))=0,0,('LCIA (Annex 1)'!D46)/SUMPRODUCT(ABS('LCIA (Annex 1)'!D36:D46)))</f>
        <v>0</v>
      </c>
      <c r="T128" s="62" t="n">
        <f aca="false">IF(SUMPRODUCT(ABS('LCIA (Annex 1)'!D51:D61))=0,0,('LCIA (Annex 1)'!D61)/SUMPRODUCT(ABS('LCIA (Annex 1)'!D51:D61)))</f>
        <v>0</v>
      </c>
      <c r="U128" s="62" t="n">
        <f aca="false">IF(SUMPRODUCT(ABS('LCIA (Annex 1)'!D66:D76))=0,0,('LCIA (Annex 1)'!D76)/SUMPRODUCT(ABS('LCIA (Annex 1)'!D66:D76)))</f>
        <v>0</v>
      </c>
      <c r="V128" s="62" t="n">
        <f aca="false">IF(SUMPRODUCT(ABS('LCIA (Annex 1)'!D81:D91))=0,0,('LCIA (Annex 1)'!D91)/SUMPRODUCT(ABS('LCIA (Annex 1)'!D81:D91)))</f>
        <v>0.858722358722359</v>
      </c>
      <c r="W128" s="62" t="n">
        <f aca="false">IF(SUMPRODUCT(ABS('LCIA (Annex 1)'!D96:D106))=0,0,('LCIA (Annex 1)'!D106)/SUMPRODUCT(ABS('LCIA (Annex 1)'!D96:D106)))</f>
        <v>0.607621961760537</v>
      </c>
    </row>
    <row r="129" customFormat="false" ht="15" hidden="false" customHeight="false" outlineLevel="0" collapsed="false">
      <c r="P129" s="14" t="s">
        <v>314</v>
      </c>
      <c r="Q129" s="62" t="n">
        <f aca="false">IF(SUMPRODUCT(ABS('LCIA (Annex 1)'!D6:D16))=0,0,('LCIA (Annex 1)'!D8)/SUMPRODUCT(ABS('LCIA (Annex 1)'!D6:D16)))</f>
        <v>0</v>
      </c>
      <c r="R129" s="62" t="n">
        <f aca="false">IF(SUMPRODUCT(ABS('LCIA (Annex 1)'!D21:D31))=0,0,('LCIA (Annex 1)'!D23)/SUMPRODUCT(ABS('LCIA (Annex 1)'!D21:D31)))</f>
        <v>0</v>
      </c>
      <c r="S129" s="62" t="n">
        <f aca="false">IF(SUMPRODUCT(ABS('LCIA (Annex 1)'!D36:D46))=0,0,('LCIA (Annex 1)'!D38)/SUMPRODUCT(ABS('LCIA (Annex 1)'!D36:D46)))</f>
        <v>0</v>
      </c>
      <c r="T129" s="62" t="n">
        <f aca="false">IF(SUMPRODUCT(ABS('LCIA (Annex 1)'!D51:D61))=0,0,('LCIA (Annex 1)'!D53)/SUMPRODUCT(ABS('LCIA (Annex 1)'!D51:D61)))</f>
        <v>0</v>
      </c>
      <c r="U129" s="62" t="n">
        <f aca="false">IF(SUMPRODUCT(ABS('LCIA (Annex 1)'!D66:D76))=0,0,('LCIA (Annex 1)'!D68)/SUMPRODUCT(ABS('LCIA (Annex 1)'!D66:D76)))</f>
        <v>0</v>
      </c>
      <c r="V129" s="62" t="n">
        <f aca="false">IF(SUMPRODUCT(ABS('LCIA (Annex 1)'!D81:D91))=0,0,('LCIA (Annex 1)'!D83)/SUMPRODUCT(ABS('LCIA (Annex 1)'!D81:D91)))</f>
        <v>0</v>
      </c>
      <c r="W129" s="62" t="n">
        <f aca="false">IF(SUMPRODUCT(ABS('LCIA (Annex 1)'!D96:D106))=0,0,('LCIA (Annex 1)'!D98)/SUMPRODUCT(ABS('LCIA (Annex 1)'!D96:D106)))</f>
        <v>0.391323514158282</v>
      </c>
    </row>
    <row r="130" customFormat="false" ht="15" hidden="false" customHeight="false" outlineLevel="0" collapsed="false">
      <c r="P130" s="14" t="s">
        <v>348</v>
      </c>
      <c r="Q130" s="62" t="n">
        <f aca="false">IF(SUMPRODUCT(ABS('LCIA (Annex 1)'!D6:D16))=0,0,('LCIA (Annex 1)'!D6+'LCIA (Annex 1)'!D9+'LCIA (Annex 1)'!D11+'LCIA (Annex 1)'!D13)/SUMPRODUCT(ABS('LCIA (Annex 1)'!D6:D16)))</f>
        <v>0.0629984051036683</v>
      </c>
      <c r="R130" s="62" t="n">
        <f aca="false">IF(SUMPRODUCT(ABS('LCIA (Annex 1)'!D21:D31))=0,0,('LCIA (Annex 1)'!D21+'LCIA (Annex 1)'!D24+'LCIA (Annex 1)'!D26+'LCIA (Annex 1)'!D28)/SUMPRODUCT(ABS('LCIA (Annex 1)'!D21:D31)))</f>
        <v>0.0717390165994659</v>
      </c>
      <c r="S130" s="62" t="n">
        <f aca="false">IF(SUMPRODUCT(ABS('LCIA (Annex 1)'!D36:D46))=0,0,('LCIA (Annex 1)'!D36+'LCIA (Annex 1)'!D39+'LCIA (Annex 1)'!D41+'LCIA (Annex 1)'!D43)/SUMPRODUCT(ABS('LCIA (Annex 1)'!D36:D46)))</f>
        <v>0.00840527033166742</v>
      </c>
      <c r="T130" s="62" t="n">
        <f aca="false">IF(SUMPRODUCT(ABS('LCIA (Annex 1)'!D51:D61))=0,0,('LCIA (Annex 1)'!D51+'LCIA (Annex 1)'!D54+'LCIA (Annex 1)'!D56+'LCIA (Annex 1)'!D58)/SUMPRODUCT(ABS('LCIA (Annex 1)'!D51:D61)))</f>
        <v>0</v>
      </c>
      <c r="U130" s="62" t="n">
        <f aca="false">IF(SUMPRODUCT(ABS('LCIA (Annex 1)'!D66:D76))=0,0,('LCIA (Annex 1)'!D66+'LCIA (Annex 1)'!D69+'LCIA (Annex 1)'!D71+'LCIA (Annex 1)'!D73)/SUMPRODUCT(ABS('LCIA (Annex 1)'!D66:D76)))</f>
        <v>0</v>
      </c>
      <c r="V130" s="62" t="n">
        <f aca="false">IF(SUMPRODUCT(ABS('LCIA (Annex 1)'!D81:D91))=0,0,('LCIA (Annex 1)'!D81+'LCIA (Annex 1)'!D84+'LCIA (Annex 1)'!D86+'LCIA (Annex 1)'!D88)/SUMPRODUCT(ABS('LCIA (Annex 1)'!D81:D91)))</f>
        <v>0.00552825552825553</v>
      </c>
      <c r="W130" s="62" t="n">
        <f aca="false">IF(SUMPRODUCT(ABS('LCIA (Annex 1)'!D96:D106))=0,0,('LCIA (Annex 1)'!D96+'LCIA (Annex 1)'!D99+'LCIA (Annex 1)'!D101+'LCIA (Annex 1)'!D103)/SUMPRODUCT(ABS('LCIA (Annex 1)'!D96:D106)))</f>
        <v>0.000873007640977769</v>
      </c>
    </row>
    <row r="132" customFormat="false" ht="15" hidden="false" customHeight="false" outlineLevel="0" collapsed="false">
      <c r="P132" s="31" t="s">
        <v>491</v>
      </c>
    </row>
    <row r="133" customFormat="false" ht="15" hidden="false" customHeight="false" outlineLevel="0" collapsed="false">
      <c r="P133" s="8" t="s">
        <v>338</v>
      </c>
      <c r="Q133" s="8" t="s">
        <v>339</v>
      </c>
      <c r="R133" s="8" t="s">
        <v>340</v>
      </c>
      <c r="S133" s="8" t="s">
        <v>341</v>
      </c>
      <c r="T133" s="8" t="s">
        <v>342</v>
      </c>
      <c r="U133" s="8" t="s">
        <v>343</v>
      </c>
      <c r="V133" s="8" t="s">
        <v>344</v>
      </c>
      <c r="W133" s="8" t="s">
        <v>345</v>
      </c>
    </row>
    <row r="134" customFormat="false" ht="15" hidden="false" customHeight="false" outlineLevel="0" collapsed="false">
      <c r="P134" s="14" t="s">
        <v>320</v>
      </c>
      <c r="Q134" s="62" t="n">
        <f aca="false">IF(SUMPRODUCT(ABS('LCIA (Annex 1)'!E6:E16))=0,0,('LCIA (Annex 1)'!E14)/SUMPRODUCT(ABS('LCIA (Annex 1)'!E6:E16)))</f>
        <v>0.660670194003527</v>
      </c>
      <c r="R134" s="62" t="n">
        <f aca="false">IF(SUMPRODUCT(ABS('LCIA (Annex 1)'!E21:E31))=0,0,('LCIA (Annex 1)'!E29)/SUMPRODUCT(ABS('LCIA (Annex 1)'!E21:E31)))</f>
        <v>0.252109672963152</v>
      </c>
      <c r="S134" s="62" t="n">
        <f aca="false">IF(SUMPRODUCT(ABS('LCIA (Annex 1)'!E36:E46))=0,0,('LCIA (Annex 1)'!E44)/SUMPRODUCT(ABS('LCIA (Annex 1)'!E36:E46)))</f>
        <v>0.999919080757404</v>
      </c>
      <c r="T134" s="62" t="n">
        <f aca="false">IF(SUMPRODUCT(ABS('LCIA (Annex 1)'!E51:E61))=0,0,('LCIA (Annex 1)'!E59)/SUMPRODUCT(ABS('LCIA (Annex 1)'!E51:E61)))</f>
        <v>0.227272727272727</v>
      </c>
      <c r="U134" s="62" t="n">
        <f aca="false">IF(SUMPRODUCT(ABS('LCIA (Annex 1)'!E66:E76))=0,0,('LCIA (Annex 1)'!E74)/SUMPRODUCT(ABS('LCIA (Annex 1)'!E66:E76)))</f>
        <v>0.133333333333333</v>
      </c>
      <c r="V134" s="62" t="n">
        <f aca="false">IF(SUMPRODUCT(ABS('LCIA (Annex 1)'!E81:E91))=0,0,('LCIA (Annex 1)'!E89)/SUMPRODUCT(ABS('LCIA (Annex 1)'!E81:E91)))</f>
        <v>0.798064787547329</v>
      </c>
      <c r="W134" s="62" t="n">
        <f aca="false">IF(SUMPRODUCT(ABS('LCIA (Annex 1)'!E96:E106))=0,0,('LCIA (Annex 1)'!E104)/SUMPRODUCT(ABS('LCIA (Annex 1)'!E96:E106)))</f>
        <v>0.00011195871776734</v>
      </c>
    </row>
    <row r="135" customFormat="false" ht="15" hidden="false" customHeight="false" outlineLevel="0" collapsed="false">
      <c r="P135" s="14" t="s">
        <v>346</v>
      </c>
      <c r="Q135" s="62" t="n">
        <f aca="false">IF(SUMPRODUCT(ABS('LCIA (Annex 1)'!E6:E16))=0,0,('LCIA (Annex 1)'!E10)/SUMPRODUCT(ABS('LCIA (Annex 1)'!E6:E16)))</f>
        <v>0</v>
      </c>
      <c r="R135" s="62" t="n">
        <f aca="false">IF(SUMPRODUCT(ABS('LCIA (Annex 1)'!E21:E31))=0,0,('LCIA (Annex 1)'!E25)/SUMPRODUCT(ABS('LCIA (Annex 1)'!E21:E31)))</f>
        <v>0</v>
      </c>
      <c r="S135" s="62" t="n">
        <f aca="false">IF(SUMPRODUCT(ABS('LCIA (Annex 1)'!E36:E46))=0,0,('LCIA (Annex 1)'!E40)/SUMPRODUCT(ABS('LCIA (Annex 1)'!E36:E46)))</f>
        <v>0</v>
      </c>
      <c r="T135" s="62" t="n">
        <f aca="false">IF(SUMPRODUCT(ABS('LCIA (Annex 1)'!E51:E61))=0,0,('LCIA (Annex 1)'!E55)/SUMPRODUCT(ABS('LCIA (Annex 1)'!E51:E61)))</f>
        <v>0.659090909090909</v>
      </c>
      <c r="U135" s="62" t="n">
        <f aca="false">IF(SUMPRODUCT(ABS('LCIA (Annex 1)'!E66:E76))=0,0,('LCIA (Annex 1)'!E70)/SUMPRODUCT(ABS('LCIA (Annex 1)'!E66:E76)))</f>
        <v>0.85</v>
      </c>
      <c r="V135" s="62" t="n">
        <f aca="false">IF(SUMPRODUCT(ABS('LCIA (Annex 1)'!E81:E91))=0,0,('LCIA (Annex 1)'!E85)/SUMPRODUCT(ABS('LCIA (Annex 1)'!E81:E91)))</f>
        <v>0</v>
      </c>
      <c r="W135" s="62" t="n">
        <f aca="false">IF(SUMPRODUCT(ABS('LCIA (Annex 1)'!E96:E106))=0,0,('LCIA (Annex 1)'!E100)/SUMPRODUCT(ABS('LCIA (Annex 1)'!E96:E106)))</f>
        <v>0</v>
      </c>
    </row>
    <row r="136" customFormat="false" ht="15" hidden="false" customHeight="false" outlineLevel="0" collapsed="false">
      <c r="P136" s="14" t="s">
        <v>313</v>
      </c>
      <c r="Q136" s="62" t="n">
        <f aca="false">IF(SUMPRODUCT(ABS('LCIA (Annex 1)'!E6:E16))=0,0,('LCIA (Annex 1)'!E7)/SUMPRODUCT(ABS('LCIA (Annex 1)'!E6:E16)))</f>
        <v>0.167195767195767</v>
      </c>
      <c r="R136" s="62" t="n">
        <f aca="false">IF(SUMPRODUCT(ABS('LCIA (Annex 1)'!E21:E31))=0,0,('LCIA (Annex 1)'!E22)/SUMPRODUCT(ABS('LCIA (Annex 1)'!E21:E31)))</f>
        <v>0.65791765518484</v>
      </c>
      <c r="S136" s="62" t="n">
        <f aca="false">IF(SUMPRODUCT(ABS('LCIA (Annex 1)'!E36:E46))=0,0,('LCIA (Annex 1)'!E37)/SUMPRODUCT(ABS('LCIA (Annex 1)'!E36:E46)))</f>
        <v>0</v>
      </c>
      <c r="T136" s="62" t="n">
        <f aca="false">IF(SUMPRODUCT(ABS('LCIA (Annex 1)'!E51:E61))=0,0,('LCIA (Annex 1)'!E52)/SUMPRODUCT(ABS('LCIA (Annex 1)'!E51:E61)))</f>
        <v>0.0681818181818182</v>
      </c>
      <c r="U136" s="62" t="n">
        <f aca="false">IF(SUMPRODUCT(ABS('LCIA (Annex 1)'!E66:E76))=0,0,('LCIA (Annex 1)'!E67)/SUMPRODUCT(ABS('LCIA (Annex 1)'!E66:E76)))</f>
        <v>0.0166666666666667</v>
      </c>
      <c r="V136" s="62" t="n">
        <f aca="false">IF(SUMPRODUCT(ABS('LCIA (Annex 1)'!E81:E91))=0,0,('LCIA (Annex 1)'!E82)/SUMPRODUCT(ABS('LCIA (Annex 1)'!E81:E91)))</f>
        <v>0.00504838031131679</v>
      </c>
      <c r="W136" s="62" t="n">
        <f aca="false">IF(SUMPRODUCT(ABS('LCIA (Annex 1)'!E96:E106))=0,0,('LCIA (Annex 1)'!E97)/SUMPRODUCT(ABS('LCIA (Annex 1)'!E96:E106)))</f>
        <v>0.00013740388089628</v>
      </c>
    </row>
    <row r="137" customFormat="false" ht="15" hidden="false" customHeight="false" outlineLevel="0" collapsed="false">
      <c r="P137" s="14" t="s">
        <v>321</v>
      </c>
      <c r="Q137" s="62" t="n">
        <f aca="false">IF(SUMPRODUCT(ABS('LCIA (Annex 1)'!E6:E16))=0,0,('LCIA (Annex 1)'!E15)/SUMPRODUCT(ABS('LCIA (Annex 1)'!E6:E16)))</f>
        <v>0.1336860670194</v>
      </c>
      <c r="R137" s="62" t="n">
        <f aca="false">IF(SUMPRODUCT(ABS('LCIA (Annex 1)'!E21:E31))=0,0,('LCIA (Annex 1)'!E30)/SUMPRODUCT(ABS('LCIA (Annex 1)'!E21:E31)))</f>
        <v>0.0641560807631861</v>
      </c>
      <c r="S137" s="62" t="n">
        <f aca="false">IF(SUMPRODUCT(ABS('LCIA (Annex 1)'!E36:E46))=0,0,('LCIA (Annex 1)'!E45)/SUMPRODUCT(ABS('LCIA (Annex 1)'!E36:E46)))</f>
        <v>0</v>
      </c>
      <c r="T137" s="62" t="n">
        <f aca="false">IF(SUMPRODUCT(ABS('LCIA (Annex 1)'!E51:E61))=0,0,('LCIA (Annex 1)'!E60)/SUMPRODUCT(ABS('LCIA (Annex 1)'!E51:E61)))</f>
        <v>0.0454545454545455</v>
      </c>
      <c r="U137" s="62" t="n">
        <f aca="false">IF(SUMPRODUCT(ABS('LCIA (Annex 1)'!E66:E76))=0,0,('LCIA (Annex 1)'!E75)/SUMPRODUCT(ABS('LCIA (Annex 1)'!E66:E76)))</f>
        <v>0</v>
      </c>
      <c r="V137" s="62" t="n">
        <f aca="false">IF(SUMPRODUCT(ABS('LCIA (Annex 1)'!E81:E91))=0,0,('LCIA (Annex 1)'!E90)/SUMPRODUCT(ABS('LCIA (Annex 1)'!E81:E91)))</f>
        <v>0.00210349179638199</v>
      </c>
      <c r="W137" s="62" t="n">
        <f aca="false">IF(SUMPRODUCT(ABS('LCIA (Annex 1)'!E96:E106))=0,0,('LCIA (Annex 1)'!E105)/SUMPRODUCT(ABS('LCIA (Annex 1)'!E96:E106)))</f>
        <v>7.63354893868225E-006</v>
      </c>
    </row>
    <row r="138" customFormat="false" ht="15" hidden="false" customHeight="false" outlineLevel="0" collapsed="false">
      <c r="P138" s="14" t="s">
        <v>318</v>
      </c>
      <c r="Q138" s="62" t="n">
        <f aca="false">IF(SUMPRODUCT(ABS('LCIA (Annex 1)'!E6:E16))=0,0,('LCIA (Annex 1)'!E12)/SUMPRODUCT(ABS('LCIA (Annex 1)'!E6:E16)))</f>
        <v>0.00529100529100529</v>
      </c>
      <c r="R138" s="62" t="n">
        <f aca="false">IF(SUMPRODUCT(ABS('LCIA (Annex 1)'!E21:E31))=0,0,('LCIA (Annex 1)'!E27)/SUMPRODUCT(ABS('LCIA (Annex 1)'!E21:E31)))</f>
        <v>0.00555572239406589</v>
      </c>
      <c r="S138" s="62" t="n">
        <f aca="false">IF(SUMPRODUCT(ABS('LCIA (Annex 1)'!E36:E46))=0,0,('LCIA (Annex 1)'!E42)/SUMPRODUCT(ABS('LCIA (Annex 1)'!E36:E46)))</f>
        <v>0</v>
      </c>
      <c r="T138" s="62" t="n">
        <f aca="false">IF(SUMPRODUCT(ABS('LCIA (Annex 1)'!E51:E61))=0,0,('LCIA (Annex 1)'!E57)/SUMPRODUCT(ABS('LCIA (Annex 1)'!E51:E61)))</f>
        <v>0</v>
      </c>
      <c r="U138" s="62" t="n">
        <f aca="false">IF(SUMPRODUCT(ABS('LCIA (Annex 1)'!E66:E76))=0,0,('LCIA (Annex 1)'!E72)/SUMPRODUCT(ABS('LCIA (Annex 1)'!E66:E76)))</f>
        <v>0</v>
      </c>
      <c r="V138" s="62" t="n">
        <f aca="false">IF(SUMPRODUCT(ABS('LCIA (Annex 1)'!E81:E91))=0,0,('LCIA (Annex 1)'!E87)/SUMPRODUCT(ABS('LCIA (Annex 1)'!E81:E91)))</f>
        <v>0</v>
      </c>
      <c r="W138" s="62" t="n">
        <f aca="false">IF(SUMPRODUCT(ABS('LCIA (Annex 1)'!E96:E106))=0,0,('LCIA (Annex 1)'!E102)/SUMPRODUCT(ABS('LCIA (Annex 1)'!E96:E106)))</f>
        <v>0</v>
      </c>
    </row>
    <row r="139" customFormat="false" ht="15" hidden="false" customHeight="false" outlineLevel="0" collapsed="false">
      <c r="P139" s="14" t="s">
        <v>347</v>
      </c>
      <c r="Q139" s="62" t="n">
        <f aca="false">IF(SUMPRODUCT(ABS('LCIA (Annex 1)'!E6:E16))=0,0,('LCIA (Annex 1)'!E16)/SUMPRODUCT(ABS('LCIA (Annex 1)'!E6:E16)))</f>
        <v>0</v>
      </c>
      <c r="R139" s="62" t="n">
        <f aca="false">IF(SUMPRODUCT(ABS('LCIA (Annex 1)'!E21:E31))=0,0,('LCIA (Annex 1)'!E31)/SUMPRODUCT(ABS('LCIA (Annex 1)'!E21:E31)))</f>
        <v>0</v>
      </c>
      <c r="S139" s="62" t="n">
        <f aca="false">IF(SUMPRODUCT(ABS('LCIA (Annex 1)'!E36:E46))=0,0,('LCIA (Annex 1)'!E46)/SUMPRODUCT(ABS('LCIA (Annex 1)'!E36:E46)))</f>
        <v>0</v>
      </c>
      <c r="T139" s="62" t="n">
        <f aca="false">IF(SUMPRODUCT(ABS('LCIA (Annex 1)'!E51:E61))=0,0,('LCIA (Annex 1)'!E61)/SUMPRODUCT(ABS('LCIA (Annex 1)'!E51:E61)))</f>
        <v>0</v>
      </c>
      <c r="U139" s="62" t="n">
        <f aca="false">IF(SUMPRODUCT(ABS('LCIA (Annex 1)'!E66:E76))=0,0,('LCIA (Annex 1)'!E76)/SUMPRODUCT(ABS('LCIA (Annex 1)'!E66:E76)))</f>
        <v>0</v>
      </c>
      <c r="V139" s="62" t="n">
        <f aca="false">IF(SUMPRODUCT(ABS('LCIA (Annex 1)'!E81:E91))=0,0,('LCIA (Annex 1)'!E91)/SUMPRODUCT(ABS('LCIA (Annex 1)'!E81:E91)))</f>
        <v>0.193521245267143</v>
      </c>
      <c r="W139" s="62" t="n">
        <f aca="false">IF(SUMPRODUCT(ABS('LCIA (Annex 1)'!E96:E106))=0,0,('LCIA (Annex 1)'!E106)/SUMPRODUCT(ABS('LCIA (Annex 1)'!E96:E106)))</f>
        <v>0.501440196233098</v>
      </c>
    </row>
    <row r="140" customFormat="false" ht="15" hidden="false" customHeight="false" outlineLevel="0" collapsed="false">
      <c r="P140" s="14" t="s">
        <v>314</v>
      </c>
      <c r="Q140" s="62" t="n">
        <f aca="false">IF(SUMPRODUCT(ABS('LCIA (Annex 1)'!E6:E16))=0,0,('LCIA (Annex 1)'!E8)/SUMPRODUCT(ABS('LCIA (Annex 1)'!E6:E16)))</f>
        <v>0</v>
      </c>
      <c r="R140" s="62" t="n">
        <f aca="false">IF(SUMPRODUCT(ABS('LCIA (Annex 1)'!E21:E31))=0,0,('LCIA (Annex 1)'!E23)/SUMPRODUCT(ABS('LCIA (Annex 1)'!E21:E31)))</f>
        <v>0</v>
      </c>
      <c r="S140" s="62" t="n">
        <f aca="false">IF(SUMPRODUCT(ABS('LCIA (Annex 1)'!E36:E46))=0,0,('LCIA (Annex 1)'!E38)/SUMPRODUCT(ABS('LCIA (Annex 1)'!E36:E46)))</f>
        <v>0</v>
      </c>
      <c r="T140" s="62" t="n">
        <f aca="false">IF(SUMPRODUCT(ABS('LCIA (Annex 1)'!E51:E61))=0,0,('LCIA (Annex 1)'!E53)/SUMPRODUCT(ABS('LCIA (Annex 1)'!E51:E61)))</f>
        <v>0</v>
      </c>
      <c r="U140" s="62" t="n">
        <f aca="false">IF(SUMPRODUCT(ABS('LCIA (Annex 1)'!E66:E76))=0,0,('LCIA (Annex 1)'!E68)/SUMPRODUCT(ABS('LCIA (Annex 1)'!E66:E76)))</f>
        <v>0</v>
      </c>
      <c r="V140" s="62" t="n">
        <f aca="false">IF(SUMPRODUCT(ABS('LCIA (Annex 1)'!E81:E91))=0,0,('LCIA (Annex 1)'!E83)/SUMPRODUCT(ABS('LCIA (Annex 1)'!E81:E91)))</f>
        <v>0</v>
      </c>
      <c r="W140" s="62" t="n">
        <f aca="false">IF(SUMPRODUCT(ABS('LCIA (Annex 1)'!E96:E106))=0,0,('LCIA (Annex 1)'!E98)/SUMPRODUCT(ABS('LCIA (Annex 1)'!E96:E106)))</f>
        <v>0.498290085037735</v>
      </c>
    </row>
    <row r="141" customFormat="false" ht="15" hidden="false" customHeight="false" outlineLevel="0" collapsed="false">
      <c r="P141" s="14" t="s">
        <v>348</v>
      </c>
      <c r="Q141" s="62" t="n">
        <f aca="false">IF(SUMPRODUCT(ABS('LCIA (Annex 1)'!E6:E16))=0,0,('LCIA (Annex 1)'!E6+'LCIA (Annex 1)'!E9+'LCIA (Annex 1)'!E11+'LCIA (Annex 1)'!E13)/SUMPRODUCT(ABS('LCIA (Annex 1)'!E6:E16)))</f>
        <v>0.0331569664902998</v>
      </c>
      <c r="R141" s="62" t="n">
        <f aca="false">IF(SUMPRODUCT(ABS('LCIA (Annex 1)'!E21:E31))=0,0,('LCIA (Annex 1)'!E21+'LCIA (Annex 1)'!E24+'LCIA (Annex 1)'!E26+'LCIA (Annex 1)'!E28)/SUMPRODUCT(ABS('LCIA (Annex 1)'!E21:E31)))</f>
        <v>0.0202608686947556</v>
      </c>
      <c r="S141" s="62" t="n">
        <f aca="false">IF(SUMPRODUCT(ABS('LCIA (Annex 1)'!E36:E46))=0,0,('LCIA (Annex 1)'!E36+'LCIA (Annex 1)'!E39+'LCIA (Annex 1)'!E41+'LCIA (Annex 1)'!E43)/SUMPRODUCT(ABS('LCIA (Annex 1)'!E36:E46)))</f>
        <v>8.09192425958893E-005</v>
      </c>
      <c r="T141" s="62" t="n">
        <f aca="false">IF(SUMPRODUCT(ABS('LCIA (Annex 1)'!E51:E61))=0,0,('LCIA (Annex 1)'!E51+'LCIA (Annex 1)'!E54+'LCIA (Annex 1)'!E56+'LCIA (Annex 1)'!E58)/SUMPRODUCT(ABS('LCIA (Annex 1)'!E51:E61)))</f>
        <v>0</v>
      </c>
      <c r="U141" s="62" t="n">
        <f aca="false">IF(SUMPRODUCT(ABS('LCIA (Annex 1)'!E66:E76))=0,0,('LCIA (Annex 1)'!E66+'LCIA (Annex 1)'!E69+'LCIA (Annex 1)'!E71+'LCIA (Annex 1)'!E73)/SUMPRODUCT(ABS('LCIA (Annex 1)'!E66:E76)))</f>
        <v>0</v>
      </c>
      <c r="V141" s="62" t="n">
        <f aca="false">IF(SUMPRODUCT(ABS('LCIA (Annex 1)'!E81:E91))=0,0,('LCIA (Annex 1)'!E81+'LCIA (Annex 1)'!E84+'LCIA (Annex 1)'!E86+'LCIA (Annex 1)'!E88)/SUMPRODUCT(ABS('LCIA (Annex 1)'!E81:E91)))</f>
        <v>0.0012620950778292</v>
      </c>
      <c r="W141" s="62" t="n">
        <f aca="false">IF(SUMPRODUCT(ABS('LCIA (Annex 1)'!E96:E106))=0,0,('LCIA (Annex 1)'!E96+'LCIA (Annex 1)'!E99+'LCIA (Annex 1)'!E101+'LCIA (Annex 1)'!E103)/SUMPRODUCT(ABS('LCIA (Annex 1)'!E96:E106)))</f>
        <v>1.27225815644704E-005</v>
      </c>
    </row>
    <row r="146" customFormat="false" ht="15" hidden="false" customHeight="false" outlineLevel="0" collapsed="false">
      <c r="A146" s="29" t="s">
        <v>492</v>
      </c>
    </row>
    <row r="147" customFormat="false" ht="15" hidden="false" customHeight="false" outlineLevel="0" collapsed="false">
      <c r="P147" s="31" t="s">
        <v>493</v>
      </c>
    </row>
    <row r="148" customFormat="false" ht="26.85" hidden="false" customHeight="false" outlineLevel="0" collapsed="false">
      <c r="P148" s="8" t="s">
        <v>381</v>
      </c>
      <c r="Q148" s="8" t="s">
        <v>383</v>
      </c>
      <c r="R148" s="8" t="s">
        <v>384</v>
      </c>
      <c r="S148" s="8" t="s">
        <v>385</v>
      </c>
      <c r="T148" s="8" t="s">
        <v>386</v>
      </c>
      <c r="U148" s="8" t="s">
        <v>387</v>
      </c>
      <c r="V148" s="8" t="s">
        <v>388</v>
      </c>
      <c r="W148" s="8" t="s">
        <v>389</v>
      </c>
    </row>
    <row r="149" customFormat="false" ht="15" hidden="false" customHeight="false" outlineLevel="0" collapsed="false">
      <c r="P149" s="14" t="s">
        <v>494</v>
      </c>
      <c r="Q149" s="45" t="n">
        <f aca="false">'KPI framework'!F8</f>
        <v>2552.4</v>
      </c>
      <c r="R149" s="45" t="n">
        <f aca="false">'KPI framework'!G8</f>
        <v>2801</v>
      </c>
      <c r="S149" s="45" t="n">
        <f aca="false">'KPI framework'!H8</f>
        <v>1255</v>
      </c>
      <c r="T149" s="45" t="n">
        <f aca="false">'KPI framework'!I8</f>
        <v>2836</v>
      </c>
      <c r="U149" s="45" t="str">
        <f aca="false">'KPI framework'!J8</f>
        <v>✗</v>
      </c>
      <c r="V149" s="45" t="str">
        <f aca="false">'KPI framework'!K8</f>
        <v>✓</v>
      </c>
      <c r="W149" s="45" t="str">
        <f aca="false">'KPI framework'!L8</f>
        <v>baseline</v>
      </c>
    </row>
    <row r="150" customFormat="false" ht="15" hidden="false" customHeight="false" outlineLevel="0" collapsed="false">
      <c r="P150" s="14" t="s">
        <v>495</v>
      </c>
      <c r="Q150" s="45" t="n">
        <f aca="false">'KPI framework'!F9</f>
        <v>89907.3</v>
      </c>
      <c r="R150" s="45" t="n">
        <f aca="false">'KPI framework'!G9</f>
        <v>90127</v>
      </c>
      <c r="S150" s="45" t="n">
        <f aca="false">'KPI framework'!H9</f>
        <v>19097</v>
      </c>
      <c r="T150" s="45" t="n">
        <f aca="false">'KPI framework'!I9</f>
        <v>99897</v>
      </c>
      <c r="U150" s="45" t="str">
        <f aca="false">'KPI framework'!J9</f>
        <v>✗</v>
      </c>
      <c r="V150" s="45" t="str">
        <f aca="false">'KPI framework'!K9</f>
        <v>✓</v>
      </c>
      <c r="W150" s="45" t="str">
        <f aca="false">'KPI framework'!L9</f>
        <v>baseline</v>
      </c>
    </row>
    <row r="151" customFormat="false" ht="15" hidden="false" customHeight="false" outlineLevel="0" collapsed="false">
      <c r="P151" s="14" t="s">
        <v>496</v>
      </c>
      <c r="Q151" s="45" t="n">
        <f aca="false">'KPI framework'!F10</f>
        <v>11122.2</v>
      </c>
      <c r="R151" s="45" t="n">
        <f aca="false">'KPI framework'!G10</f>
        <v>10478</v>
      </c>
      <c r="S151" s="45" t="n">
        <f aca="false">'KPI framework'!H10</f>
        <v>4402</v>
      </c>
      <c r="T151" s="45" t="n">
        <f aca="false">'KPI framework'!I10</f>
        <v>12358</v>
      </c>
      <c r="U151" s="45" t="str">
        <f aca="false">'KPI framework'!J10</f>
        <v>✓</v>
      </c>
      <c r="V151" s="45" t="str">
        <f aca="false">'KPI framework'!K10</f>
        <v>✓</v>
      </c>
      <c r="W151" s="45" t="str">
        <f aca="false">'KPI framework'!L10</f>
        <v>baseline</v>
      </c>
    </row>
    <row r="152" customFormat="false" ht="15" hidden="false" customHeight="false" outlineLevel="0" collapsed="false">
      <c r="P152" s="14" t="s">
        <v>497</v>
      </c>
      <c r="Q152" s="45" t="n">
        <f aca="false">'KPI framework'!F11</f>
        <v>40.5</v>
      </c>
      <c r="R152" s="45" t="n">
        <f aca="false">'KPI framework'!G11</f>
        <v>42</v>
      </c>
      <c r="S152" s="45" t="n">
        <f aca="false">'KPI framework'!H11</f>
        <v>6</v>
      </c>
      <c r="T152" s="45" t="n">
        <f aca="false">'KPI framework'!I11</f>
        <v>45</v>
      </c>
      <c r="U152" s="45" t="str">
        <f aca="false">'KPI framework'!J11</f>
        <v>✗</v>
      </c>
      <c r="V152" s="45" t="str">
        <f aca="false">'KPI framework'!K11</f>
        <v>✓</v>
      </c>
      <c r="W152" s="45" t="str">
        <f aca="false">'KPI framework'!L11</f>
        <v>baseline</v>
      </c>
    </row>
    <row r="153" customFormat="false" ht="15" hidden="false" customHeight="false" outlineLevel="0" collapsed="false">
      <c r="P153" s="14" t="s">
        <v>498</v>
      </c>
      <c r="Q153" s="45" t="n">
        <f aca="false">'KPI framework'!F12</f>
        <v>54.9</v>
      </c>
      <c r="R153" s="45" t="n">
        <f aca="false">'KPI framework'!G12</f>
        <v>26</v>
      </c>
      <c r="S153" s="45" t="n">
        <f aca="false">'KPI framework'!H12</f>
        <v>2</v>
      </c>
      <c r="T153" s="45" t="n">
        <f aca="false">'KPI framework'!I12</f>
        <v>61</v>
      </c>
      <c r="U153" s="45" t="str">
        <f aca="false">'KPI framework'!J12</f>
        <v>✓</v>
      </c>
      <c r="V153" s="45" t="str">
        <f aca="false">'KPI framework'!K12</f>
        <v>✓</v>
      </c>
      <c r="W153" s="45" t="str">
        <f aca="false">'KPI framework'!L12</f>
        <v>baseline</v>
      </c>
    </row>
    <row r="154" customFormat="false" ht="15" hidden="false" customHeight="false" outlineLevel="0" collapsed="false">
      <c r="P154" s="14" t="s">
        <v>499</v>
      </c>
      <c r="Q154" s="45" t="n">
        <f aca="false">'KPI framework'!F13</f>
        <v>2141.1</v>
      </c>
      <c r="R154" s="45" t="n">
        <f aca="false">'KPI framework'!G13</f>
        <v>2946</v>
      </c>
      <c r="S154" s="45" t="n">
        <f aca="false">'KPI framework'!H13</f>
        <v>4885</v>
      </c>
      <c r="T154" s="45" t="n">
        <f aca="false">'KPI framework'!I13</f>
        <v>2379</v>
      </c>
      <c r="U154" s="45" t="str">
        <f aca="false">'KPI framework'!J13</f>
        <v>✗</v>
      </c>
      <c r="V154" s="45" t="str">
        <f aca="false">'KPI framework'!K13</f>
        <v>✗</v>
      </c>
      <c r="W154" s="45" t="str">
        <f aca="false">'KPI framework'!L13</f>
        <v>baseline</v>
      </c>
    </row>
    <row r="155" customFormat="false" ht="15" hidden="false" customHeight="false" outlineLevel="0" collapsed="false">
      <c r="P155" s="14" t="s">
        <v>500</v>
      </c>
      <c r="Q155" s="45" t="n">
        <f aca="false">'KPI framework'!F14</f>
        <v>353701.8</v>
      </c>
      <c r="R155" s="45" t="n">
        <f aca="false">'KPI framework'!G14</f>
        <v>163840</v>
      </c>
      <c r="S155" s="45" t="n">
        <f aca="false">'KPI framework'!H14</f>
        <v>115691</v>
      </c>
      <c r="T155" s="45" t="n">
        <f aca="false">'KPI framework'!I14</f>
        <v>393002</v>
      </c>
      <c r="U155" s="45" t="str">
        <f aca="false">'KPI framework'!J14</f>
        <v>✓</v>
      </c>
      <c r="V155" s="45" t="str">
        <f aca="false">'KPI framework'!K14</f>
        <v>✓</v>
      </c>
      <c r="W155" s="45" t="str">
        <f aca="false">'KPI framework'!L14</f>
        <v>baseline</v>
      </c>
    </row>
    <row r="156" customFormat="false" ht="15" hidden="false" customHeight="false" outlineLevel="0" collapsed="false">
      <c r="P156" s="14" t="s">
        <v>501</v>
      </c>
      <c r="Q156" s="60" t="n">
        <f aca="false">'KPI framework'!F15</f>
        <v>0.35</v>
      </c>
      <c r="R156" s="60" t="n">
        <f aca="false">'KPI framework'!G15</f>
        <v>0.469758878127522</v>
      </c>
      <c r="S156" s="60" t="n">
        <f aca="false">'KPI framework'!H15</f>
        <v>1.1060393258427</v>
      </c>
      <c r="T156" s="60" t="n">
        <f aca="false">'KPI framework'!I15</f>
        <v>0.201757240481614</v>
      </c>
      <c r="U156" s="60" t="str">
        <f aca="false">'KPI framework'!J15</f>
        <v>✓</v>
      </c>
      <c r="V156" s="60" t="str">
        <f aca="false">'KPI framework'!K15</f>
        <v>✓</v>
      </c>
      <c r="W156" s="60" t="str">
        <f aca="false">'KPI framework'!L15</f>
        <v>✗</v>
      </c>
    </row>
    <row r="157" customFormat="false" ht="15" hidden="false" customHeight="false" outlineLevel="0" collapsed="false">
      <c r="P157" s="14" t="s">
        <v>502</v>
      </c>
      <c r="Q157" s="60" t="n">
        <f aca="false">'KPI framework'!F16</f>
        <v>0.3</v>
      </c>
      <c r="R157" s="60" t="n">
        <f aca="false">'KPI framework'!G16</f>
        <v>0.3215799031477</v>
      </c>
      <c r="S157" s="60" t="n">
        <f aca="false">'KPI framework'!H16</f>
        <v>0.950734658599827</v>
      </c>
      <c r="T157" s="60" t="n">
        <f aca="false">'KPI framework'!I16</f>
        <v>0.162707452001302</v>
      </c>
      <c r="U157" s="60" t="str">
        <f aca="false">'KPI framework'!J16</f>
        <v>✓</v>
      </c>
      <c r="V157" s="60" t="str">
        <f aca="false">'KPI framework'!K16</f>
        <v>✓</v>
      </c>
      <c r="W157" s="60" t="str">
        <f aca="false">'KPI framework'!L16</f>
        <v>✗</v>
      </c>
    </row>
    <row r="158" customFormat="false" ht="15" hidden="false" customHeight="false" outlineLevel="0" collapsed="false">
      <c r="P158" s="14" t="s">
        <v>503</v>
      </c>
      <c r="Q158" s="45" t="n">
        <f aca="false">'KPI framework'!F17</f>
        <v>60</v>
      </c>
      <c r="R158" s="45" t="n">
        <f aca="false">'KPI framework'!G17</f>
        <v>54.7384865744508</v>
      </c>
      <c r="S158" s="45" t="n">
        <f aca="false">'KPI framework'!H17</f>
        <v>-3.79874213836478</v>
      </c>
      <c r="T158" s="45" t="n">
        <f aca="false">'KPI framework'!I17</f>
        <v>95.9296072999837</v>
      </c>
      <c r="U158" s="45" t="str">
        <f aca="false">'KPI framework'!J17</f>
        <v>✓</v>
      </c>
      <c r="V158" s="45" t="str">
        <f aca="false">'KPI framework'!K17</f>
        <v>✓</v>
      </c>
      <c r="W158" s="45" t="str">
        <f aca="false">'KPI framework'!L17</f>
        <v>✗</v>
      </c>
    </row>
    <row r="159" customFormat="false" ht="15" hidden="false" customHeight="false" outlineLevel="0" collapsed="false">
      <c r="P159" s="14" t="s">
        <v>504</v>
      </c>
      <c r="Q159" s="45" t="n">
        <f aca="false">'KPI framework'!F18</f>
        <v>1.75</v>
      </c>
      <c r="R159" s="45" t="n">
        <f aca="false">'KPI framework'!G18</f>
        <v>1.7179253867152</v>
      </c>
      <c r="S159" s="45" t="n">
        <f aca="false">'KPI framework'!H18</f>
        <v>1.36923076923077</v>
      </c>
      <c r="T159" s="45" t="n">
        <f aca="false">'KPI framework'!I18</f>
        <v>1.78833306175656</v>
      </c>
      <c r="U159" s="45" t="str">
        <f aca="false">'KPI framework'!J18</f>
        <v>✓</v>
      </c>
      <c r="V159" s="45" t="str">
        <f aca="false">'KPI framework'!K18</f>
        <v>✓</v>
      </c>
      <c r="W159" s="45" t="str">
        <f aca="false">'KPI framework'!L18</f>
        <v>✗</v>
      </c>
    </row>
    <row r="160" customFormat="false" ht="15" hidden="false" customHeight="false" outlineLevel="0" collapsed="false">
      <c r="P160" s="14" t="s">
        <v>505</v>
      </c>
      <c r="Q160" s="60" t="n">
        <f aca="false">'KPI framework'!F19</f>
        <v>0.5</v>
      </c>
      <c r="R160" s="60" t="n">
        <f aca="false">'KPI framework'!G19</f>
        <v>0.551977170811252</v>
      </c>
      <c r="S160" s="60" t="n">
        <f aca="false">'KPI framework'!H19</f>
        <v>0.998172052082455</v>
      </c>
      <c r="T160" s="60" t="n">
        <f aca="false">'KPI framework'!I19</f>
        <v>0</v>
      </c>
      <c r="U160" s="60" t="str">
        <f aca="false">'KPI framework'!J19</f>
        <v>✓</v>
      </c>
      <c r="V160" s="60" t="str">
        <f aca="false">'KPI framework'!K19</f>
        <v>✓</v>
      </c>
      <c r="W160" s="60" t="str">
        <f aca="false">'KPI framework'!L19</f>
        <v>✗</v>
      </c>
    </row>
    <row r="161" customFormat="false" ht="15" hidden="false" customHeight="false" outlineLevel="0" collapsed="false">
      <c r="P161" s="14" t="s">
        <v>506</v>
      </c>
      <c r="Q161" s="60" t="n">
        <f aca="false">'KPI framework'!F20</f>
        <v>0.6</v>
      </c>
      <c r="R161" s="60" t="n">
        <f aca="false">'KPI framework'!G20</f>
        <v>0.553016779721528</v>
      </c>
      <c r="S161" s="60" t="n">
        <f aca="false">'KPI framework'!H20</f>
        <v>0.58406374501992</v>
      </c>
      <c r="T161" s="60" t="n">
        <f aca="false">'KPI framework'!I20</f>
        <v>0.660437235543018</v>
      </c>
      <c r="U161" s="60" t="str">
        <f aca="false">'KPI framework'!J20</f>
        <v>✓</v>
      </c>
      <c r="V161" s="60" t="str">
        <f aca="false">'KPI framework'!K20</f>
        <v>✓</v>
      </c>
      <c r="W161" s="60" t="str">
        <f aca="false">'KPI framework'!L20</f>
        <v>✗</v>
      </c>
    </row>
    <row r="162" customFormat="false" ht="15" hidden="false" customHeight="false" outlineLevel="0" collapsed="false">
      <c r="P162" s="14" t="s">
        <v>436</v>
      </c>
      <c r="Q162" s="43"/>
      <c r="R162" s="43"/>
      <c r="S162" s="43"/>
      <c r="T162" s="43"/>
      <c r="U162" s="43" t="str">
        <f aca="false">'KPI framework'!J22</f>
        <v>9 / 13</v>
      </c>
      <c r="V162" s="43" t="str">
        <f aca="false">'KPI framework'!K22</f>
        <v>12 / 13</v>
      </c>
      <c r="W162" s="43" t="str">
        <f aca="false">'KPI framework'!L22</f>
        <v>0 / 13</v>
      </c>
    </row>
    <row r="181" customFormat="false" ht="15" hidden="false" customHeight="false" outlineLevel="0" collapsed="false">
      <c r="A181" s="29" t="s">
        <v>507</v>
      </c>
    </row>
    <row r="182" customFormat="false" ht="15" hidden="false" customHeight="false" outlineLevel="0" collapsed="false">
      <c r="P182" s="31" t="s">
        <v>508</v>
      </c>
    </row>
    <row r="183" customFormat="false" ht="39.55" hidden="false" customHeight="false" outlineLevel="0" collapsed="false">
      <c r="P183" s="8" t="s">
        <v>358</v>
      </c>
      <c r="Q183" s="8" t="s">
        <v>11</v>
      </c>
      <c r="R183" s="8" t="s">
        <v>15</v>
      </c>
      <c r="S183" s="8" t="s">
        <v>19</v>
      </c>
    </row>
    <row r="184" customFormat="false" ht="15" hidden="false" customHeight="false" outlineLevel="0" collapsed="false">
      <c r="P184" s="14" t="s">
        <v>393</v>
      </c>
      <c r="Q184" s="62" t="n">
        <f aca="false">Comparison!C5/Comparison!$E5</f>
        <v>0.987658674188999</v>
      </c>
      <c r="R184" s="62" t="n">
        <f aca="false">Comparison!D5/Comparison!$E5</f>
        <v>0.442524682651622</v>
      </c>
      <c r="S184" s="62" t="n">
        <f aca="false">Comparison!E5/Comparison!$E5</f>
        <v>1</v>
      </c>
    </row>
    <row r="185" customFormat="false" ht="15" hidden="false" customHeight="false" outlineLevel="0" collapsed="false">
      <c r="P185" s="14" t="s">
        <v>399</v>
      </c>
      <c r="Q185" s="62" t="n">
        <f aca="false">Comparison!C6/Comparison!$E6</f>
        <v>0.902199265243201</v>
      </c>
      <c r="R185" s="62" t="n">
        <f aca="false">Comparison!D6/Comparison!$E6</f>
        <v>0.191166901908966</v>
      </c>
      <c r="S185" s="62" t="n">
        <f aca="false">Comparison!E6/Comparison!$E6</f>
        <v>1</v>
      </c>
    </row>
    <row r="186" customFormat="false" ht="15" hidden="false" customHeight="false" outlineLevel="0" collapsed="false">
      <c r="P186" s="14" t="s">
        <v>402</v>
      </c>
      <c r="Q186" s="62" t="n">
        <f aca="false">Comparison!C7/Comparison!$E7</f>
        <v>0.847871823919728</v>
      </c>
      <c r="R186" s="62" t="n">
        <f aca="false">Comparison!D7/Comparison!$E7</f>
        <v>0.356206505907105</v>
      </c>
      <c r="S186" s="62" t="n">
        <f aca="false">Comparison!E7/Comparison!$E7</f>
        <v>1</v>
      </c>
    </row>
    <row r="187" customFormat="false" ht="15" hidden="false" customHeight="false" outlineLevel="0" collapsed="false">
      <c r="P187" s="14" t="s">
        <v>405</v>
      </c>
      <c r="Q187" s="62" t="n">
        <f aca="false">Comparison!C8/Comparison!$E8</f>
        <v>0.933333333333333</v>
      </c>
      <c r="R187" s="62" t="n">
        <f aca="false">Comparison!D8/Comparison!$E8</f>
        <v>0.133333333333333</v>
      </c>
      <c r="S187" s="62" t="n">
        <f aca="false">Comparison!E8/Comparison!$E8</f>
        <v>1</v>
      </c>
    </row>
    <row r="188" customFormat="false" ht="15" hidden="false" customHeight="false" outlineLevel="0" collapsed="false">
      <c r="P188" s="14" t="s">
        <v>408</v>
      </c>
      <c r="Q188" s="62" t="n">
        <f aca="false">Comparison!C9/Comparison!$E9</f>
        <v>0.426229508196721</v>
      </c>
      <c r="R188" s="62" t="n">
        <f aca="false">Comparison!D9/Comparison!$E9</f>
        <v>0.0327868852459016</v>
      </c>
      <c r="S188" s="62" t="n">
        <f aca="false">Comparison!E9/Comparison!$E9</f>
        <v>1</v>
      </c>
    </row>
    <row r="189" customFormat="false" ht="15" hidden="false" customHeight="false" outlineLevel="0" collapsed="false">
      <c r="P189" s="14" t="s">
        <v>411</v>
      </c>
      <c r="Q189" s="62" t="n">
        <f aca="false">Comparison!C10/Comparison!$E10</f>
        <v>1.23833543505675</v>
      </c>
      <c r="R189" s="62" t="n">
        <f aca="false">Comparison!D10/Comparison!$E10</f>
        <v>2.05338377469525</v>
      </c>
      <c r="S189" s="62" t="n">
        <f aca="false">Comparison!E10/Comparison!$E10</f>
        <v>1</v>
      </c>
    </row>
    <row r="190" customFormat="false" ht="15" hidden="false" customHeight="false" outlineLevel="0" collapsed="false">
      <c r="P190" s="14" t="s">
        <v>414</v>
      </c>
      <c r="Q190" s="62" t="n">
        <f aca="false">Comparison!C11/Comparison!$E11</f>
        <v>0.416893552704566</v>
      </c>
      <c r="R190" s="62" t="n">
        <f aca="false">Comparison!D11/Comparison!$E11</f>
        <v>0.294377636755029</v>
      </c>
      <c r="S190" s="62" t="n">
        <f aca="false">Comparison!E11/Comparison!$E11</f>
        <v>1</v>
      </c>
    </row>
    <row r="222" customFormat="false" ht="15" hidden="false" customHeight="false" outlineLevel="0" collapsed="false">
      <c r="A222" s="29" t="s">
        <v>509</v>
      </c>
    </row>
    <row r="223" customFormat="false" ht="15" hidden="false" customHeight="false" outlineLevel="0" collapsed="false">
      <c r="P223" s="31" t="s">
        <v>510</v>
      </c>
    </row>
    <row r="224" customFormat="false" ht="39.55" hidden="false" customHeight="false" outlineLevel="0" collapsed="false">
      <c r="P224" s="8" t="s">
        <v>82</v>
      </c>
      <c r="Q224" s="8" t="s">
        <v>11</v>
      </c>
      <c r="R224" s="8" t="s">
        <v>15</v>
      </c>
      <c r="S224" s="8" t="s">
        <v>19</v>
      </c>
    </row>
    <row r="225" customFormat="false" ht="15" hidden="false" customHeight="false" outlineLevel="0" collapsed="false">
      <c r="P225" s="14" t="s">
        <v>511</v>
      </c>
      <c r="Q225" s="34" t="n">
        <f aca="false">Inventory!C24</f>
        <v>1229</v>
      </c>
      <c r="R225" s="34" t="n">
        <f aca="false">Inventory!D24</f>
        <v>159</v>
      </c>
      <c r="S225" s="34" t="n">
        <f aca="false">Inventory!E24</f>
        <v>6137</v>
      </c>
    </row>
    <row r="226" customFormat="false" ht="15" hidden="false" customHeight="false" outlineLevel="0" collapsed="false">
      <c r="P226" s="14" t="s">
        <v>512</v>
      </c>
      <c r="Q226" s="77" t="n">
        <f aca="false">Inventory!C25</f>
        <v>0.813669650122051</v>
      </c>
      <c r="R226" s="77" t="n">
        <f aca="false">Inventory!D25</f>
        <v>6.28930817610063</v>
      </c>
      <c r="S226" s="77" t="n">
        <f aca="false">Inventory!E25</f>
        <v>0.162946064852534</v>
      </c>
    </row>
    <row r="227" customFormat="false" ht="15" hidden="false" customHeight="false" outlineLevel="0" collapsed="false">
      <c r="P227" s="14" t="s">
        <v>513</v>
      </c>
      <c r="Q227" s="35" t="n">
        <f aca="false">'Nutrient balance'!C8</f>
        <v>126.8736</v>
      </c>
      <c r="R227" s="35" t="n">
        <f aca="false">'Nutrient balance'!D8</f>
        <v>5.696</v>
      </c>
      <c r="S227" s="35" t="n">
        <f aca="false">'Nutrient balance'!E8</f>
        <v>737.52</v>
      </c>
    </row>
    <row r="228" customFormat="false" ht="15" hidden="false" customHeight="false" outlineLevel="0" collapsed="false">
      <c r="P228" s="14" t="s">
        <v>514</v>
      </c>
      <c r="Q228" s="62" t="n">
        <f aca="false">'Nutrient balance'!C13</f>
        <v>0.469758878127522</v>
      </c>
      <c r="R228" s="62" t="n">
        <f aca="false">'Nutrient balance'!D13</f>
        <v>1.1060393258427</v>
      </c>
      <c r="S228" s="62" t="n">
        <f aca="false">'Nutrient balance'!E13</f>
        <v>0.201757240481614</v>
      </c>
    </row>
    <row r="229" customFormat="false" ht="15" hidden="false" customHeight="false" outlineLevel="0" collapsed="false">
      <c r="P229" s="14" t="s">
        <v>515</v>
      </c>
      <c r="Q229" s="62" t="n">
        <f aca="false">'KPI framework'!$F$5</f>
        <v>0.1</v>
      </c>
      <c r="R229" s="62" t="n">
        <f aca="false">'KPI framework'!$F$5</f>
        <v>0.1</v>
      </c>
      <c r="S229" s="62" t="n">
        <f aca="false">'KPI framework'!$F$5</f>
        <v>0.1</v>
      </c>
    </row>
    <row r="230" customFormat="false" ht="15" hidden="false" customHeight="false" outlineLevel="0" collapsed="false">
      <c r="P230" s="14" t="s">
        <v>516</v>
      </c>
      <c r="Q230" s="43" t="str">
        <f aca="false">'KPI framework'!J22</f>
        <v>9 / 13</v>
      </c>
      <c r="R230" s="43" t="str">
        <f aca="false">'KPI framework'!K22</f>
        <v>12 / 13</v>
      </c>
      <c r="S230" s="43" t="str">
        <f aca="false">'KPI framework'!L22</f>
        <v>0 / 13</v>
      </c>
    </row>
    <row r="244" customFormat="false" ht="15" hidden="false" customHeight="false" outlineLevel="0" collapsed="false">
      <c r="A244" s="29" t="s">
        <v>517</v>
      </c>
    </row>
    <row r="245" customFormat="false" ht="15" hidden="false" customHeight="false" outlineLevel="0" collapsed="false">
      <c r="P245" s="31" t="s">
        <v>518</v>
      </c>
    </row>
    <row r="246" customFormat="false" ht="39.55" hidden="false" customHeight="false" outlineLevel="0" collapsed="false">
      <c r="P246" s="8" t="s">
        <v>381</v>
      </c>
      <c r="Q246" s="8" t="s">
        <v>11</v>
      </c>
      <c r="R246" s="8" t="s">
        <v>15</v>
      </c>
      <c r="S246" s="8" t="s">
        <v>19</v>
      </c>
    </row>
    <row r="247" customFormat="false" ht="15" hidden="false" customHeight="false" outlineLevel="0" collapsed="false">
      <c r="P247" s="14" t="s">
        <v>455</v>
      </c>
      <c r="Q247" s="66" t="n">
        <f aca="false">('KPI framework'!$F8-'KPI framework'!G8)/ABS('KPI framework'!$F8)</f>
        <v>-0.0973985268766651</v>
      </c>
      <c r="R247" s="66" t="n">
        <f aca="false">('KPI framework'!$F8-'KPI framework'!H8)/ABS('KPI framework'!$F8)</f>
        <v>0.508305908164864</v>
      </c>
      <c r="S247" s="66" t="str">
        <f aca="false">"baseline"</f>
        <v>baseline</v>
      </c>
    </row>
    <row r="248" customFormat="false" ht="15" hidden="false" customHeight="false" outlineLevel="0" collapsed="false">
      <c r="P248" s="14" t="s">
        <v>456</v>
      </c>
      <c r="Q248" s="66" t="n">
        <f aca="false">('KPI framework'!$F9-'KPI framework'!G9)/ABS('KPI framework'!$F9)</f>
        <v>-0.00244362804800052</v>
      </c>
      <c r="R248" s="66" t="n">
        <f aca="false">('KPI framework'!$F9-'KPI framework'!H9)/ABS('KPI framework'!$F9)</f>
        <v>0.78759233121226</v>
      </c>
      <c r="S248" s="66" t="str">
        <f aca="false">"baseline"</f>
        <v>baseline</v>
      </c>
    </row>
    <row r="249" customFormat="false" ht="15" hidden="false" customHeight="false" outlineLevel="0" collapsed="false">
      <c r="P249" s="14" t="s">
        <v>457</v>
      </c>
      <c r="Q249" s="66" t="n">
        <f aca="false">('KPI framework'!$F10-'KPI framework'!G10)/ABS('KPI framework'!$F10)</f>
        <v>0.0579201956447466</v>
      </c>
      <c r="R249" s="66" t="n">
        <f aca="false">('KPI framework'!$F10-'KPI framework'!H10)/ABS('KPI framework'!$F10)</f>
        <v>0.60421499343655</v>
      </c>
      <c r="S249" s="66" t="str">
        <f aca="false">"baseline"</f>
        <v>baseline</v>
      </c>
    </row>
    <row r="250" customFormat="false" ht="15" hidden="false" customHeight="false" outlineLevel="0" collapsed="false">
      <c r="P250" s="14" t="s">
        <v>458</v>
      </c>
      <c r="Q250" s="66" t="n">
        <f aca="false">('KPI framework'!$F11-'KPI framework'!G11)/ABS('KPI framework'!$F11)</f>
        <v>-0.037037037037037</v>
      </c>
      <c r="R250" s="66" t="n">
        <f aca="false">('KPI framework'!$F11-'KPI framework'!H11)/ABS('KPI framework'!$F11)</f>
        <v>0.851851851851852</v>
      </c>
      <c r="S250" s="66" t="str">
        <f aca="false">"baseline"</f>
        <v>baseline</v>
      </c>
    </row>
    <row r="251" customFormat="false" ht="15" hidden="false" customHeight="false" outlineLevel="0" collapsed="false">
      <c r="P251" s="14" t="s">
        <v>459</v>
      </c>
      <c r="Q251" s="66" t="n">
        <f aca="false">('KPI framework'!$F12-'KPI framework'!G12)/ABS('KPI framework'!$F12)</f>
        <v>0.526411657559199</v>
      </c>
      <c r="R251" s="66" t="n">
        <f aca="false">('KPI framework'!$F12-'KPI framework'!H12)/ABS('KPI framework'!$F12)</f>
        <v>0.963570127504554</v>
      </c>
      <c r="S251" s="66" t="str">
        <f aca="false">"baseline"</f>
        <v>baseline</v>
      </c>
    </row>
    <row r="252" customFormat="false" ht="15" hidden="false" customHeight="false" outlineLevel="0" collapsed="false">
      <c r="P252" s="14" t="s">
        <v>460</v>
      </c>
      <c r="Q252" s="66" t="n">
        <f aca="false">('KPI framework'!$F13-'KPI framework'!G13)/ABS('KPI framework'!$F13)</f>
        <v>-0.375928261174163</v>
      </c>
      <c r="R252" s="66" t="n">
        <f aca="false">('KPI framework'!$F13-'KPI framework'!H13)/ABS('KPI framework'!$F13)</f>
        <v>-1.28153752743917</v>
      </c>
      <c r="S252" s="66" t="str">
        <f aca="false">"baseline"</f>
        <v>baseline</v>
      </c>
    </row>
    <row r="253" customFormat="false" ht="15" hidden="false" customHeight="false" outlineLevel="0" collapsed="false">
      <c r="P253" s="14" t="s">
        <v>461</v>
      </c>
      <c r="Q253" s="66" t="n">
        <f aca="false">('KPI framework'!$F14-'KPI framework'!G14)/ABS('KPI framework'!$F14)</f>
        <v>0.536784941439371</v>
      </c>
      <c r="R253" s="66" t="n">
        <f aca="false">('KPI framework'!$F14-'KPI framework'!H14)/ABS('KPI framework'!$F14)</f>
        <v>0.672913736938856</v>
      </c>
      <c r="S253" s="66" t="str">
        <f aca="false">"baseline"</f>
        <v>baseline</v>
      </c>
    </row>
    <row r="254" customFormat="false" ht="15" hidden="false" customHeight="false" outlineLevel="0" collapsed="false">
      <c r="P254" s="14" t="s">
        <v>462</v>
      </c>
      <c r="Q254" s="66" t="n">
        <f aca="false">('KPI framework'!G15-'KPI framework'!$F15)/ABS('KPI framework'!$F15)</f>
        <v>0.342168223221492</v>
      </c>
      <c r="R254" s="66" t="n">
        <f aca="false">('KPI framework'!H15-'KPI framework'!$F15)/ABS('KPI framework'!$F15)</f>
        <v>2.16011235955056</v>
      </c>
      <c r="S254" s="66" t="n">
        <f aca="false">('KPI framework'!I15-'KPI framework'!$F15)/ABS('KPI framework'!$F15)</f>
        <v>-0.423550741481103</v>
      </c>
    </row>
    <row r="255" customFormat="false" ht="15" hidden="false" customHeight="false" outlineLevel="0" collapsed="false">
      <c r="P255" s="14" t="s">
        <v>463</v>
      </c>
      <c r="Q255" s="66" t="n">
        <f aca="false">('KPI framework'!G16-'KPI framework'!$F16)/ABS('KPI framework'!$F16)</f>
        <v>0.0719330104923327</v>
      </c>
      <c r="R255" s="66" t="n">
        <f aca="false">('KPI framework'!H16-'KPI framework'!$F16)/ABS('KPI framework'!$F16)</f>
        <v>2.16911552866609</v>
      </c>
      <c r="S255" s="66" t="n">
        <f aca="false">('KPI framework'!I16-'KPI framework'!$F16)/ABS('KPI framework'!$F16)</f>
        <v>-0.457641826662328</v>
      </c>
    </row>
    <row r="256" customFormat="false" ht="15" hidden="false" customHeight="false" outlineLevel="0" collapsed="false">
      <c r="P256" s="14" t="s">
        <v>464</v>
      </c>
      <c r="Q256" s="66" t="n">
        <f aca="false">('KPI framework'!$F17-'KPI framework'!G17)/ABS('KPI framework'!$F17)</f>
        <v>0.0876918904258202</v>
      </c>
      <c r="R256" s="66" t="n">
        <f aca="false">('KPI framework'!$F17-'KPI framework'!H17)/ABS('KPI framework'!$F17)</f>
        <v>1.06331236897275</v>
      </c>
      <c r="S256" s="66" t="n">
        <f aca="false">('KPI framework'!$F17-'KPI framework'!I17)/ABS('KPI framework'!$F17)</f>
        <v>-0.598826788333062</v>
      </c>
    </row>
    <row r="257" customFormat="false" ht="15" hidden="false" customHeight="false" outlineLevel="0" collapsed="false">
      <c r="P257" s="14" t="s">
        <v>465</v>
      </c>
      <c r="Q257" s="66" t="n">
        <f aca="false">('KPI framework'!$F18-'KPI framework'!G18)/ABS('KPI framework'!$F18)</f>
        <v>0.0183283504484597</v>
      </c>
      <c r="R257" s="66" t="n">
        <f aca="false">('KPI framework'!$F18-'KPI framework'!H18)/ABS('KPI framework'!$F18)</f>
        <v>0.217582417582418</v>
      </c>
      <c r="S257" s="66" t="n">
        <f aca="false">('KPI framework'!$F18-'KPI framework'!I18)/ABS('KPI framework'!$F18)</f>
        <v>-0.0219046067180334</v>
      </c>
    </row>
    <row r="258" customFormat="false" ht="15" hidden="false" customHeight="false" outlineLevel="0" collapsed="false">
      <c r="P258" s="14" t="s">
        <v>466</v>
      </c>
      <c r="Q258" s="66" t="n">
        <f aca="false">('KPI framework'!G19-'KPI framework'!$F19)/ABS('KPI framework'!$F19)</f>
        <v>0.103954341622503</v>
      </c>
      <c r="R258" s="66" t="n">
        <f aca="false">('KPI framework'!H19-'KPI framework'!$F19)/ABS('KPI framework'!$F19)</f>
        <v>0.996344104164909</v>
      </c>
      <c r="S258" s="66" t="n">
        <f aca="false">('KPI framework'!I19-'KPI framework'!$F19)/ABS('KPI framework'!$F19)</f>
        <v>-1</v>
      </c>
    </row>
    <row r="259" customFormat="false" ht="15" hidden="false" customHeight="false" outlineLevel="0" collapsed="false">
      <c r="P259" s="14" t="s">
        <v>467</v>
      </c>
      <c r="Q259" s="66" t="n">
        <f aca="false">('KPI framework'!$F20-'KPI framework'!G20)/ABS('KPI framework'!$F20)</f>
        <v>0.0783053671307865</v>
      </c>
      <c r="R259" s="66" t="n">
        <f aca="false">('KPI framework'!$F20-'KPI framework'!H20)/ABS('KPI framework'!$F20)</f>
        <v>0.0265604249667994</v>
      </c>
      <c r="S259" s="66" t="n">
        <f aca="false">('KPI framework'!$F20-'KPI framework'!I20)/ABS('KPI framework'!$F20)</f>
        <v>-0.100728725905031</v>
      </c>
    </row>
  </sheetData>
  <conditionalFormatting sqref="Q112:W119">
    <cfRule type="colorScale" priority="2">
      <colorScale>
        <cfvo type="num" val="0"/>
        <cfvo type="num" val="1"/>
        <color rgb="FFFFFFFF"/>
        <color rgb="FF0F6E56"/>
      </colorScale>
    </cfRule>
  </conditionalFormatting>
  <conditionalFormatting sqref="Q123:W130">
    <cfRule type="colorScale" priority="3">
      <colorScale>
        <cfvo type="num" val="0"/>
        <cfvo type="num" val="1"/>
        <color rgb="FFFFFFFF"/>
        <color rgb="FF0F6E56"/>
      </colorScale>
    </cfRule>
  </conditionalFormatting>
  <conditionalFormatting sqref="Q134:W141">
    <cfRule type="colorScale" priority="4">
      <colorScale>
        <cfvo type="num" val="0"/>
        <cfvo type="num" val="1"/>
        <color rgb="FFFFFFFF"/>
        <color rgb="FF0F6E5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80"/>
  </cols>
  <sheetData>
    <row r="1" customFormat="false" ht="17.35" hidden="false" customHeight="false" outlineLevel="0" collapsed="false">
      <c r="A1" s="28" t="s">
        <v>519</v>
      </c>
    </row>
    <row r="2" customFormat="false" ht="15" hidden="false" customHeight="false" outlineLevel="0" collapsed="false">
      <c r="A2" s="29" t="s">
        <v>107</v>
      </c>
    </row>
    <row r="4" customFormat="false" ht="15" hidden="false" customHeight="false" outlineLevel="0" collapsed="false">
      <c r="A4" s="8" t="s">
        <v>520</v>
      </c>
      <c r="B4" s="8" t="s">
        <v>7</v>
      </c>
      <c r="C4" s="8" t="s">
        <v>521</v>
      </c>
      <c r="D4" s="8" t="s">
        <v>522</v>
      </c>
      <c r="E4" s="8" t="s">
        <v>523</v>
      </c>
      <c r="F4" s="8" t="s">
        <v>524</v>
      </c>
      <c r="G4" s="8" t="s">
        <v>525</v>
      </c>
    </row>
    <row r="5" customFormat="false" ht="15" hidden="false" customHeight="false" outlineLevel="0" collapsed="false">
      <c r="A5" s="33" t="s">
        <v>526</v>
      </c>
      <c r="B5" s="33" t="s">
        <v>10</v>
      </c>
      <c r="C5" s="72" t="n">
        <v>126.9</v>
      </c>
      <c r="D5" s="45" t="n">
        <f aca="false">'Nutrient balance'!C8</f>
        <v>126.8736</v>
      </c>
      <c r="E5" s="45" t="n">
        <f aca="false">D5-C5</f>
        <v>-0.0263999999999953</v>
      </c>
      <c r="F5" s="70" t="str">
        <f aca="false">IF(ABS(E5)&lt;=0.1,"✓","check")</f>
        <v>✓</v>
      </c>
      <c r="G5" s="29" t="s">
        <v>527</v>
      </c>
    </row>
    <row r="6" customFormat="false" ht="15" hidden="false" customHeight="false" outlineLevel="0" collapsed="false">
      <c r="A6" s="33" t="s">
        <v>528</v>
      </c>
      <c r="B6" s="33" t="s">
        <v>10</v>
      </c>
      <c r="C6" s="45" t="n">
        <f aca="false">'Nutrient balance'!C12</f>
        <v>67.2</v>
      </c>
      <c r="D6" s="45" t="n">
        <f aca="false">'Nutrient balance'!C11</f>
        <v>67.2736</v>
      </c>
      <c r="E6" s="45" t="n">
        <f aca="false">D6-C6</f>
        <v>0.0736000000000132</v>
      </c>
      <c r="F6" s="70" t="str">
        <f aca="false">IF(ABS(E6)&lt;=0.2,"✓","check")</f>
        <v>✓</v>
      </c>
      <c r="G6" s="29" t="s">
        <v>529</v>
      </c>
    </row>
    <row r="7" customFormat="false" ht="15" hidden="false" customHeight="false" outlineLevel="0" collapsed="false">
      <c r="A7" s="33" t="s">
        <v>530</v>
      </c>
      <c r="B7" s="33" t="s">
        <v>10</v>
      </c>
      <c r="C7" s="45" t="n">
        <f aca="false">'LCIA (Annex 1)'!C98</f>
        <v>82261</v>
      </c>
      <c r="D7" s="45" t="n">
        <f aca="false">'LCI per tonne'!C12</f>
        <v>82270.1383238405</v>
      </c>
      <c r="E7" s="45" t="n">
        <f aca="false">D7-C7</f>
        <v>9.13832384052512</v>
      </c>
      <c r="F7" s="70" t="str">
        <f aca="false">IF(ABS(E7)&lt;=0.01*ABS(C7),"✓","check")</f>
        <v>✓</v>
      </c>
      <c r="G7" s="29" t="s">
        <v>531</v>
      </c>
    </row>
    <row r="8" customFormat="false" ht="15" hidden="false" customHeight="false" outlineLevel="0" collapsed="false">
      <c r="A8" s="33" t="s">
        <v>532</v>
      </c>
      <c r="B8" s="33" t="s">
        <v>10</v>
      </c>
      <c r="C8" s="45" t="n">
        <f aca="false">Inventory!C21</f>
        <v>1.72</v>
      </c>
      <c r="D8" s="45" t="n">
        <f aca="false">Inventory!C26</f>
        <v>1.7179253867152</v>
      </c>
      <c r="E8" s="45" t="n">
        <f aca="false">D8-C8</f>
        <v>-0.00207461328480441</v>
      </c>
      <c r="F8" s="70" t="str">
        <f aca="false">IF(ABS(E8)&lt;=0.02,"✓","check")</f>
        <v>✓</v>
      </c>
      <c r="G8" s="29" t="s">
        <v>533</v>
      </c>
    </row>
    <row r="9" customFormat="false" ht="15" hidden="false" customHeight="false" outlineLevel="0" collapsed="false">
      <c r="A9" s="33" t="s">
        <v>534</v>
      </c>
      <c r="B9" s="33" t="s">
        <v>10</v>
      </c>
      <c r="C9" s="45" t="n">
        <f aca="false">'LCIA (Annex 1)'!C91</f>
        <v>941</v>
      </c>
      <c r="D9" s="45" t="n">
        <f aca="false">'LCI per tonne'!C13</f>
        <v>959.337204010426</v>
      </c>
      <c r="E9" s="45" t="n">
        <f aca="false">D9-C9</f>
        <v>18.3372040104262</v>
      </c>
      <c r="F9" s="70" t="str">
        <f aca="false">IF(ABS(E9)&lt;=0.05*ABS(C9),"✓","check")</f>
        <v>✓</v>
      </c>
      <c r="G9" s="29" t="s">
        <v>535</v>
      </c>
    </row>
    <row r="10" customFormat="false" ht="15" hidden="false" customHeight="false" outlineLevel="0" collapsed="false">
      <c r="A10" s="33" t="s">
        <v>526</v>
      </c>
      <c r="B10" s="33" t="s">
        <v>14</v>
      </c>
      <c r="C10" s="72" t="n">
        <v>5.7</v>
      </c>
      <c r="D10" s="45" t="n">
        <f aca="false">'Nutrient balance'!D8</f>
        <v>5.696</v>
      </c>
      <c r="E10" s="45" t="n">
        <f aca="false">D10-C10</f>
        <v>-0.00399999999999956</v>
      </c>
      <c r="F10" s="70" t="str">
        <f aca="false">IF(ABS(E10)&lt;=0.1,"✓","check")</f>
        <v>✓</v>
      </c>
      <c r="G10" s="29" t="s">
        <v>527</v>
      </c>
    </row>
    <row r="11" customFormat="false" ht="15" hidden="false" customHeight="false" outlineLevel="0" collapsed="false">
      <c r="A11" s="33" t="s">
        <v>528</v>
      </c>
      <c r="B11" s="33" t="s">
        <v>14</v>
      </c>
      <c r="C11" s="45" t="n">
        <f aca="false">'Nutrient balance'!D12</f>
        <v>-0.5</v>
      </c>
      <c r="D11" s="45" t="n">
        <f aca="false">'Nutrient balance'!D11</f>
        <v>-0.603999999999999</v>
      </c>
      <c r="E11" s="45" t="n">
        <f aca="false">D11-C11</f>
        <v>-0.103999999999999</v>
      </c>
      <c r="F11" s="70" t="str">
        <f aca="false">IF(ABS(E11)&lt;=0.2,"✓","check")</f>
        <v>✓</v>
      </c>
      <c r="G11" s="29" t="s">
        <v>529</v>
      </c>
    </row>
    <row r="12" customFormat="false" ht="15" hidden="false" customHeight="false" outlineLevel="0" collapsed="false">
      <c r="A12" s="33" t="s">
        <v>530</v>
      </c>
      <c r="B12" s="33" t="s">
        <v>14</v>
      </c>
      <c r="C12" s="45" t="n">
        <f aca="false">'LCIA (Annex 1)'!D98</f>
        <v>45273</v>
      </c>
      <c r="D12" s="45" t="n">
        <f aca="false">'LCI per tonne'!D12</f>
        <v>45188.679245283</v>
      </c>
      <c r="E12" s="45" t="n">
        <f aca="false">D12-C12</f>
        <v>-84.3207547169805</v>
      </c>
      <c r="F12" s="70" t="str">
        <f aca="false">IF(ABS(E12)&lt;=0.01*ABS(C12),"✓","check")</f>
        <v>✓</v>
      </c>
      <c r="G12" s="29" t="s">
        <v>531</v>
      </c>
    </row>
    <row r="13" customFormat="false" ht="15" hidden="false" customHeight="false" outlineLevel="0" collapsed="false">
      <c r="A13" s="33" t="s">
        <v>532</v>
      </c>
      <c r="B13" s="33" t="s">
        <v>14</v>
      </c>
      <c r="C13" s="45" t="n">
        <f aca="false">Inventory!D21</f>
        <v>0.56</v>
      </c>
      <c r="D13" s="45" t="n">
        <f aca="false">Inventory!D26</f>
        <v>1.36923076923077</v>
      </c>
      <c r="E13" s="45" t="n">
        <f aca="false">D13-C13</f>
        <v>0.809230769230769</v>
      </c>
      <c r="F13" s="70" t="str">
        <f aca="false">IF(ABS(E13)&lt;=0.02,"✓","check")</f>
        <v>check</v>
      </c>
      <c r="G13" s="29" t="s">
        <v>536</v>
      </c>
    </row>
    <row r="14" customFormat="false" ht="15" hidden="false" customHeight="false" outlineLevel="0" collapsed="false">
      <c r="A14" s="33" t="s">
        <v>534</v>
      </c>
      <c r="B14" s="33" t="s">
        <v>14</v>
      </c>
      <c r="C14" s="45" t="n">
        <f aca="false">'LCIA (Annex 1)'!D91</f>
        <v>4194</v>
      </c>
      <c r="D14" s="45" t="n">
        <f aca="false">'LCI per tonne'!D13</f>
        <v>4221.5998427673</v>
      </c>
      <c r="E14" s="45" t="n">
        <f aca="false">D14-C14</f>
        <v>27.5998427672957</v>
      </c>
      <c r="F14" s="70" t="str">
        <f aca="false">IF(ABS(E14)&lt;=0.05*ABS(C14),"✓","check")</f>
        <v>✓</v>
      </c>
      <c r="G14" s="29" t="s">
        <v>535</v>
      </c>
    </row>
    <row r="15" customFormat="false" ht="15" hidden="false" customHeight="false" outlineLevel="0" collapsed="false">
      <c r="A15" s="33" t="s">
        <v>526</v>
      </c>
      <c r="B15" s="33" t="s">
        <v>18</v>
      </c>
      <c r="C15" s="72" t="n">
        <v>737.5</v>
      </c>
      <c r="D15" s="45" t="n">
        <f aca="false">'Nutrient balance'!E8</f>
        <v>737.52</v>
      </c>
      <c r="E15" s="45" t="n">
        <f aca="false">D15-C15</f>
        <v>0.0199999999999818</v>
      </c>
      <c r="F15" s="70" t="str">
        <f aca="false">IF(ABS(E15)&lt;=0.1,"✓","check")</f>
        <v>✓</v>
      </c>
      <c r="G15" s="29" t="s">
        <v>527</v>
      </c>
    </row>
    <row r="16" customFormat="false" ht="15" hidden="false" customHeight="false" outlineLevel="0" collapsed="false">
      <c r="A16" s="33" t="s">
        <v>528</v>
      </c>
      <c r="B16" s="33" t="s">
        <v>18</v>
      </c>
      <c r="C16" s="45" t="n">
        <f aca="false">'Nutrient balance'!E12</f>
        <v>588.7</v>
      </c>
      <c r="D16" s="45" t="n">
        <f aca="false">'Nutrient balance'!E11</f>
        <v>588.72</v>
      </c>
      <c r="E16" s="45" t="n">
        <f aca="false">D16-C16</f>
        <v>0.0199999999999818</v>
      </c>
      <c r="F16" s="70" t="str">
        <f aca="false">IF(ABS(E16)&lt;=0.2,"✓","check")</f>
        <v>✓</v>
      </c>
      <c r="G16" s="29" t="s">
        <v>529</v>
      </c>
    </row>
    <row r="17" customFormat="false" ht="15" hidden="false" customHeight="false" outlineLevel="0" collapsed="false">
      <c r="A17" s="33" t="s">
        <v>530</v>
      </c>
      <c r="B17" s="33" t="s">
        <v>18</v>
      </c>
      <c r="C17" s="45" t="n">
        <f aca="false">'LCIA (Annex 1)'!E98</f>
        <v>195829</v>
      </c>
      <c r="D17" s="45" t="n">
        <f aca="false">'LCI per tonne'!E12</f>
        <v>195822.71468144</v>
      </c>
      <c r="E17" s="45" t="n">
        <f aca="false">D17-C17</f>
        <v>-6.28531855953042</v>
      </c>
      <c r="F17" s="70" t="str">
        <f aca="false">IF(ABS(E17)&lt;=0.01*ABS(C17),"✓","check")</f>
        <v>✓</v>
      </c>
      <c r="G17" s="29" t="s">
        <v>531</v>
      </c>
    </row>
    <row r="18" customFormat="false" ht="15" hidden="false" customHeight="false" outlineLevel="0" collapsed="false">
      <c r="A18" s="33" t="s">
        <v>532</v>
      </c>
      <c r="B18" s="33" t="s">
        <v>18</v>
      </c>
      <c r="C18" s="45" t="n">
        <f aca="false">Inventory!E21</f>
        <v>1.79</v>
      </c>
      <c r="D18" s="45" t="n">
        <f aca="false">Inventory!E26</f>
        <v>1.78833306175656</v>
      </c>
      <c r="E18" s="45" t="n">
        <f aca="false">D18-C18</f>
        <v>-0.00166693824344155</v>
      </c>
      <c r="F18" s="70" t="str">
        <f aca="false">IF(ABS(E18)&lt;=0.02,"✓","check")</f>
        <v>✓</v>
      </c>
      <c r="G18" s="29" t="s">
        <v>533</v>
      </c>
    </row>
    <row r="19" customFormat="false" ht="15" hidden="false" customHeight="false" outlineLevel="0" collapsed="false">
      <c r="A19" s="33" t="s">
        <v>534</v>
      </c>
      <c r="B19" s="33" t="s">
        <v>18</v>
      </c>
      <c r="C19" s="45" t="n">
        <f aca="false">'LCIA (Annex 1)'!E91</f>
        <v>460</v>
      </c>
      <c r="D19" s="45" t="n">
        <f aca="false">'LCI per tonne'!E13</f>
        <v>2288.83985163623</v>
      </c>
      <c r="E19" s="45" t="n">
        <f aca="false">D19-C19</f>
        <v>1828.83985163623</v>
      </c>
      <c r="F19" s="70" t="str">
        <f aca="false">IF(ABS(E19)&lt;=0.05*ABS(C19),"✓","check")</f>
        <v>check</v>
      </c>
      <c r="G19" s="29" t="s">
        <v>537</v>
      </c>
    </row>
  </sheetData>
  <conditionalFormatting sqref="F5:F19">
    <cfRule type="expression" priority="2" aboveAverage="0" equalAverage="0" bottom="0" percent="0" rank="0" text="" dxfId="0">
      <formula>F5="✓"</formula>
    </cfRule>
    <cfRule type="expression" priority="3" aboveAverage="0" equalAverage="0" bottom="0" percent="0" rank="0" text="" dxfId="2">
      <formula>F5="check"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28" t="s">
        <v>72</v>
      </c>
    </row>
    <row r="2" customFormat="false" ht="15" hidden="false" customHeight="false" outlineLevel="0" collapsed="false">
      <c r="A2" s="29" t="s">
        <v>107</v>
      </c>
    </row>
    <row r="4" customFormat="false" ht="39.55" hidden="false" customHeight="false" outlineLevel="0" collapsed="false">
      <c r="A4" s="31" t="s">
        <v>538</v>
      </c>
      <c r="B4" s="78" t="s">
        <v>539</v>
      </c>
    </row>
    <row r="5" customFormat="false" ht="26.85" hidden="false" customHeight="false" outlineLevel="0" collapsed="false">
      <c r="A5" s="31" t="s">
        <v>540</v>
      </c>
      <c r="B5" s="78" t="s">
        <v>541</v>
      </c>
    </row>
    <row r="6" customFormat="false" ht="15" hidden="false" customHeight="false" outlineLevel="0" collapsed="false">
      <c r="A6" s="31" t="s">
        <v>126</v>
      </c>
      <c r="B6" s="78" t="s">
        <v>542</v>
      </c>
    </row>
    <row r="7" customFormat="false" ht="26.85" hidden="false" customHeight="false" outlineLevel="0" collapsed="false">
      <c r="A7" s="31" t="s">
        <v>46</v>
      </c>
      <c r="B7" s="78" t="s">
        <v>543</v>
      </c>
    </row>
    <row r="8" customFormat="false" ht="26.85" hidden="false" customHeight="false" outlineLevel="0" collapsed="false">
      <c r="A8" s="31" t="s">
        <v>129</v>
      </c>
      <c r="B8" s="78" t="s">
        <v>544</v>
      </c>
    </row>
    <row r="9" customFormat="false" ht="39.55" hidden="false" customHeight="false" outlineLevel="0" collapsed="false">
      <c r="A9" s="31" t="s">
        <v>545</v>
      </c>
      <c r="B9" s="78" t="s">
        <v>546</v>
      </c>
    </row>
    <row r="10" customFormat="false" ht="26.85" hidden="false" customHeight="false" outlineLevel="0" collapsed="false">
      <c r="A10" s="31" t="s">
        <v>547</v>
      </c>
      <c r="B10" s="78" t="s">
        <v>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2026-10-26T13:07:36Z</dcterms:created>
  <dc:creator>openpyxl</dc:creator>
  <dc:description/>
  <dc:language>en-US</dc:language>
  <cp:lastModifiedBy/>
  <dcterms:modified xsi:type="dcterms:W3CDTF">2026-10-26T13:07:39Z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