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Flow diagrams" sheetId="3" state="visible" r:id="rId5"/>
    <sheet name="Metadata" sheetId="4" state="visible" r:id="rId6"/>
    <sheet name="Inventory" sheetId="5" state="visible" r:id="rId7"/>
    <sheet name="Nutrient balance" sheetId="6" state="visible" r:id="rId8"/>
    <sheet name="LCI per tonne" sheetId="7" state="visible" r:id="rId9"/>
    <sheet name="LCIA (Annex 1)" sheetId="8" state="visible" r:id="rId10"/>
    <sheet name="Contribution analysis" sheetId="9" state="visible" r:id="rId11"/>
    <sheet name="Comparison" sheetId="10" state="visible" r:id="rId12"/>
    <sheet name="KPI framework" sheetId="11" state="visible" r:id="rId13"/>
    <sheet name="Dashboard" sheetId="12" state="visible" r:id="rId14"/>
    <sheet name="Charts" sheetId="13" state="visible" r:id="rId15"/>
    <sheet name="Figure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<sst xmlns="http://schemas.openxmlformats.org/spreadsheetml/2006/main" count="1420" uniqueCount="570">
  <si>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</si>
  <si>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</si>
  <si>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</si>
  <si>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</si>
  <si>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</si>
  <si>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</si>
  <si>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</si>
  <si>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</si>
  <si>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</si>
  <si>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</si>
  <si>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</si>
  <si>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</si>
  <si>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</si>
  <si>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</si>
  <si>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</si>
  <si>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</si>
  <si>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</si>
  <si>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</si>
  <si>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</si>
  <si>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</si>
  <si>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</si>
  <si>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</si>
  <si>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</si>
  <si>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</si>
  <si>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</si>
  <si>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</si>
  <si>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</si>
  <si>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</si>
  <si>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</si>
  <si>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</si>
  <si>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</si>
  <si>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</si>
  <si>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</si>
  <si>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</si>
  <si>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</si>
  <si>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</si>
  <si>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</si>
  <si>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</si>
  <si>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Flow diagrams</t>
  </si>
  <si>
    <t xml:space="preserve">How the fish waste is used in each system, with the flows</t>
  </si>
  <si>
    <t xml:space="preserve">Diagrams + data (live)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</si>
  <si>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</si>
  <si>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</si>
  <si>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</si>
  <si>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</si>
  <si>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</si>
  <si>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</si>
  <si>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</si>
  <si>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</si>
  <si>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unit, grouped into inputs and outputs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</si>
  <si>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</si>
  <si>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</si>
  <si>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</si>
  <si>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</si>
  <si>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</si>
  <si>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</si>
  <si>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</si>
  <si>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</si>
  <si>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</si>
  <si>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</si>
  <si>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</si>
  <si>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</si>
  <si>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</si>
  <si>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</si>
  <si>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</si>
  <si>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</si>
  <si>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</si>
  <si>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</si>
  <si>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</si>
  <si>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Pictures + data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</si>
  <si>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</si>
  <si>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</si>
  <si>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</si>
  <si>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</si>
  <si>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</si>
  <si>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</si>
  <si>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</si>
  <si>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</si>
  <si>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</si>
  <si>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</si>
  <si>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</si>
  <si>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</si>
  <si>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</si>
  <si>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</si>
  <si>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</si>
  <si>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</si>
  <si>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</si>
  <si>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</si>
  <si>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</si>
  <si>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</si>
  <si>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</si>
  <si>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</si>
  <si>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</si>
  <si>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</si>
  <si>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</si>
  <si>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</si>
  <si>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</si>
  <si>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</si>
  <si>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</si>
  <si>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</si>
  <si>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</si>
  <si>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</si>
  <si>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</si>
  <si>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</si>
  <si>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</si>
  <si>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</si>
  <si>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</si>
  <si>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</si>
  <si>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</si>
  <si>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</si>
  <si>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</si>
  <si>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</si>
  <si>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</si>
  <si>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</si>
  <si>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</si>
  <si>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</si>
  <si>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</si>
  <si>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</si>
  <si>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</si>
  <si>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</si>
  <si>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</si>
  <si>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</si>
  <si>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</si>
  <si>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</si>
  <si>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</si>
  <si>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</si>
  <si>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</si>
  <si>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</si>
  <si>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</si>
  <si>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</si>
  <si>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</si>
  <si>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</si>
  <si>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</si>
  <si>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</si>
  <si>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</si>
  <si>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</si>
  <si>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</si>
  <si>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</si>
  <si>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</si>
  <si>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Flow diagrams - how the fish waste is used in each system (per pond and production cycle)</t>
  </si>
  <si>
    <t xml:space="preserve">Each system: a flow diagram drawn with cells and its data table on the right. All numbers are live: they update when you change an input.</t>
  </si>
  <si>
    <t xml:space="preserve">Fish feed</t>
  </si>
  <si>
    <t xml:space="preserve">Oysters</t>
  </si>
  <si>
    <t xml:space="preserve">→</t>
  </si>
  <si>
    <t xml:space="preserve">Oyster flesh</t>
  </si>
  <si>
    <t xml:space="preserve">Data (live)</t>
  </si>
  <si>
    <t xml:space="preserve">↘</t>
  </si>
  <si>
    <t xml:space="preserve">filter particles</t>
  </si>
  <si>
    <t xml:space="preserve">Flow</t>
  </si>
  <si>
    <t xml:space="preserve">Value</t>
  </si>
  <si>
    <t xml:space="preserve">Unit</t>
  </si>
  <si>
    <t xml:space="preserve">↗</t>
  </si>
  <si>
    <t xml:space="preserve">kg</t>
  </si>
  <si>
    <t xml:space="preserve">Fry + oyster spat</t>
  </si>
  <si>
    <t xml:space="preserve">Fish pond + oysters</t>
  </si>
  <si>
    <t xml:space="preserve">harvest  →  →  →</t>
  </si>
  <si>
    <t xml:space="preserve">Fish</t>
  </si>
  <si>
    <t xml:space="preserve">N in feed</t>
  </si>
  <si>
    <t xml:space="preserve">kg N</t>
  </si>
  <si>
    <t xml:space="preserve">feed → fish → waste</t>
  </si>
  <si>
    <t xml:space="preserve">Fry + oyster spat stocked</t>
  </si>
  <si>
    <t xml:space="preserve">Seawater</t>
  </si>
  <si>
    <t xml:space="preserve">m3</t>
  </si>
  <si>
    <t xml:space="preserve">Macroalgae</t>
  </si>
  <si>
    <t xml:space="preserve">Macroalgae harvest</t>
  </si>
  <si>
    <t xml:space="preserve">Fish gained</t>
  </si>
  <si>
    <t xml:space="preserve">Ulva take up N, P</t>
  </si>
  <si>
    <t xml:space="preserve">Oyster flesh gained</t>
  </si>
  <si>
    <t xml:space="preserve">↓</t>
  </si>
  <si>
    <t xml:space="preserve">Energy</t>
  </si>
  <si>
    <t xml:space="preserve">Lagoon / estuary</t>
  </si>
  <si>
    <t xml:space="preserve">N in fish + oysters</t>
  </si>
  <si>
    <t xml:space="preserve">pumping + aeration</t>
  </si>
  <si>
    <t xml:space="preserve">N in macroalgae</t>
  </si>
  <si>
    <t xml:space="preserve">N in products</t>
  </si>
  <si>
    <t xml:space="preserve">N released (Table 5; minus = net uptake)</t>
  </si>
  <si>
    <t xml:space="preserve">N use efficiency</t>
  </si>
  <si>
    <t xml:space="preserve">%</t>
  </si>
  <si>
    <t xml:space="preserve">Ulva + Gracilaria take up N, P</t>
  </si>
  <si>
    <t xml:space="preserve">almost none (tides)</t>
  </si>
  <si>
    <t xml:space="preserve">none in this system</t>
  </si>
  <si>
    <t xml:space="preserve">–</t>
  </si>
  <si>
    <t xml:space="preserve">Fry</t>
  </si>
  <si>
    <t xml:space="preserve">Fish pond</t>
  </si>
  <si>
    <t xml:space="preserve">Metadata (LCIS2024 structure, Nair, Chougule et al. 2025)</t>
  </si>
  <si>
    <t xml:space="preserve">Element</t>
  </si>
  <si>
    <t xml:space="preserve">Label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</si>
  <si>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</si>
  <si>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</si>
  <si>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</si>
  <si>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</si>
  <si>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</si>
  <si>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</si>
  <si>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</si>
  <si>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</si>
  <si>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</si>
  <si>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</si>
  <si>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</si>
  <si>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</si>
  <si>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</si>
  <si>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</si>
  <si>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</si>
  <si>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</si>
  <si>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</si>
  <si>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</si>
  <si>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</si>
  <si>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</si>
  <si>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</si>
  <si>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</si>
  <si>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</si>
  <si>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</si>
  <si>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</si>
  <si>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</si>
  <si>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</si>
  <si>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</si>
  <si>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</si>
  <si>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</si>
  <si>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</si>
  <si>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</si>
  <si>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seawater used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</si>
  <si>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</si>
  <si>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</si>
  <si>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</si>
  <si>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</si>
  <si>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</si>
  <si>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</si>
  <si>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</si>
  <si>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</si>
  <si>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</si>
  <si>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</si>
  <si>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</si>
  <si>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</si>
  <si>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</si>
  <si>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</si>
  <si>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</si>
  <si>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</si>
  <si>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</si>
  <si>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</si>
  <si>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</si>
  <si>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</si>
  <si>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</si>
  <si>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</si>
  <si>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</si>
  <si>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</si>
  <si>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</si>
  <si>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</si>
  <si>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</si>
  <si>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</si>
  <si>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</si>
  <si>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</si>
  <si>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</si>
  <si>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</si>
  <si>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</si>
  <si>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</si>
  <si>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</si>
  <si>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</si>
  <si>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</si>
  <si>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formula from feed and recipe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</si>
  <si>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</si>
  <si>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</si>
  <si>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</si>
  <si>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</si>
  <si>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</si>
  <si>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</si>
  <si>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</si>
  <si>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</si>
  <si>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</si>
  <si>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</si>
  <si>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</si>
  <si>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</si>
  <si>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</si>
  <si>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</si>
  <si>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</si>
  <si>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inputs and outputs, all formulas</t>
  </si>
  <si>
    <t xml:space="preserve">Table 1 INPUTS = what the farm takes in. Table 2 OUTPUTS = what leaves the farm. Amounts per tonne of fish + oyster flesh; all values are formulas on the Inventory and Nutrient balance tabs.</t>
  </si>
  <si>
    <t xml:space="preserve">1  INPUTS - what the farm takes in</t>
  </si>
  <si>
    <t xml:space="preserve">Flow (fp_name)</t>
  </si>
  <si>
    <t xml:space="preserve">Kind</t>
  </si>
  <si>
    <t xml:space="preserve">Comment</t>
  </si>
  <si>
    <t xml:space="preserve">From the technosphere (products of other processes)</t>
  </si>
  <si>
    <t xml:space="preserve">   compound fish feed</t>
  </si>
  <si>
    <t xml:space="preserve">technosphere</t>
  </si>
  <si>
    <t xml:space="preserve">40-42 % protein</t>
  </si>
  <si>
    <t xml:space="preserve">   fish fry / fingerlings</t>
  </si>
  <si>
    <t xml:space="preserve">carp-fry proxy in Piscentool</t>
  </si>
  <si>
    <t xml:space="preserve">   oyster spat (flesh)</t>
  </si>
  <si>
    <t xml:space="preserve">From nature (resources)</t>
  </si>
  <si>
    <t xml:space="preserve">   seawater, pumped or tidal</t>
  </si>
  <si>
    <t xml:space="preserve">resource</t>
  </si>
  <si>
    <t xml:space="preserve">equals Water consumption in Annex 1</t>
  </si>
  <si>
    <t xml:space="preserve">   land, farm area allocated to the pond</t>
  </si>
  <si>
    <t xml:space="preserve">compare Direct activity, Land competition</t>
  </si>
  <si>
    <t xml:space="preserve">Included in the impact results, but the report gives no quantities</t>
  </si>
  <si>
    <t xml:space="preserve">   electricity / fuel for pumping and aeration</t>
  </si>
  <si>
    <t xml:space="preserve">n/a</t>
  </si>
  <si>
    <t xml:space="preserve">only its impacts are reported: process 'Energy consumption' in LCIA (Annex 1)</t>
  </si>
  <si>
    <t xml:space="preserve">   equipment (pumps, aerators, nets)</t>
  </si>
  <si>
    <t xml:space="preserve">only its impacts are reported: process 'Equipment' in LCIA (Annex 1)</t>
  </si>
  <si>
    <t xml:space="preserve">   buildings</t>
  </si>
  <si>
    <t xml:space="preserve">only its impacts are reported: process 'Building impact' in LCIA (Annex 1)</t>
  </si>
  <si>
    <t xml:space="preserve">   vehicles</t>
  </si>
  <si>
    <t xml:space="preserve">only its impacts are reported: process 'Vehicle' in LCIA (Annex 1)</t>
  </si>
  <si>
    <t xml:space="preserve">   chemical products</t>
  </si>
  <si>
    <t xml:space="preserve">only its impacts are reported: process 'Chemical products' in LCIA (Annex 1)</t>
  </si>
  <si>
    <t xml:space="preserve">   transport of inputs</t>
  </si>
  <si>
    <t xml:space="preserve">only its impacts are reported: process 'Transports' in LCIA (Annex 1)</t>
  </si>
  <si>
    <t xml:space="preserve">2  OUTPUTS - what leaves the farm</t>
  </si>
  <si>
    <t xml:space="preserve">Products (the functional unit)</t>
  </si>
  <si>
    <t xml:space="preserve">   aquatic product, fish + oyster flesh, at farm gate</t>
  </si>
  <si>
    <t xml:space="preserve">reference product</t>
  </si>
  <si>
    <t xml:space="preserve">t</t>
  </si>
  <si>
    <t xml:space="preserve">functional unit</t>
  </si>
  <si>
    <t xml:space="preserve">   fish, live weight gain</t>
  </si>
  <si>
    <t xml:space="preserve">product</t>
  </si>
  <si>
    <t xml:space="preserve">part of the 1 t</t>
  </si>
  <si>
    <t xml:space="preserve">   oyster flesh, weight gain</t>
  </si>
  <si>
    <t xml:space="preserve">Co-product (outside the functional unit)</t>
  </si>
  <si>
    <t xml:space="preserve">   macroalgae, biomass gain</t>
  </si>
  <si>
    <t xml:space="preserve">co-product</t>
  </si>
  <si>
    <t xml:space="preserve">harvested; not allocated any burden</t>
  </si>
  <si>
    <t xml:space="preserve">Emissions to nature</t>
  </si>
  <si>
    <t xml:space="preserve">   nitrogen, to water (net)</t>
  </si>
  <si>
    <t xml:space="preserve">emission</t>
  </si>
  <si>
    <t xml:space="preserve">negative = net uptake from the water</t>
  </si>
  <si>
    <t xml:space="preserve">   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</si>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</sst>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#,##0"/>
    <numFmt numFmtId="167" formatCode="0%"/>
    <numFmt numFmtId="168" formatCode="0.0"/>
    <numFmt numFmtId="169" formatCode="General"/>
    <numFmt numFmtId="170" formatCode="#,##0.0"/>
    <numFmt numFmtId="171" formatCode="#,##0.0#"/>
    <numFmt numFmtId="172" formatCode="#,##0.00##"/>
    <numFmt numFmtId="173" formatCode="0.00"/>
    <numFmt numFmtId="174" formatCode="#,##0.00"/>
    <numFmt numFmtId="175" formatCode="0.0%"/>
    <numFmt numFmtId="176" formatCode="\+0%;\-0%;0%"/>
    <numFmt numFmtId="177" formatCode="0"/>
    <numFmt numFmtId="178" formatCode="0.000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3"/>
      <color rgb="FF1D9E75"/>
      <name val="Arial"/>
      <family val="0"/>
      <charset val="1"/>
    </font>
    <font>
      <b val="true"/>
      <sz val="11"/>
      <color rgb="FFBA7517"/>
      <name val="Arial"/>
      <family val="0"/>
      <charset val="1"/>
    </font>
    <font>
      <b val="true"/>
      <sz val="11"/>
      <color rgb="FF993C1D"/>
      <name val="Arial"/>
      <family val="0"/>
      <charset val="1"/>
    </font>
    <font>
      <b val="true"/>
      <sz val="16"/>
      <color rgb="FF5F5E5A"/>
      <name val="Arial"/>
      <family val="0"/>
      <charset val="1"/>
    </font>
    <font>
      <sz val="10"/>
      <color rgb="FFBA7517"/>
      <name val="Arial"/>
      <family val="0"/>
      <charset val="1"/>
    </font>
    <font>
      <sz val="10"/>
      <color rgb="FF993C1D"/>
      <name val="Arial"/>
      <family val="0"/>
      <charset val="1"/>
    </font>
    <font>
      <b val="true"/>
      <sz val="11"/>
      <color rgb="FF993556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b val="true"/>
      <sz val="11"/>
      <color rgb="FF534AB7"/>
      <name val="Arial"/>
      <family val="0"/>
      <charset val="1"/>
    </font>
    <font>
      <b val="true"/>
      <sz val="11"/>
      <color rgb="FF3C3489"/>
      <name val="Arial"/>
      <family val="0"/>
      <charset val="1"/>
    </font>
    <font>
      <sz val="10"/>
      <color rgb="FF993556"/>
      <name val="Arial"/>
      <family val="0"/>
      <charset val="1"/>
    </font>
    <font>
      <sz val="10"/>
      <color rgb="FF0F6E56"/>
      <name val="Arial"/>
      <family val="0"/>
      <charset val="1"/>
    </font>
    <font>
      <sz val="10"/>
      <color rgb="FF3C3489"/>
      <name val="Arial"/>
      <family val="0"/>
      <charset val="1"/>
    </font>
    <font>
      <b val="true"/>
      <sz val="11"/>
      <color rgb="FF185FA5"/>
      <name val="Arial"/>
      <family val="0"/>
      <charset val="1"/>
    </font>
    <font>
      <b val="true"/>
      <sz val="11"/>
      <color rgb="FF3B6D11"/>
      <name val="Arial"/>
      <family val="0"/>
      <charset val="1"/>
    </font>
    <font>
      <sz val="10"/>
      <color rgb="FF185FA5"/>
      <name val="Arial"/>
      <family val="0"/>
      <charset val="1"/>
    </font>
    <font>
      <sz val="10"/>
      <color rgb="FF3B6D11"/>
      <name val="Arial"/>
      <family val="0"/>
      <charset val="1"/>
    </font>
    <font>
      <b val="true"/>
      <sz val="11"/>
      <color rgb="FFA32D2D"/>
      <name val="Arial"/>
      <family val="0"/>
      <charset val="1"/>
    </font>
    <font>
      <sz val="10"/>
      <color rgb="FF534AB7"/>
      <name val="Arial"/>
      <family val="0"/>
      <charset val="1"/>
    </font>
    <font>
      <sz val="10"/>
      <color rgb="FFA32D2D"/>
      <name val="Arial"/>
      <family val="0"/>
      <charset val="1"/>
    </font>
    <font>
      <b val="true"/>
      <sz val="13"/>
      <color rgb="FF378ADD"/>
      <name val="Arial"/>
      <family val="0"/>
      <charset val="1"/>
    </font>
    <font>
      <b val="true"/>
      <sz val="13"/>
      <color rgb="FF888780"/>
      <name val="Arial"/>
      <family val="0"/>
      <charset val="1"/>
    </font>
    <font>
      <sz val="10"/>
      <color rgb="FF88878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i val="true"/>
      <sz val="11"/>
      <color rgb="FF185FA5"/>
      <name val="Arial"/>
      <family val="0"/>
      <charset val="1"/>
    </font>
    <font>
      <sz val="11"/>
      <color rgb="FF185FA5"/>
      <name val="Arial"/>
      <family val="0"/>
      <charset val="1"/>
    </font>
    <font>
      <b val="true"/>
      <i val="true"/>
      <sz val="11"/>
      <color rgb="FF0F6E56"/>
      <name val="Arial"/>
      <family val="0"/>
      <charset val="1"/>
    </font>
    <font>
      <sz val="11"/>
      <color rgb="FF0F6E5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F6E56"/>
        <bgColor rgb="FF185FA5"/>
      </patternFill>
    </fill>
    <fill>
      <patternFill patternType="solid">
        <fgColor rgb="FFE1F5EE"/>
        <bgColor rgb="FFE6F1FB"/>
      </patternFill>
    </fill>
    <fill>
      <patternFill patternType="solid">
        <fgColor rgb="FFFFF2CC"/>
        <bgColor rgb="FFFAEEDA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  <fill>
      <patternFill patternType="solid">
        <fgColor rgb="FFFAEEDA"/>
        <bgColor rgb="FFFAECE7"/>
      </patternFill>
    </fill>
    <fill>
      <patternFill patternType="solid">
        <fgColor rgb="FFFAECE7"/>
        <bgColor rgb="FFFCEBEB"/>
      </patternFill>
    </fill>
    <fill>
      <patternFill patternType="solid">
        <fgColor rgb="FFFBEAF0"/>
        <bgColor rgb="FFFCEBEB"/>
      </patternFill>
    </fill>
    <fill>
      <patternFill patternType="solid">
        <fgColor rgb="FFEEEDFE"/>
        <bgColor rgb="FFE6F1FB"/>
      </patternFill>
    </fill>
    <fill>
      <patternFill patternType="solid">
        <fgColor rgb="FFE6F1FB"/>
        <bgColor rgb="FFEEEDFE"/>
      </patternFill>
    </fill>
    <fill>
      <patternFill patternType="solid">
        <fgColor rgb="FFEAF3DE"/>
        <bgColor rgb="FFF1EFE8"/>
      </patternFill>
    </fill>
    <fill>
      <patternFill patternType="solid">
        <fgColor rgb="FFFCEBEB"/>
        <bgColor rgb="FFFAECE7"/>
      </patternFill>
    </fill>
    <fill>
      <patternFill patternType="solid">
        <fgColor rgb="FFF1EFE8"/>
        <bgColor rgb="FFFAECE7"/>
      </patternFill>
    </fill>
    <fill>
      <patternFill patternType="solid">
        <fgColor rgb="FF185FA5"/>
        <bgColor rgb="FF0563C1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A7517"/>
      </left>
      <right style="medium">
        <color rgb="FFBA7517"/>
      </right>
      <top style="medium">
        <color rgb="FFBA7517"/>
      </top>
      <bottom/>
      <diagonal/>
    </border>
    <border diagonalUp="false" diagonalDown="false">
      <left style="medium">
        <color rgb="FF993C1D"/>
      </left>
      <right style="medium">
        <color rgb="FF993C1D"/>
      </right>
      <top style="medium">
        <color rgb="FF993C1D"/>
      </top>
      <bottom/>
      <diagonal/>
    </border>
    <border diagonalUp="false" diagonalDown="false">
      <left style="medium">
        <color rgb="FFBA7517"/>
      </left>
      <right style="medium">
        <color rgb="FFBA7517"/>
      </right>
      <top/>
      <bottom style="medium">
        <color rgb="FFBA7517"/>
      </bottom>
      <diagonal/>
    </border>
    <border diagonalUp="false" diagonalDown="false">
      <left style="medium">
        <color rgb="FF993C1D"/>
      </left>
      <right style="medium">
        <color rgb="FF993C1D"/>
      </right>
      <top/>
      <bottom style="medium">
        <color rgb="FF993C1D"/>
      </bottom>
      <diagonal/>
    </border>
    <border diagonalUp="false" diagonalDown="false">
      <left style="medium">
        <color rgb="FF993556"/>
      </left>
      <right style="medium">
        <color rgb="FF993556"/>
      </right>
      <top style="medium">
        <color rgb="FF993556"/>
      </top>
      <bottom/>
      <diagonal/>
    </border>
    <border diagonalUp="false" diagonalDown="false">
      <left style="medium">
        <color rgb="FF0F6E56"/>
      </left>
      <right style="medium">
        <color rgb="FF0F6E56"/>
      </right>
      <top style="medium">
        <color rgb="FF0F6E56"/>
      </top>
      <bottom/>
      <diagonal/>
    </border>
    <border diagonalUp="false" diagonalDown="false">
      <left style="medium">
        <color rgb="FF3C3489"/>
      </left>
      <right style="medium">
        <color rgb="FF3C3489"/>
      </right>
      <top style="medium">
        <color rgb="FF3C3489"/>
      </top>
      <bottom/>
      <diagonal/>
    </border>
    <border diagonalUp="false" diagonalDown="false">
      <left style="medium">
        <color rgb="FF993556"/>
      </left>
      <right style="medium">
        <color rgb="FF993556"/>
      </right>
      <top/>
      <bottom style="medium">
        <color rgb="FF993556"/>
      </bottom>
      <diagonal/>
    </border>
    <border diagonalUp="false" diagonalDown="false">
      <left style="medium">
        <color rgb="FF0F6E56"/>
      </left>
      <right style="medium">
        <color rgb="FF0F6E56"/>
      </right>
      <top/>
      <bottom style="medium">
        <color rgb="FF0F6E56"/>
      </bottom>
      <diagonal/>
    </border>
    <border diagonalUp="false" diagonalDown="false">
      <left style="medium">
        <color rgb="FF3C3489"/>
      </left>
      <right style="medium">
        <color rgb="FF3C3489"/>
      </right>
      <top/>
      <bottom style="medium">
        <color rgb="FF3C3489"/>
      </bottom>
      <diagonal/>
    </border>
    <border diagonalUp="false" diagonalDown="false">
      <left style="medium">
        <color rgb="FF185FA5"/>
      </left>
      <right style="medium">
        <color rgb="FF185FA5"/>
      </right>
      <top style="medium">
        <color rgb="FF185FA5"/>
      </top>
      <bottom/>
      <diagonal/>
    </border>
    <border diagonalUp="false" diagonalDown="false">
      <left style="medium">
        <color rgb="FF3B6D11"/>
      </left>
      <right style="medium">
        <color rgb="FF3B6D11"/>
      </right>
      <top style="medium">
        <color rgb="FF3B6D11"/>
      </top>
      <bottom/>
      <diagonal/>
    </border>
    <border diagonalUp="false" diagonalDown="false">
      <left style="medium">
        <color rgb="FF185FA5"/>
      </left>
      <right style="medium">
        <color rgb="FF185FA5"/>
      </right>
      <top/>
      <bottom style="medium">
        <color rgb="FF185FA5"/>
      </bottom>
      <diagonal/>
    </border>
    <border diagonalUp="false" diagonalDown="false">
      <left style="medium">
        <color rgb="FF3B6D11"/>
      </left>
      <right style="medium">
        <color rgb="FF3B6D11"/>
      </right>
      <top/>
      <bottom style="medium">
        <color rgb="FF3B6D11"/>
      </bottom>
      <diagonal/>
    </border>
    <border diagonalUp="false" diagonalDown="false">
      <left style="medium">
        <color rgb="FF534AB7"/>
      </left>
      <right style="medium">
        <color rgb="FF534AB7"/>
      </right>
      <top style="medium">
        <color rgb="FF534AB7"/>
      </top>
      <bottom/>
      <diagonal/>
    </border>
    <border diagonalUp="false" diagonalDown="false">
      <left style="medium">
        <color rgb="FFA32D2D"/>
      </left>
      <right style="medium">
        <color rgb="FFA32D2D"/>
      </right>
      <top style="medium">
        <color rgb="FFA32D2D"/>
      </top>
      <bottom/>
      <diagonal/>
    </border>
    <border diagonalUp="false" diagonalDown="false">
      <left style="medium">
        <color rgb="FF534AB7"/>
      </left>
      <right style="medium">
        <color rgb="FF534AB7"/>
      </right>
      <top/>
      <bottom style="medium">
        <color rgb="FF534AB7"/>
      </bottom>
      <diagonal/>
    </border>
    <border diagonalUp="false" diagonalDown="false">
      <left style="medium">
        <color rgb="FFA32D2D"/>
      </left>
      <right style="medium">
        <color rgb="FFA32D2D"/>
      </right>
      <top/>
      <bottom style="medium">
        <color rgb="FFA32D2D"/>
      </bottom>
      <diagonal/>
    </border>
    <border diagonalUp="false" diagonalDown="false">
      <left style="medium">
        <color rgb="FF888780"/>
      </left>
      <right style="medium">
        <color rgb="FF888780"/>
      </right>
      <top style="medium">
        <color rgb="FF888780"/>
      </top>
      <bottom/>
      <diagonal/>
    </border>
    <border diagonalUp="false" diagonalDown="false">
      <left style="medium">
        <color rgb="FF888780"/>
      </left>
      <right style="medium">
        <color rgb="FF888780"/>
      </right>
      <top/>
      <bottom style="medium">
        <color rgb="FF8887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7" fillId="9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6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FCEBEB"/>
      <rgbColor rgb="FF0000FF"/>
      <rgbColor rgb="FFFAEEDA"/>
      <rgbColor rgb="FFFBEAF0"/>
      <rgbColor rgb="FFEEEDFE"/>
      <rgbColor rgb="FF800000"/>
      <rgbColor rgb="FF3B6D11"/>
      <rgbColor rgb="FF000080"/>
      <rgbColor rgb="FFBA7517"/>
      <rgbColor rgb="FFAB4744"/>
      <rgbColor rgb="FF0F6E56"/>
      <rgbColor rgb="FFBFBFBF"/>
      <rgbColor rgb="FF888780"/>
      <rgbColor rgb="FF93A9CE"/>
      <rgbColor rgb="FF993556"/>
      <rgbColor rgb="FFFFF2CC"/>
      <rgbColor rgb="FFE1F5EE"/>
      <rgbColor rgb="FF660066"/>
      <rgbColor rgb="FFDC853E"/>
      <rgbColor rgb="FF0563C1"/>
      <rgbColor rgb="FFD9D9D9"/>
      <rgbColor rgb="FF000080"/>
      <rgbColor rgb="FFFF00FF"/>
      <rgbColor rgb="FFEAF3DE"/>
      <rgbColor rgb="FFF1EFE8"/>
      <rgbColor rgb="FFC0504D"/>
      <rgbColor rgb="FF800000"/>
      <rgbColor rgb="FF185FA5"/>
      <rgbColor rgb="FF0000FF"/>
      <rgbColor rgb="FF4F81BD"/>
      <rgbColor rgb="FFE6F1FB"/>
      <rgbColor rgb="FFC6EFCE"/>
      <rgbColor rgb="FFFFEB9C"/>
      <rgbColor rgb="FF85B7EB"/>
      <rgbColor rgb="FFD09493"/>
      <rgbColor rgb="FFD3D1C7"/>
      <rgbColor rgb="FFFFC7CE"/>
      <rgbColor rgb="FF378ADD"/>
      <rgbColor rgb="FF4299B0"/>
      <rgbColor rgb="FF8AA64F"/>
      <rgbColor rgb="FFFAECE7"/>
      <rgbColor rgb="FFEF9F27"/>
      <rgbColor rgb="FFE24B4A"/>
      <rgbColor rgb="FF725990"/>
      <rgbColor rgb="FF878787"/>
      <rgbColor rgb="FF534AB7"/>
      <rgbColor rgb="FF1D9E75"/>
      <rgbColor rgb="FF4672A8"/>
      <rgbColor rgb="FF5F5E5A"/>
      <rgbColor rgb="FF993C1D"/>
      <rgbColor rgb="FFA32D2D"/>
      <rgbColor rgb="FF3C348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34267"/>
        <c:axId val="17071410"/>
      </c:barChart>
      <c:catAx>
        <c:axId val="53426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71410"/>
        <c:crosses val="autoZero"/>
        <c:auto val="1"/>
        <c:lblAlgn val="ctr"/>
        <c:lblOffset val="100"/>
        <c:noMultiLvlLbl val="0"/>
      </c:catAx>
      <c:valAx>
        <c:axId val="17071410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2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70525939"/>
        <c:axId val="2444354"/>
      </c:barChart>
      <c:catAx>
        <c:axId val="7052593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4354"/>
        <c:crosses val="autoZero"/>
        <c:auto val="1"/>
        <c:lblAlgn val="ctr"/>
        <c:lblOffset val="100"/>
        <c:noMultiLvlLbl val="0"/>
      </c:catAx>
      <c:valAx>
        <c:axId val="2444354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5259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21955248"/>
        <c:axId val="12226392"/>
      </c:barChart>
      <c:catAx>
        <c:axId val="2195524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26392"/>
        <c:crosses val="autoZero"/>
        <c:auto val="1"/>
        <c:lblAlgn val="ctr"/>
        <c:lblOffset val="100"/>
        <c:noMultiLvlLbl val="0"/>
      </c:catAx>
      <c:valAx>
        <c:axId val="12226392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552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4074245"/>
        <c:axId val="32974001"/>
      </c:barChart>
      <c:catAx>
        <c:axId val="40742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74001"/>
        <c:crosses val="autoZero"/>
        <c:auto val="1"/>
        <c:lblAlgn val="ctr"/>
        <c:lblOffset val="100"/>
        <c:noMultiLvlLbl val="0"/>
      </c:catAx>
      <c:valAx>
        <c:axId val="329740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742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25848431"/>
        <c:axId val="96592042"/>
      </c:barChart>
      <c:catAx>
        <c:axId val="2584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92042"/>
        <c:crosses val="autoZero"/>
        <c:auto val="1"/>
        <c:lblAlgn val="ctr"/>
        <c:lblOffset val="100"/>
        <c:noMultiLvlLbl val="0"/>
      </c:catAx>
      <c:valAx>
        <c:axId val="965920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8484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48022836"/>
        <c:axId val="29955123"/>
      </c:barChart>
      <c:catAx>
        <c:axId val="48022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55123"/>
        <c:crosses val="autoZero"/>
        <c:auto val="1"/>
        <c:lblAlgn val="ctr"/>
        <c:lblOffset val="100"/>
        <c:noMultiLvlLbl val="0"/>
      </c:catAx>
      <c:valAx>
        <c:axId val="299551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228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88745609"/>
        <c:axId val="45201133"/>
      </c:barChart>
      <c:catAx>
        <c:axId val="887456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01133"/>
        <c:crosses val="autoZero"/>
        <c:auto val="1"/>
        <c:lblAlgn val="ctr"/>
        <c:lblOffset val="100"/>
        <c:noMultiLvlLbl val="0"/>
      </c:catAx>
      <c:valAx>
        <c:axId val="452011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456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24257415"/>
        <c:axId val="44245167"/>
      </c:barChart>
      <c:catAx>
        <c:axId val="24257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45167"/>
        <c:crosses val="autoZero"/>
        <c:auto val="1"/>
        <c:lblAlgn val="ctr"/>
        <c:lblOffset val="100"/>
        <c:noMultiLvlLbl val="0"/>
      </c:catAx>
      <c:valAx>
        <c:axId val="442451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574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39386110"/>
        <c:axId val="2284601"/>
      </c:barChart>
      <c:catAx>
        <c:axId val="39386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4601"/>
        <c:crosses val="autoZero"/>
        <c:auto val="1"/>
        <c:lblAlgn val="ctr"/>
        <c:lblOffset val="100"/>
        <c:noMultiLvlLbl val="0"/>
      </c:catAx>
      <c:valAx>
        <c:axId val="22846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861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16745668"/>
        <c:axId val="77798033"/>
      </c:barChart>
      <c:catAx>
        <c:axId val="167456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98033"/>
        <c:crosses val="autoZero"/>
        <c:auto val="1"/>
        <c:lblAlgn val="ctr"/>
        <c:lblOffset val="100"/>
        <c:noMultiLvlLbl val="0"/>
      </c:catAx>
      <c:valAx>
        <c:axId val="777980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7456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88934295"/>
        <c:axId val="65848690"/>
      </c:barChart>
      <c:catAx>
        <c:axId val="88934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848690"/>
        <c:crosses val="autoZero"/>
        <c:auto val="1"/>
        <c:lblAlgn val="ctr"/>
        <c:lblOffset val="100"/>
        <c:noMultiLvlLbl val="0"/>
      </c:catAx>
      <c:valAx>
        <c:axId val="658486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342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46963261"/>
        <c:axId val="32525648"/>
      </c:barChart>
      <c:catAx>
        <c:axId val="469632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25648"/>
        <c:crosses val="autoZero"/>
        <c:auto val="1"/>
        <c:lblAlgn val="ctr"/>
        <c:lblOffset val="100"/>
        <c:noMultiLvlLbl val="0"/>
      </c:catAx>
      <c:valAx>
        <c:axId val="325256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632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74289908"/>
        <c:axId val="41877173"/>
      </c:barChart>
      <c:catAx>
        <c:axId val="742899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77173"/>
        <c:crosses val="autoZero"/>
        <c:auto val="1"/>
        <c:lblAlgn val="ctr"/>
        <c:lblOffset val="100"/>
        <c:noMultiLvlLbl val="0"/>
      </c:catAx>
      <c:valAx>
        <c:axId val="418771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899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17950757"/>
        <c:axId val="8309368"/>
      </c:radarChart>
      <c:catAx>
        <c:axId val="1795075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9368"/>
        <c:crosses val="autoZero"/>
        <c:auto val="1"/>
        <c:lblAlgn val="ctr"/>
        <c:lblOffset val="100"/>
        <c:noMultiLvlLbl val="0"/>
      </c:catAx>
      <c:valAx>
        <c:axId val="8309368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50757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76079506"/>
        <c:axId val="80918200"/>
      </c:barChart>
      <c:catAx>
        <c:axId val="760795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18200"/>
        <c:crosses val="autoZero"/>
        <c:auto val="1"/>
        <c:lblAlgn val="ctr"/>
        <c:lblOffset val="100"/>
        <c:noMultiLvlLbl val="0"/>
      </c:catAx>
      <c:valAx>
        <c:axId val="80918200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795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1837903"/>
        <c:axId val="31716291"/>
      </c:barChart>
      <c:catAx>
        <c:axId val="18379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16291"/>
        <c:crosses val="autoZero"/>
        <c:auto val="1"/>
        <c:lblAlgn val="ctr"/>
        <c:lblOffset val="100"/>
        <c:noMultiLvlLbl val="0"/>
      </c:catAx>
      <c:valAx>
        <c:axId val="31716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79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68274788"/>
        <c:axId val="68897771"/>
      </c:barChart>
      <c:catAx>
        <c:axId val="682747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97771"/>
        <c:crosses val="autoZero"/>
        <c:auto val="1"/>
        <c:lblAlgn val="ctr"/>
        <c:lblOffset val="100"/>
        <c:noMultiLvlLbl val="0"/>
      </c:catAx>
      <c:valAx>
        <c:axId val="68897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747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96883955"/>
        <c:axId val="54046183"/>
      </c:barChart>
      <c:catAx>
        <c:axId val="968839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46183"/>
        <c:crosses val="autoZero"/>
        <c:auto val="1"/>
        <c:lblAlgn val="ctr"/>
        <c:lblOffset val="100"/>
        <c:noMultiLvlLbl val="0"/>
      </c:catAx>
      <c:valAx>
        <c:axId val="54046183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83955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8981486"/>
        <c:axId val="44550519"/>
      </c:barChart>
      <c:catAx>
        <c:axId val="89814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50519"/>
        <c:crosses val="autoZero"/>
        <c:auto val="1"/>
        <c:lblAlgn val="ctr"/>
        <c:lblOffset val="100"/>
        <c:noMultiLvlLbl val="0"/>
      </c:catAx>
      <c:valAx>
        <c:axId val="44550519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14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3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4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5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6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17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18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0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1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2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3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4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5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6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27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40</v>
      </c>
    </row>
    <row r="33" customFormat="false" ht="15" hidden="false" customHeight="false" outlineLevel="0" collapsed="false">
      <c r="B33" s="20" t="s">
        <v>41</v>
      </c>
      <c r="C33" s="14" t="s">
        <v>42</v>
      </c>
      <c r="D33" s="14"/>
      <c r="E33" s="14"/>
      <c r="F33" s="21" t="s">
        <v>37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45</v>
      </c>
    </row>
    <row r="35" customFormat="false" ht="15" hidden="false" customHeight="false" outlineLevel="0" collapsed="false">
      <c r="B35" s="20" t="s">
        <v>46</v>
      </c>
      <c r="C35" s="14" t="s">
        <v>47</v>
      </c>
      <c r="D35" s="14"/>
      <c r="E35" s="14"/>
      <c r="F35" s="21" t="s">
        <v>45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50</v>
      </c>
    </row>
    <row r="37" customFormat="false" ht="15" hidden="false" customHeight="false" outlineLevel="0" collapsed="false">
      <c r="B37" s="20" t="s">
        <v>51</v>
      </c>
      <c r="C37" s="14" t="s">
        <v>52</v>
      </c>
      <c r="D37" s="14"/>
      <c r="E37" s="14"/>
      <c r="F37" s="21" t="s">
        <v>45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58</v>
      </c>
    </row>
    <row r="40" customFormat="false" ht="15" hidden="false" customHeight="false" outlineLevel="0" collapsed="false">
      <c r="B40" s="20" t="s">
        <v>59</v>
      </c>
      <c r="C40" s="14" t="s">
        <v>60</v>
      </c>
      <c r="D40" s="14"/>
      <c r="E40" s="14"/>
      <c r="F40" s="21" t="s">
        <v>45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69</v>
      </c>
    </row>
    <row r="44" customFormat="false" ht="15" hidden="false" customHeight="false" outlineLevel="0" collapsed="false">
      <c r="B44" s="20" t="s">
        <v>70</v>
      </c>
      <c r="C44" s="14" t="s">
        <v>71</v>
      </c>
      <c r="D44" s="14"/>
      <c r="E44" s="14"/>
      <c r="F44" s="21" t="s">
        <v>72</v>
      </c>
    </row>
    <row r="45" customFormat="false" ht="15" hidden="false" customHeight="false" outlineLevel="0" collapsed="false">
      <c r="B45" s="20" t="s">
        <v>73</v>
      </c>
      <c r="C45" s="14" t="s">
        <v>74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75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76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77</v>
      </c>
      <c r="D50" s="23"/>
      <c r="E50" s="23"/>
      <c r="F50" s="23"/>
    </row>
    <row r="51" customFormat="false" ht="15" hidden="false" customHeight="false" outlineLevel="0" collapsed="false">
      <c r="B51" s="25" t="s">
        <v>78</v>
      </c>
      <c r="C51" s="23" t="s">
        <v>79</v>
      </c>
      <c r="D51" s="23"/>
      <c r="E51" s="23"/>
      <c r="F51" s="23"/>
    </row>
    <row r="52" customFormat="false" ht="15" hidden="false" customHeight="false" outlineLevel="0" collapsed="false">
      <c r="B52" s="26" t="s">
        <v>80</v>
      </c>
      <c r="C52" s="23" t="s">
        <v>81</v>
      </c>
      <c r="D52" s="23"/>
      <c r="E52" s="23"/>
      <c r="F52" s="23"/>
    </row>
    <row r="54" customFormat="false" ht="19.5" hidden="false" customHeight="true" outlineLevel="0" collapsed="false">
      <c r="B54" s="4" t="s">
        <v>82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83</v>
      </c>
      <c r="C56" s="8" t="s">
        <v>84</v>
      </c>
      <c r="D56" s="8"/>
      <c r="E56" s="8"/>
      <c r="F56" s="8"/>
    </row>
    <row r="57" customFormat="false" ht="30" hidden="false" customHeight="true" outlineLevel="0" collapsed="false">
      <c r="B57" s="11" t="s">
        <v>85</v>
      </c>
      <c r="C57" s="27" t="s">
        <v>86</v>
      </c>
      <c r="D57" s="11" t="s">
        <v>87</v>
      </c>
      <c r="E57" s="11"/>
      <c r="F57" s="11"/>
    </row>
    <row r="58" customFormat="false" ht="30" hidden="false" customHeight="true" outlineLevel="0" collapsed="false">
      <c r="B58" s="11" t="s">
        <v>88</v>
      </c>
      <c r="C58" s="27" t="s">
        <v>89</v>
      </c>
      <c r="D58" s="11" t="s">
        <v>90</v>
      </c>
      <c r="E58" s="11"/>
      <c r="F58" s="11"/>
    </row>
    <row r="59" customFormat="false" ht="30" hidden="false" customHeight="true" outlineLevel="0" collapsed="false">
      <c r="B59" s="11" t="s">
        <v>91</v>
      </c>
      <c r="C59" s="27" t="s">
        <v>92</v>
      </c>
      <c r="D59" s="11" t="s">
        <v>93</v>
      </c>
      <c r="E59" s="11"/>
      <c r="F59" s="11"/>
    </row>
    <row r="61" customFormat="false" ht="19.5" hidden="false" customHeight="true" outlineLevel="0" collapsed="false">
      <c r="B61" s="4" t="s">
        <v>94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95</v>
      </c>
      <c r="C63" s="11" t="s">
        <v>96</v>
      </c>
      <c r="D63" s="11"/>
      <c r="E63" s="11"/>
      <c r="F63" s="11"/>
    </row>
    <row r="64" customFormat="false" ht="30" hidden="false" customHeight="true" outlineLevel="0" collapsed="false">
      <c r="B64" s="10" t="s">
        <v>97</v>
      </c>
      <c r="C64" s="11" t="s">
        <v>98</v>
      </c>
      <c r="D64" s="11"/>
      <c r="E64" s="11"/>
      <c r="F64" s="11"/>
    </row>
    <row r="65" customFormat="false" ht="15" hidden="false" customHeight="true" outlineLevel="0" collapsed="false">
      <c r="B65" s="10" t="s">
        <v>99</v>
      </c>
      <c r="C65" s="11" t="s">
        <v>100</v>
      </c>
      <c r="D65" s="11"/>
      <c r="E65" s="11"/>
      <c r="F65" s="11"/>
    </row>
    <row r="66" customFormat="false" ht="15" hidden="false" customHeight="true" outlineLevel="0" collapsed="false">
      <c r="B66" s="10" t="s">
        <v>101</v>
      </c>
      <c r="C66" s="11" t="s">
        <v>102</v>
      </c>
      <c r="D66" s="11"/>
      <c r="E66" s="11"/>
      <c r="F66" s="11"/>
    </row>
    <row r="67" customFormat="false" ht="15" hidden="false" customHeight="true" outlineLevel="0" collapsed="false">
      <c r="B67" s="10" t="s">
        <v>103</v>
      </c>
      <c r="C67" s="11" t="s">
        <v>104</v>
      </c>
      <c r="D67" s="11"/>
      <c r="E67" s="11"/>
      <c r="F67" s="11"/>
    </row>
    <row r="68" customFormat="false" ht="15" hidden="false" customHeight="true" outlineLevel="0" collapsed="false">
      <c r="B68" s="10" t="s">
        <v>105</v>
      </c>
      <c r="C68" s="11" t="s">
        <v>106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Flow%20diagrams'!A1" display="Flow diagrams"/>
    <hyperlink ref="B33" r:id="rId3" location="'Metadata'!A1" display="Metadata"/>
    <hyperlink ref="B34" r:id="rId4" location="'Inventory'!A1" display="Inventory"/>
    <hyperlink ref="B35" r:id="rId5" location="'Nutrient%20balance'!A1" display="Nutrient balance"/>
    <hyperlink ref="B36" r:id="rId6" location="'LCI%20per%20tonne'!A1" display="LCI per tonne"/>
    <hyperlink ref="B37" r:id="rId7" location="'LCIA%20(Annex%201)'!A1" display="LCIA (Annex 1)"/>
    <hyperlink ref="B38" r:id="rId8" location="'Contribution%20analysis'!A1" display="Contribution analysis"/>
    <hyperlink ref="B39" r:id="rId9" location="'Comparison'!A1" display="Comparison"/>
    <hyperlink ref="B40" r:id="rId10" location="'KPI%20framework'!A1" display="KPI framework"/>
    <hyperlink ref="B41" r:id="rId11" location="'Dashboard'!A1" display="Dashboard"/>
    <hyperlink ref="B42" r:id="rId12" location="'Charts'!A1" display="Charts"/>
    <hyperlink ref="B43" r:id="rId13" location="'Figures'!A1" display="Figure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107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109</v>
      </c>
      <c r="B4" s="8" t="s">
        <v>110</v>
      </c>
      <c r="C4" s="8" t="s">
        <v>111</v>
      </c>
    </row>
    <row r="5" customFormat="false" ht="26.85" hidden="false" customHeight="false" outlineLevel="0" collapsed="false">
      <c r="A5" s="10" t="s">
        <v>112</v>
      </c>
      <c r="B5" s="11" t="s">
        <v>113</v>
      </c>
      <c r="C5" s="11" t="s">
        <v>114</v>
      </c>
    </row>
    <row r="6" customFormat="false" ht="26.85" hidden="false" customHeight="false" outlineLevel="0" collapsed="false">
      <c r="A6" s="10" t="s">
        <v>115</v>
      </c>
      <c r="B6" s="11" t="s">
        <v>116</v>
      </c>
      <c r="C6" s="11" t="s">
        <v>117</v>
      </c>
    </row>
    <row r="7" customFormat="false" ht="39.55" hidden="false" customHeight="false" outlineLevel="0" collapsed="false">
      <c r="A7" s="10" t="s">
        <v>118</v>
      </c>
      <c r="B7" s="11" t="s">
        <v>119</v>
      </c>
      <c r="C7" s="11" t="s">
        <v>120</v>
      </c>
    </row>
    <row r="8" customFormat="false" ht="26.85" hidden="false" customHeight="false" outlineLevel="0" collapsed="false">
      <c r="A8" s="10" t="s">
        <v>121</v>
      </c>
      <c r="B8" s="11" t="s">
        <v>122</v>
      </c>
      <c r="C8" s="11" t="s">
        <v>123</v>
      </c>
    </row>
    <row r="9" customFormat="false" ht="26.85" hidden="false" customHeight="false" outlineLevel="0" collapsed="false">
      <c r="A9" s="10" t="s">
        <v>124</v>
      </c>
      <c r="B9" s="11" t="s">
        <v>125</v>
      </c>
      <c r="C9" s="11" t="s">
        <v>126</v>
      </c>
    </row>
    <row r="10" customFormat="false" ht="15" hidden="false" customHeight="false" outlineLevel="0" collapsed="false">
      <c r="A10" s="10" t="s">
        <v>127</v>
      </c>
      <c r="B10" s="11" t="s">
        <v>128</v>
      </c>
      <c r="C10" s="11" t="s">
        <v>129</v>
      </c>
    </row>
    <row r="11" customFormat="false" ht="26.85" hidden="false" customHeight="false" outlineLevel="0" collapsed="false">
      <c r="A11" s="10" t="s">
        <v>130</v>
      </c>
      <c r="B11" s="11" t="s">
        <v>131</v>
      </c>
      <c r="C11" s="11" t="s">
        <v>132</v>
      </c>
    </row>
    <row r="12" customFormat="false" ht="26.85" hidden="false" customHeight="false" outlineLevel="0" collapsed="false">
      <c r="A12" s="10" t="s">
        <v>133</v>
      </c>
      <c r="B12" s="11" t="s">
        <v>134</v>
      </c>
      <c r="C12" s="11" t="s">
        <v>135</v>
      </c>
    </row>
    <row r="13" customFormat="false" ht="15" hidden="false" customHeight="false" outlineLevel="0" collapsed="false">
      <c r="A13" s="10" t="s">
        <v>136</v>
      </c>
      <c r="B13" s="11" t="s">
        <v>137</v>
      </c>
      <c r="C13" s="11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5"/>
    <col collapsed="false" customWidth="true" hidden="false" outlineLevel="0" max="5" min="5" style="0" width="26"/>
    <col collapsed="false" customWidth="true" hidden="false" outlineLevel="0" max="6" min="6" style="0" width="5"/>
    <col collapsed="false" customWidth="true" hidden="false" outlineLevel="0" max="7" min="7" style="0" width="26"/>
    <col collapsed="false" customWidth="true" hidden="false" outlineLevel="0" max="8" min="8" style="0" width="3"/>
    <col collapsed="false" customWidth="true" hidden="false" outlineLevel="0" max="9" min="9" style="0" width="40"/>
    <col collapsed="false" customWidth="true" hidden="false" outlineLevel="0" max="10" min="10" style="0" width="14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28" t="s">
        <v>139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140</v>
      </c>
    </row>
    <row r="5" customFormat="false" ht="16.15" hidden="false" customHeight="false" outlineLevel="0" collapsed="false">
      <c r="A5" s="30" t="s">
        <v>11</v>
      </c>
    </row>
    <row r="7" customFormat="false" ht="18" hidden="false" customHeight="true" outlineLevel="0" collapsed="false">
      <c r="A7" s="31" t="s">
        <v>141</v>
      </c>
      <c r="E7" s="32" t="s">
        <v>142</v>
      </c>
      <c r="F7" s="33" t="s">
        <v>143</v>
      </c>
      <c r="G7" s="32" t="s">
        <v>144</v>
      </c>
      <c r="I7" s="34" t="s">
        <v>145</v>
      </c>
    </row>
    <row r="8" customFormat="false" ht="18" hidden="false" customHeight="true" outlineLevel="0" collapsed="false">
      <c r="A8" s="35" t="str">
        <f aca="false">TEXT(Inventory!C6,"#,##0")&amp;" kg · "&amp;TEXT('Nutrient balance'!C8,"#,##0.0")&amp;" kg N"</f>
        <v>1,888 kg · 126.9 kg N</v>
      </c>
      <c r="B8" s="33" t="s">
        <v>146</v>
      </c>
      <c r="E8" s="36" t="s">
        <v>147</v>
      </c>
      <c r="G8" s="36" t="str">
        <f aca="false">TEXT(Inventory!C19,"#,##0")&amp;" kg"</f>
        <v>130 kg</v>
      </c>
      <c r="I8" s="37" t="s">
        <v>148</v>
      </c>
      <c r="J8" s="37" t="s">
        <v>149</v>
      </c>
      <c r="K8" s="37" t="s">
        <v>150</v>
      </c>
    </row>
    <row r="9" customFormat="false" ht="18" hidden="false" customHeight="true" outlineLevel="0" collapsed="false">
      <c r="D9" s="33" t="s">
        <v>151</v>
      </c>
      <c r="I9" s="38" t="s">
        <v>141</v>
      </c>
      <c r="J9" s="39" t="n">
        <f aca="false">Inventory!C6</f>
        <v>1888</v>
      </c>
      <c r="K9" s="38" t="s">
        <v>152</v>
      </c>
    </row>
    <row r="10" customFormat="false" ht="18" hidden="false" customHeight="true" outlineLevel="0" collapsed="false">
      <c r="A10" s="40" t="s">
        <v>153</v>
      </c>
      <c r="B10" s="33" t="s">
        <v>143</v>
      </c>
      <c r="C10" s="41" t="s">
        <v>154</v>
      </c>
      <c r="D10" s="33" t="s">
        <v>143</v>
      </c>
      <c r="E10" s="42" t="s">
        <v>155</v>
      </c>
      <c r="F10" s="33" t="s">
        <v>143</v>
      </c>
      <c r="G10" s="43" t="s">
        <v>156</v>
      </c>
      <c r="I10" s="38" t="s">
        <v>157</v>
      </c>
      <c r="J10" s="44" t="n">
        <f aca="false">'Nutrient balance'!C8</f>
        <v>126.8736</v>
      </c>
      <c r="K10" s="38" t="s">
        <v>158</v>
      </c>
    </row>
    <row r="11" customFormat="false" ht="18" hidden="false" customHeight="true" outlineLevel="0" collapsed="false">
      <c r="A11" s="45" t="str">
        <f aca="false">TEXT(Inventory!C8+Inventory!C9,"#,##0")&amp;" kg stocked"</f>
        <v>683 kg stocked</v>
      </c>
      <c r="C11" s="46" t="s">
        <v>159</v>
      </c>
      <c r="G11" s="47" t="str">
        <f aca="false">TEXT(Inventory!C18,"#,##0")&amp;" kg gained"</f>
        <v>1,099 kg gained</v>
      </c>
      <c r="I11" s="38" t="s">
        <v>160</v>
      </c>
      <c r="J11" s="39" t="n">
        <f aca="false">Inventory!C8+Inventory!C9</f>
        <v>682.5</v>
      </c>
      <c r="K11" s="38" t="s">
        <v>152</v>
      </c>
    </row>
    <row r="12" customFormat="false" ht="18" hidden="false" customHeight="true" outlineLevel="0" collapsed="false">
      <c r="D12" s="33" t="s">
        <v>146</v>
      </c>
      <c r="I12" s="38" t="s">
        <v>161</v>
      </c>
      <c r="J12" s="39" t="n">
        <f aca="false">Inventory!C7</f>
        <v>101110</v>
      </c>
      <c r="K12" s="38" t="s">
        <v>162</v>
      </c>
    </row>
    <row r="13" customFormat="false" ht="18" hidden="false" customHeight="true" outlineLevel="0" collapsed="false">
      <c r="A13" s="48" t="s">
        <v>161</v>
      </c>
      <c r="B13" s="33" t="s">
        <v>151</v>
      </c>
      <c r="E13" s="49" t="s">
        <v>163</v>
      </c>
      <c r="F13" s="33" t="s">
        <v>143</v>
      </c>
      <c r="G13" s="49" t="s">
        <v>164</v>
      </c>
      <c r="I13" s="38" t="s">
        <v>165</v>
      </c>
      <c r="J13" s="39" t="n">
        <f aca="false">Inventory!C18</f>
        <v>1099</v>
      </c>
      <c r="K13" s="38" t="s">
        <v>152</v>
      </c>
    </row>
    <row r="14" customFormat="false" ht="18" hidden="false" customHeight="true" outlineLevel="0" collapsed="false">
      <c r="A14" s="50" t="str">
        <f aca="false">TEXT(Inventory!C7,"#,##0")&amp;" m3 · pumped"</f>
        <v>101,110 m3 · pumped</v>
      </c>
      <c r="E14" s="51" t="s">
        <v>166</v>
      </c>
      <c r="G14" s="51" t="str">
        <f aca="false">TEXT(Inventory!C20,"#,##0")&amp;" kg · "&amp;TEXT('Nutrient balance'!C10,"0.0")&amp;" kg N"</f>
        <v>1,224 kg · 30.6 kg N</v>
      </c>
      <c r="I14" s="38" t="s">
        <v>167</v>
      </c>
      <c r="J14" s="39" t="n">
        <f aca="false">Inventory!C19</f>
        <v>130</v>
      </c>
      <c r="K14" s="38" t="s">
        <v>152</v>
      </c>
    </row>
    <row r="15" customFormat="false" ht="18" hidden="false" customHeight="true" outlineLevel="0" collapsed="false">
      <c r="E15" s="33" t="s">
        <v>168</v>
      </c>
      <c r="I15" s="38" t="s">
        <v>164</v>
      </c>
      <c r="J15" s="39" t="n">
        <f aca="false">Inventory!C20</f>
        <v>1224</v>
      </c>
      <c r="K15" s="38" t="s">
        <v>152</v>
      </c>
    </row>
    <row r="16" customFormat="false" ht="18" hidden="false" customHeight="true" outlineLevel="0" collapsed="false">
      <c r="A16" s="52" t="s">
        <v>169</v>
      </c>
      <c r="B16" s="33" t="s">
        <v>151</v>
      </c>
      <c r="E16" s="53" t="s">
        <v>170</v>
      </c>
      <c r="G16" s="34" t="str">
        <f aca="false">"N in products: "&amp;TEXT('Nutrient balance'!C9+'Nutrient balance'!C10,"0.0")&amp;" kg N"</f>
        <v>N in products: 59.6 kg N</v>
      </c>
      <c r="I16" s="38" t="s">
        <v>171</v>
      </c>
      <c r="J16" s="44" t="n">
        <f aca="false">'Nutrient balance'!C9</f>
        <v>29</v>
      </c>
      <c r="K16" s="38" t="s">
        <v>158</v>
      </c>
    </row>
    <row r="17" customFormat="false" ht="18" hidden="false" customHeight="true" outlineLevel="0" collapsed="false">
      <c r="A17" s="54" t="s">
        <v>172</v>
      </c>
      <c r="E17" s="55" t="str">
        <f aca="false">IF('Nutrient balance'!C12&lt;0,"net uptake "&amp;TEXT(-'Nutrient balance'!C12,"0.0")&amp;" kg N",TEXT('Nutrient balance'!C12,"0.0")&amp;" kg N released")</f>
        <v>67.2 kg N released</v>
      </c>
      <c r="G17" s="38" t="str">
        <f aca="false">"N use efficiency: "&amp;TEXT('Nutrient balance'!C13,"0%")</f>
        <v>N use efficiency: 47%</v>
      </c>
      <c r="I17" s="38" t="s">
        <v>173</v>
      </c>
      <c r="J17" s="44" t="n">
        <f aca="false">'Nutrient balance'!C10</f>
        <v>30.6</v>
      </c>
      <c r="K17" s="38" t="s">
        <v>158</v>
      </c>
    </row>
    <row r="18" customFormat="false" ht="15" hidden="false" customHeight="false" outlineLevel="0" collapsed="false">
      <c r="I18" s="38" t="s">
        <v>174</v>
      </c>
      <c r="J18" s="56" t="n">
        <f aca="false">'Nutrient balance'!C9+'Nutrient balance'!C10</f>
        <v>59.6</v>
      </c>
      <c r="K18" s="38" t="s">
        <v>158</v>
      </c>
    </row>
    <row r="19" customFormat="false" ht="15" hidden="false" customHeight="false" outlineLevel="0" collapsed="false">
      <c r="I19" s="38" t="s">
        <v>175</v>
      </c>
      <c r="J19" s="44" t="n">
        <f aca="false">'Nutrient balance'!C12</f>
        <v>67.2</v>
      </c>
      <c r="K19" s="38" t="s">
        <v>158</v>
      </c>
    </row>
    <row r="20" customFormat="false" ht="15" hidden="false" customHeight="false" outlineLevel="0" collapsed="false">
      <c r="I20" s="38" t="s">
        <v>176</v>
      </c>
      <c r="J20" s="57" t="n">
        <f aca="false">'Nutrient balance'!C13</f>
        <v>0.469758878127522</v>
      </c>
      <c r="K20" s="38" t="s">
        <v>177</v>
      </c>
    </row>
    <row r="24" customFormat="false" ht="16.15" hidden="false" customHeight="false" outlineLevel="0" collapsed="false">
      <c r="A24" s="58" t="s">
        <v>15</v>
      </c>
    </row>
    <row r="26" customFormat="false" ht="18" hidden="false" customHeight="true" outlineLevel="0" collapsed="false">
      <c r="A26" s="31" t="s">
        <v>141</v>
      </c>
      <c r="E26" s="32" t="s">
        <v>142</v>
      </c>
      <c r="F26" s="33" t="s">
        <v>143</v>
      </c>
      <c r="G26" s="32" t="s">
        <v>144</v>
      </c>
      <c r="I26" s="34" t="s">
        <v>145</v>
      </c>
    </row>
    <row r="27" customFormat="false" ht="18" hidden="false" customHeight="true" outlineLevel="0" collapsed="false">
      <c r="A27" s="35" t="str">
        <f aca="false">TEXT(Inventory!D6,"#,##0")&amp;" kg · "&amp;TEXT('Nutrient balance'!D8,"#,##0.0")&amp;" kg N"</f>
        <v>89 kg · 5.7 kg N</v>
      </c>
      <c r="B27" s="33" t="s">
        <v>146</v>
      </c>
      <c r="E27" s="36" t="s">
        <v>147</v>
      </c>
      <c r="G27" s="36" t="str">
        <f aca="false">TEXT(Inventory!D19,"#,##0")&amp;" kg"</f>
        <v>94 kg</v>
      </c>
      <c r="I27" s="37" t="s">
        <v>148</v>
      </c>
      <c r="J27" s="37" t="s">
        <v>149</v>
      </c>
      <c r="K27" s="37" t="s">
        <v>150</v>
      </c>
    </row>
    <row r="28" customFormat="false" ht="18" hidden="false" customHeight="true" outlineLevel="0" collapsed="false">
      <c r="D28" s="33" t="s">
        <v>151</v>
      </c>
      <c r="I28" s="38" t="s">
        <v>141</v>
      </c>
      <c r="J28" s="39" t="n">
        <f aca="false">Inventory!D6</f>
        <v>89</v>
      </c>
      <c r="K28" s="38" t="s">
        <v>152</v>
      </c>
    </row>
    <row r="29" customFormat="false" ht="18" hidden="false" customHeight="true" outlineLevel="0" collapsed="false">
      <c r="A29" s="40" t="s">
        <v>153</v>
      </c>
      <c r="B29" s="33" t="s">
        <v>143</v>
      </c>
      <c r="C29" s="41" t="s">
        <v>154</v>
      </c>
      <c r="D29" s="33" t="s">
        <v>143</v>
      </c>
      <c r="E29" s="42" t="s">
        <v>155</v>
      </c>
      <c r="F29" s="33" t="s">
        <v>143</v>
      </c>
      <c r="G29" s="43" t="s">
        <v>156</v>
      </c>
      <c r="I29" s="38" t="s">
        <v>157</v>
      </c>
      <c r="J29" s="44" t="n">
        <f aca="false">'Nutrient balance'!D8</f>
        <v>5.696</v>
      </c>
      <c r="K29" s="38" t="s">
        <v>158</v>
      </c>
    </row>
    <row r="30" customFormat="false" ht="18" hidden="false" customHeight="true" outlineLevel="0" collapsed="false">
      <c r="A30" s="45" t="str">
        <f aca="false">TEXT(Inventory!D8+Inventory!D9,"#,##0")&amp;" kg stocked"</f>
        <v>59 kg stocked</v>
      </c>
      <c r="C30" s="46" t="s">
        <v>159</v>
      </c>
      <c r="G30" s="47" t="str">
        <f aca="false">TEXT(Inventory!D18,"#,##0")&amp;" kg gained"</f>
        <v>65 kg gained</v>
      </c>
      <c r="I30" s="38" t="s">
        <v>160</v>
      </c>
      <c r="J30" s="39" t="n">
        <f aca="false">Inventory!D8+Inventory!D9</f>
        <v>59.4</v>
      </c>
      <c r="K30" s="38" t="s">
        <v>152</v>
      </c>
    </row>
    <row r="31" customFormat="false" ht="18" hidden="false" customHeight="true" outlineLevel="0" collapsed="false">
      <c r="D31" s="33" t="s">
        <v>146</v>
      </c>
      <c r="I31" s="38" t="s">
        <v>161</v>
      </c>
      <c r="J31" s="39" t="n">
        <f aca="false">Inventory!D7</f>
        <v>7185</v>
      </c>
      <c r="K31" s="38" t="s">
        <v>162</v>
      </c>
    </row>
    <row r="32" customFormat="false" ht="18" hidden="false" customHeight="true" outlineLevel="0" collapsed="false">
      <c r="A32" s="48" t="s">
        <v>161</v>
      </c>
      <c r="B32" s="33" t="s">
        <v>151</v>
      </c>
      <c r="E32" s="49" t="s">
        <v>163</v>
      </c>
      <c r="F32" s="33" t="s">
        <v>143</v>
      </c>
      <c r="G32" s="49" t="s">
        <v>164</v>
      </c>
      <c r="I32" s="38" t="s">
        <v>165</v>
      </c>
      <c r="J32" s="39" t="n">
        <f aca="false">Inventory!D18</f>
        <v>65</v>
      </c>
      <c r="K32" s="38" t="s">
        <v>152</v>
      </c>
    </row>
    <row r="33" customFormat="false" ht="18" hidden="false" customHeight="true" outlineLevel="0" collapsed="false">
      <c r="A33" s="50" t="str">
        <f aca="false">TEXT(Inventory!D7,"#,##0")&amp;" m3 · tidal"</f>
        <v>7,185 m3 · tidal</v>
      </c>
      <c r="E33" s="51" t="s">
        <v>178</v>
      </c>
      <c r="G33" s="51" t="str">
        <f aca="false">TEXT(Inventory!D20,"#,##0")&amp;" kg · "&amp;TEXT('Nutrient balance'!D10,"0.0")&amp;" kg N"</f>
        <v>35,400 kg · 1.8 kg N</v>
      </c>
      <c r="I33" s="38" t="s">
        <v>167</v>
      </c>
      <c r="J33" s="39" t="n">
        <f aca="false">Inventory!D19</f>
        <v>94</v>
      </c>
      <c r="K33" s="38" t="s">
        <v>152</v>
      </c>
    </row>
    <row r="34" customFormat="false" ht="18" hidden="false" customHeight="true" outlineLevel="0" collapsed="false">
      <c r="E34" s="33" t="s">
        <v>168</v>
      </c>
      <c r="I34" s="38" t="s">
        <v>164</v>
      </c>
      <c r="J34" s="39" t="n">
        <f aca="false">Inventory!D20</f>
        <v>35400</v>
      </c>
      <c r="K34" s="38" t="s">
        <v>152</v>
      </c>
    </row>
    <row r="35" customFormat="false" ht="18" hidden="false" customHeight="true" outlineLevel="0" collapsed="false">
      <c r="A35" s="52" t="s">
        <v>169</v>
      </c>
      <c r="B35" s="33" t="s">
        <v>151</v>
      </c>
      <c r="E35" s="53" t="s">
        <v>170</v>
      </c>
      <c r="G35" s="34" t="str">
        <f aca="false">"N in products: "&amp;TEXT('Nutrient balance'!D9+'Nutrient balance'!D10,"0.0")&amp;" kg N"</f>
        <v>N in products: 6.3 kg N</v>
      </c>
      <c r="I35" s="38" t="s">
        <v>171</v>
      </c>
      <c r="J35" s="44" t="n">
        <f aca="false">'Nutrient balance'!D9</f>
        <v>4.5</v>
      </c>
      <c r="K35" s="38" t="s">
        <v>158</v>
      </c>
    </row>
    <row r="36" customFormat="false" ht="18" hidden="false" customHeight="true" outlineLevel="0" collapsed="false">
      <c r="A36" s="54" t="s">
        <v>179</v>
      </c>
      <c r="E36" s="55" t="str">
        <f aca="false">IF('Nutrient balance'!D12&lt;0,"net uptake "&amp;TEXT(-'Nutrient balance'!D12,"0.0")&amp;" kg N",TEXT('Nutrient balance'!D12,"0.0")&amp;" kg N released")</f>
        <v>net uptake 0.5 kg N</v>
      </c>
      <c r="G36" s="38" t="str">
        <f aca="false">"N use efficiency: "&amp;TEXT('Nutrient balance'!D13,"0%")</f>
        <v>N use efficiency: 111%</v>
      </c>
      <c r="I36" s="38" t="s">
        <v>173</v>
      </c>
      <c r="J36" s="44" t="n">
        <f aca="false">'Nutrient balance'!D10</f>
        <v>1.8</v>
      </c>
      <c r="K36" s="38" t="s">
        <v>158</v>
      </c>
    </row>
    <row r="37" customFormat="false" ht="15" hidden="false" customHeight="false" outlineLevel="0" collapsed="false">
      <c r="I37" s="38" t="s">
        <v>174</v>
      </c>
      <c r="J37" s="56" t="n">
        <f aca="false">'Nutrient balance'!D9+'Nutrient balance'!D10</f>
        <v>6.3</v>
      </c>
      <c r="K37" s="38" t="s">
        <v>158</v>
      </c>
    </row>
    <row r="38" customFormat="false" ht="15" hidden="false" customHeight="false" outlineLevel="0" collapsed="false">
      <c r="I38" s="38" t="s">
        <v>175</v>
      </c>
      <c r="J38" s="44" t="n">
        <f aca="false">'Nutrient balance'!D12</f>
        <v>-0.5</v>
      </c>
      <c r="K38" s="38" t="s">
        <v>158</v>
      </c>
    </row>
    <row r="39" customFormat="false" ht="15" hidden="false" customHeight="false" outlineLevel="0" collapsed="false">
      <c r="I39" s="38" t="s">
        <v>176</v>
      </c>
      <c r="J39" s="57" t="n">
        <f aca="false">'Nutrient balance'!D13</f>
        <v>1.1060393258427</v>
      </c>
      <c r="K39" s="38" t="s">
        <v>177</v>
      </c>
    </row>
    <row r="43" customFormat="false" ht="16.15" hidden="false" customHeight="false" outlineLevel="0" collapsed="false">
      <c r="A43" s="59" t="s">
        <v>19</v>
      </c>
    </row>
    <row r="45" customFormat="false" ht="18" hidden="false" customHeight="true" outlineLevel="0" collapsed="false">
      <c r="A45" s="31" t="s">
        <v>141</v>
      </c>
      <c r="E45" s="60" t="s">
        <v>142</v>
      </c>
      <c r="F45" s="33" t="s">
        <v>143</v>
      </c>
      <c r="G45" s="60" t="s">
        <v>144</v>
      </c>
      <c r="I45" s="34" t="s">
        <v>145</v>
      </c>
    </row>
    <row r="46" customFormat="false" ht="18" hidden="false" customHeight="true" outlineLevel="0" collapsed="false">
      <c r="A46" s="35" t="str">
        <f aca="false">TEXT(Inventory!E6,"#,##0")&amp;" kg · "&amp;TEXT('Nutrient balance'!E8,"#,##0.0")&amp;" kg N"</f>
        <v>10,975 kg · 737.5 kg N</v>
      </c>
      <c r="B46" s="33" t="s">
        <v>146</v>
      </c>
      <c r="E46" s="61" t="s">
        <v>180</v>
      </c>
      <c r="G46" s="61" t="s">
        <v>181</v>
      </c>
      <c r="I46" s="37" t="s">
        <v>148</v>
      </c>
      <c r="J46" s="37" t="s">
        <v>149</v>
      </c>
      <c r="K46" s="37" t="s">
        <v>150</v>
      </c>
    </row>
    <row r="47" customFormat="false" ht="18" hidden="false" customHeight="true" outlineLevel="0" collapsed="false">
      <c r="D47" s="33" t="s">
        <v>151</v>
      </c>
      <c r="I47" s="38" t="s">
        <v>141</v>
      </c>
      <c r="J47" s="39" t="n">
        <f aca="false">Inventory!E6</f>
        <v>10975</v>
      </c>
      <c r="K47" s="38" t="s">
        <v>152</v>
      </c>
    </row>
    <row r="48" customFormat="false" ht="18" hidden="false" customHeight="true" outlineLevel="0" collapsed="false">
      <c r="A48" s="40" t="s">
        <v>182</v>
      </c>
      <c r="B48" s="33" t="s">
        <v>143</v>
      </c>
      <c r="C48" s="41" t="s">
        <v>183</v>
      </c>
      <c r="D48" s="33" t="s">
        <v>143</v>
      </c>
      <c r="E48" s="42" t="s">
        <v>155</v>
      </c>
      <c r="F48" s="33" t="s">
        <v>143</v>
      </c>
      <c r="G48" s="43" t="s">
        <v>156</v>
      </c>
      <c r="I48" s="38" t="s">
        <v>157</v>
      </c>
      <c r="J48" s="44" t="n">
        <f aca="false">'Nutrient balance'!E8</f>
        <v>737.52</v>
      </c>
      <c r="K48" s="38" t="s">
        <v>158</v>
      </c>
    </row>
    <row r="49" customFormat="false" ht="18" hidden="false" customHeight="true" outlineLevel="0" collapsed="false">
      <c r="A49" s="45" t="str">
        <f aca="false">TEXT(Inventory!E8+Inventory!E9,"#,##0")&amp;" kg stocked"</f>
        <v>91 kg stocked</v>
      </c>
      <c r="C49" s="46" t="s">
        <v>159</v>
      </c>
      <c r="G49" s="47" t="str">
        <f aca="false">TEXT(Inventory!E18,"#,##0")&amp;" kg gained"</f>
        <v>6,137 kg gained</v>
      </c>
      <c r="I49" s="38" t="s">
        <v>160</v>
      </c>
      <c r="J49" s="39" t="n">
        <f aca="false">Inventory!E8+Inventory!E9</f>
        <v>91</v>
      </c>
      <c r="K49" s="38" t="s">
        <v>152</v>
      </c>
    </row>
    <row r="50" customFormat="false" ht="18" hidden="false" customHeight="true" outlineLevel="0" collapsed="false">
      <c r="D50" s="33" t="s">
        <v>146</v>
      </c>
      <c r="I50" s="38" t="s">
        <v>161</v>
      </c>
      <c r="J50" s="39" t="n">
        <f aca="false">Inventory!E7</f>
        <v>1201764</v>
      </c>
      <c r="K50" s="38" t="s">
        <v>162</v>
      </c>
    </row>
    <row r="51" customFormat="false" ht="18" hidden="false" customHeight="true" outlineLevel="0" collapsed="false">
      <c r="A51" s="48" t="s">
        <v>161</v>
      </c>
      <c r="B51" s="33" t="s">
        <v>151</v>
      </c>
      <c r="E51" s="60" t="s">
        <v>163</v>
      </c>
      <c r="F51" s="33" t="s">
        <v>143</v>
      </c>
      <c r="G51" s="60" t="s">
        <v>164</v>
      </c>
      <c r="I51" s="38" t="s">
        <v>165</v>
      </c>
      <c r="J51" s="39" t="n">
        <f aca="false">Inventory!E18</f>
        <v>6137</v>
      </c>
      <c r="K51" s="38" t="s">
        <v>152</v>
      </c>
    </row>
    <row r="52" customFormat="false" ht="18" hidden="false" customHeight="true" outlineLevel="0" collapsed="false">
      <c r="A52" s="50" t="str">
        <f aca="false">TEXT(Inventory!E7,"#,##0")&amp;" m3 · pumped"</f>
        <v>1,201,764 m3 · pumped</v>
      </c>
      <c r="E52" s="61" t="s">
        <v>180</v>
      </c>
      <c r="G52" s="61" t="s">
        <v>181</v>
      </c>
      <c r="I52" s="38" t="s">
        <v>167</v>
      </c>
      <c r="J52" s="39" t="n">
        <f aca="false">Inventory!E19</f>
        <v>0</v>
      </c>
      <c r="K52" s="38" t="s">
        <v>152</v>
      </c>
    </row>
    <row r="53" customFormat="false" ht="18" hidden="false" customHeight="true" outlineLevel="0" collapsed="false">
      <c r="E53" s="33" t="s">
        <v>168</v>
      </c>
      <c r="I53" s="38" t="s">
        <v>164</v>
      </c>
      <c r="J53" s="39" t="n">
        <f aca="false">Inventory!E20</f>
        <v>0</v>
      </c>
      <c r="K53" s="38" t="s">
        <v>152</v>
      </c>
    </row>
    <row r="54" customFormat="false" ht="18" hidden="false" customHeight="true" outlineLevel="0" collapsed="false">
      <c r="A54" s="52" t="s">
        <v>169</v>
      </c>
      <c r="B54" s="33" t="s">
        <v>151</v>
      </c>
      <c r="E54" s="53" t="s">
        <v>170</v>
      </c>
      <c r="G54" s="34" t="str">
        <f aca="false">"N in products: "&amp;TEXT('Nutrient balance'!E9+'Nutrient balance'!E10,"0.0")&amp;" kg N"</f>
        <v>N in products: 148.8 kg N</v>
      </c>
      <c r="I54" s="38" t="s">
        <v>171</v>
      </c>
      <c r="J54" s="44" t="n">
        <f aca="false">'Nutrient balance'!E9</f>
        <v>148.8</v>
      </c>
      <c r="K54" s="38" t="s">
        <v>158</v>
      </c>
    </row>
    <row r="55" customFormat="false" ht="18" hidden="false" customHeight="true" outlineLevel="0" collapsed="false">
      <c r="A55" s="54" t="s">
        <v>172</v>
      </c>
      <c r="E55" s="55" t="str">
        <f aca="false">IF('Nutrient balance'!E12&lt;0,"net uptake "&amp;TEXT(-'Nutrient balance'!E12,"0.0")&amp;" kg N",TEXT('Nutrient balance'!E12,"0.0")&amp;" kg N released")</f>
        <v>588.7 kg N released</v>
      </c>
      <c r="G55" s="38" t="str">
        <f aca="false">"N use efficiency: "&amp;TEXT('Nutrient balance'!E13,"0%")</f>
        <v>N use efficiency: 20%</v>
      </c>
      <c r="I55" s="38" t="s">
        <v>173</v>
      </c>
      <c r="J55" s="44" t="n">
        <f aca="false">'Nutrient balance'!E10</f>
        <v>0</v>
      </c>
      <c r="K55" s="38" t="s">
        <v>158</v>
      </c>
    </row>
    <row r="56" customFormat="false" ht="15" hidden="false" customHeight="false" outlineLevel="0" collapsed="false">
      <c r="I56" s="38" t="s">
        <v>174</v>
      </c>
      <c r="J56" s="56" t="n">
        <f aca="false">'Nutrient balance'!E9+'Nutrient balance'!E10</f>
        <v>148.8</v>
      </c>
      <c r="K56" s="38" t="s">
        <v>158</v>
      </c>
    </row>
    <row r="57" customFormat="false" ht="15" hidden="false" customHeight="false" outlineLevel="0" collapsed="false">
      <c r="I57" s="38" t="s">
        <v>175</v>
      </c>
      <c r="J57" s="44" t="n">
        <f aca="false">'Nutrient balance'!E12</f>
        <v>588.7</v>
      </c>
      <c r="K57" s="38" t="s">
        <v>158</v>
      </c>
    </row>
    <row r="58" customFormat="false" ht="15" hidden="false" customHeight="false" outlineLevel="0" collapsed="false">
      <c r="I58" s="38" t="s">
        <v>176</v>
      </c>
      <c r="J58" s="57" t="n">
        <f aca="false">'Nutrient balance'!E13</f>
        <v>0.201757240481614</v>
      </c>
      <c r="K58" s="38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184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185</v>
      </c>
      <c r="B4" s="8" t="s">
        <v>186</v>
      </c>
      <c r="C4" s="8" t="s">
        <v>149</v>
      </c>
    </row>
    <row r="5" customFormat="false" ht="15" hidden="false" customHeight="false" outlineLevel="0" collapsed="false">
      <c r="A5" s="11" t="s">
        <v>187</v>
      </c>
      <c r="B5" s="11" t="s">
        <v>188</v>
      </c>
      <c r="C5" s="11" t="s">
        <v>189</v>
      </c>
    </row>
    <row r="6" customFormat="false" ht="15" hidden="false" customHeight="false" outlineLevel="0" collapsed="false">
      <c r="A6" s="11" t="s">
        <v>187</v>
      </c>
      <c r="B6" s="11" t="s">
        <v>190</v>
      </c>
      <c r="C6" s="11" t="s">
        <v>191</v>
      </c>
    </row>
    <row r="7" customFormat="false" ht="15" hidden="false" customHeight="false" outlineLevel="0" collapsed="false">
      <c r="A7" s="11" t="s">
        <v>187</v>
      </c>
      <c r="B7" s="11" t="s">
        <v>192</v>
      </c>
      <c r="C7" s="11" t="s">
        <v>193</v>
      </c>
    </row>
    <row r="8" customFormat="false" ht="15" hidden="false" customHeight="false" outlineLevel="0" collapsed="false">
      <c r="A8" s="11" t="s">
        <v>187</v>
      </c>
      <c r="B8" s="11" t="s">
        <v>194</v>
      </c>
      <c r="C8" s="11" t="s">
        <v>195</v>
      </c>
    </row>
    <row r="9" customFormat="false" ht="15" hidden="false" customHeight="false" outlineLevel="0" collapsed="false">
      <c r="A9" s="11" t="s">
        <v>187</v>
      </c>
      <c r="B9" s="11" t="s">
        <v>115</v>
      </c>
      <c r="C9" s="11" t="s">
        <v>196</v>
      </c>
    </row>
    <row r="10" customFormat="false" ht="15" hidden="false" customHeight="false" outlineLevel="0" collapsed="false">
      <c r="A10" s="11" t="s">
        <v>187</v>
      </c>
      <c r="B10" s="11" t="s">
        <v>197</v>
      </c>
      <c r="C10" s="11" t="s">
        <v>198</v>
      </c>
    </row>
    <row r="11" customFormat="false" ht="15" hidden="false" customHeight="false" outlineLevel="0" collapsed="false">
      <c r="A11" s="11" t="s">
        <v>187</v>
      </c>
      <c r="B11" s="11" t="s">
        <v>199</v>
      </c>
      <c r="C11" s="11" t="s">
        <v>200</v>
      </c>
    </row>
    <row r="12" customFormat="false" ht="26.85" hidden="false" customHeight="false" outlineLevel="0" collapsed="false">
      <c r="A12" s="11" t="s">
        <v>201</v>
      </c>
      <c r="B12" s="11" t="s">
        <v>202</v>
      </c>
      <c r="C12" s="11" t="s">
        <v>203</v>
      </c>
    </row>
    <row r="13" customFormat="false" ht="15" hidden="false" customHeight="false" outlineLevel="0" collapsed="false">
      <c r="A13" s="11" t="s">
        <v>201</v>
      </c>
      <c r="B13" s="11" t="s">
        <v>204</v>
      </c>
      <c r="C13" s="11" t="s">
        <v>205</v>
      </c>
    </row>
    <row r="14" customFormat="false" ht="15" hidden="false" customHeight="false" outlineLevel="0" collapsed="false">
      <c r="A14" s="11" t="s">
        <v>201</v>
      </c>
      <c r="B14" s="11" t="s">
        <v>127</v>
      </c>
      <c r="C14" s="11" t="s">
        <v>206</v>
      </c>
    </row>
    <row r="15" customFormat="false" ht="15" hidden="false" customHeight="false" outlineLevel="0" collapsed="false">
      <c r="A15" s="11" t="s">
        <v>101</v>
      </c>
      <c r="B15" s="11" t="s">
        <v>133</v>
      </c>
      <c r="C15" s="11" t="s">
        <v>207</v>
      </c>
    </row>
    <row r="16" customFormat="false" ht="15" hidden="false" customHeight="false" outlineLevel="0" collapsed="false">
      <c r="A16" s="11" t="s">
        <v>101</v>
      </c>
      <c r="B16" s="11" t="s">
        <v>6</v>
      </c>
      <c r="C16" s="11" t="s">
        <v>208</v>
      </c>
    </row>
    <row r="17" customFormat="false" ht="39.55" hidden="false" customHeight="false" outlineLevel="0" collapsed="false">
      <c r="A17" s="11" t="s">
        <v>209</v>
      </c>
      <c r="B17" s="11" t="s">
        <v>210</v>
      </c>
      <c r="C17" s="11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212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213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38" t="s">
        <v>215</v>
      </c>
      <c r="B5" s="38" t="s">
        <v>216</v>
      </c>
      <c r="C5" s="62" t="n">
        <v>5.3</v>
      </c>
      <c r="D5" s="62" t="n">
        <v>8.5</v>
      </c>
      <c r="E5" s="62" t="n">
        <v>26</v>
      </c>
      <c r="F5" s="29" t="s">
        <v>217</v>
      </c>
    </row>
    <row r="6" customFormat="false" ht="15" hidden="false" customHeight="false" outlineLevel="0" collapsed="false">
      <c r="A6" s="38" t="s">
        <v>218</v>
      </c>
      <c r="B6" s="38" t="s">
        <v>152</v>
      </c>
      <c r="C6" s="62" t="n">
        <v>1888</v>
      </c>
      <c r="D6" s="62" t="n">
        <v>89</v>
      </c>
      <c r="E6" s="62" t="n">
        <v>10975</v>
      </c>
      <c r="F6" s="29" t="s">
        <v>217</v>
      </c>
    </row>
    <row r="7" customFormat="false" ht="15" hidden="false" customHeight="false" outlineLevel="0" collapsed="false">
      <c r="A7" s="38" t="s">
        <v>219</v>
      </c>
      <c r="B7" s="38" t="s">
        <v>162</v>
      </c>
      <c r="C7" s="62" t="n">
        <v>101110</v>
      </c>
      <c r="D7" s="62" t="n">
        <v>7185</v>
      </c>
      <c r="E7" s="62" t="n">
        <v>1201764</v>
      </c>
      <c r="F7" s="29" t="s">
        <v>217</v>
      </c>
    </row>
    <row r="8" customFormat="false" ht="15" hidden="false" customHeight="false" outlineLevel="0" collapsed="false">
      <c r="A8" s="38" t="s">
        <v>220</v>
      </c>
      <c r="B8" s="38" t="s">
        <v>152</v>
      </c>
      <c r="C8" s="62" t="n">
        <v>677</v>
      </c>
      <c r="D8" s="62" t="n">
        <v>45</v>
      </c>
      <c r="E8" s="62" t="n">
        <v>91</v>
      </c>
      <c r="F8" s="29" t="s">
        <v>221</v>
      </c>
    </row>
    <row r="9" customFormat="false" ht="15" hidden="false" customHeight="false" outlineLevel="0" collapsed="false">
      <c r="A9" s="38" t="s">
        <v>222</v>
      </c>
      <c r="B9" s="38" t="s">
        <v>223</v>
      </c>
      <c r="C9" s="62" t="n">
        <v>5.5</v>
      </c>
      <c r="D9" s="62" t="n">
        <v>14.4</v>
      </c>
      <c r="E9" s="62" t="n">
        <v>0</v>
      </c>
      <c r="F9" s="29" t="s">
        <v>224</v>
      </c>
    </row>
    <row r="10" customFormat="false" ht="15" hidden="false" customHeight="false" outlineLevel="0" collapsed="false">
      <c r="A10" s="38" t="s">
        <v>225</v>
      </c>
      <c r="B10" s="38" t="s">
        <v>177</v>
      </c>
      <c r="C10" s="62" t="n">
        <v>42</v>
      </c>
      <c r="D10" s="62" t="n">
        <v>40</v>
      </c>
      <c r="E10" s="62" t="n">
        <v>42</v>
      </c>
      <c r="F10" s="29" t="s">
        <v>217</v>
      </c>
    </row>
    <row r="11" customFormat="false" ht="15" hidden="false" customHeight="false" outlineLevel="0" collapsed="false">
      <c r="A11" s="38" t="s">
        <v>226</v>
      </c>
      <c r="B11" s="38" t="s">
        <v>177</v>
      </c>
      <c r="C11" s="62" t="n">
        <v>18</v>
      </c>
      <c r="D11" s="62" t="n">
        <v>18</v>
      </c>
      <c r="E11" s="62" t="n">
        <v>18</v>
      </c>
      <c r="F11" s="29" t="s">
        <v>217</v>
      </c>
    </row>
    <row r="12" customFormat="false" ht="15" hidden="false" customHeight="false" outlineLevel="0" collapsed="false">
      <c r="A12" s="38" t="s">
        <v>227</v>
      </c>
      <c r="B12" s="38" t="s">
        <v>177</v>
      </c>
      <c r="C12" s="62" t="n">
        <v>3</v>
      </c>
      <c r="D12" s="62" t="n">
        <v>3.5</v>
      </c>
      <c r="E12" s="62" t="n">
        <v>3</v>
      </c>
      <c r="F12" s="29" t="s">
        <v>217</v>
      </c>
    </row>
    <row r="13" customFormat="false" ht="15" hidden="false" customHeight="false" outlineLevel="0" collapsed="false">
      <c r="A13" s="38" t="s">
        <v>228</v>
      </c>
      <c r="B13" s="38" t="s">
        <v>177</v>
      </c>
      <c r="C13" s="62" t="n">
        <v>9</v>
      </c>
      <c r="D13" s="62" t="n">
        <v>9</v>
      </c>
      <c r="E13" s="62" t="n">
        <v>9</v>
      </c>
      <c r="F13" s="29" t="s">
        <v>217</v>
      </c>
    </row>
    <row r="14" customFormat="false" ht="15" hidden="false" customHeight="false" outlineLevel="0" collapsed="false">
      <c r="A14" s="38" t="s">
        <v>229</v>
      </c>
      <c r="B14" s="38" t="s">
        <v>177</v>
      </c>
      <c r="C14" s="62" t="n">
        <v>1.4</v>
      </c>
      <c r="D14" s="62" t="n">
        <v>1.3</v>
      </c>
      <c r="E14" s="62" t="n">
        <v>1.4</v>
      </c>
      <c r="F14" s="29" t="s">
        <v>217</v>
      </c>
    </row>
    <row r="15" customFormat="false" ht="15" hidden="false" customHeight="false" outlineLevel="0" collapsed="false">
      <c r="A15" s="38" t="s">
        <v>230</v>
      </c>
      <c r="B15" s="38" t="s">
        <v>231</v>
      </c>
      <c r="C15" s="62" t="n">
        <v>90000</v>
      </c>
      <c r="D15" s="62" t="n">
        <v>285000</v>
      </c>
      <c r="E15" s="62" t="n">
        <v>90000</v>
      </c>
      <c r="F15" s="29" t="s">
        <v>217</v>
      </c>
    </row>
    <row r="16" customFormat="false" ht="15" hidden="false" customHeight="false" outlineLevel="0" collapsed="false">
      <c r="A16" s="38" t="s">
        <v>232</v>
      </c>
      <c r="B16" s="38" t="s">
        <v>231</v>
      </c>
      <c r="C16" s="62" t="n">
        <v>23600</v>
      </c>
      <c r="D16" s="62" t="n">
        <v>200000</v>
      </c>
      <c r="E16" s="62" t="n">
        <v>23600</v>
      </c>
      <c r="F16" s="29" t="s">
        <v>217</v>
      </c>
    </row>
    <row r="17" customFormat="false" ht="15" hidden="false" customHeight="false" outlineLevel="0" collapsed="false">
      <c r="A17" s="38" t="s">
        <v>233</v>
      </c>
      <c r="B17" s="38" t="s">
        <v>231</v>
      </c>
      <c r="C17" s="62" t="n">
        <v>700</v>
      </c>
      <c r="D17" s="62" t="n">
        <v>665</v>
      </c>
      <c r="E17" s="62" t="n">
        <v>1700</v>
      </c>
      <c r="F17" s="29" t="s">
        <v>217</v>
      </c>
    </row>
    <row r="18" customFormat="false" ht="15" hidden="false" customHeight="false" outlineLevel="0" collapsed="false">
      <c r="A18" s="38" t="s">
        <v>234</v>
      </c>
      <c r="B18" s="38" t="s">
        <v>152</v>
      </c>
      <c r="C18" s="62" t="n">
        <v>1099</v>
      </c>
      <c r="D18" s="62" t="n">
        <v>65</v>
      </c>
      <c r="E18" s="62" t="n">
        <v>6137</v>
      </c>
      <c r="F18" s="29" t="s">
        <v>217</v>
      </c>
    </row>
    <row r="19" customFormat="false" ht="15" hidden="false" customHeight="false" outlineLevel="0" collapsed="false">
      <c r="A19" s="38" t="s">
        <v>235</v>
      </c>
      <c r="B19" s="38" t="s">
        <v>223</v>
      </c>
      <c r="C19" s="62" t="n">
        <v>130</v>
      </c>
      <c r="D19" s="62" t="n">
        <v>94</v>
      </c>
      <c r="E19" s="62" t="n">
        <v>0</v>
      </c>
      <c r="F19" s="29" t="s">
        <v>217</v>
      </c>
    </row>
    <row r="20" customFormat="false" ht="15" hidden="false" customHeight="false" outlineLevel="0" collapsed="false">
      <c r="A20" s="38" t="s">
        <v>236</v>
      </c>
      <c r="B20" s="38" t="s">
        <v>152</v>
      </c>
      <c r="C20" s="62" t="n">
        <v>1224</v>
      </c>
      <c r="D20" s="62" t="n">
        <v>35400</v>
      </c>
      <c r="E20" s="62" t="n">
        <v>0</v>
      </c>
      <c r="F20" s="29" t="s">
        <v>237</v>
      </c>
    </row>
    <row r="21" customFormat="false" ht="15" hidden="false" customHeight="false" outlineLevel="0" collapsed="false">
      <c r="A21" s="38" t="s">
        <v>238</v>
      </c>
      <c r="B21" s="38" t="s">
        <v>239</v>
      </c>
      <c r="C21" s="62" t="n">
        <v>1.72</v>
      </c>
      <c r="D21" s="62" t="n">
        <v>0.56</v>
      </c>
      <c r="E21" s="62" t="n">
        <v>1.79</v>
      </c>
      <c r="F21" s="29" t="s">
        <v>217</v>
      </c>
    </row>
    <row r="23" customFormat="false" ht="15" hidden="false" customHeight="false" outlineLevel="0" collapsed="false">
      <c r="A23" s="63" t="s">
        <v>240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8" t="s">
        <v>241</v>
      </c>
      <c r="B24" s="38" t="s">
        <v>152</v>
      </c>
      <c r="C24" s="64" t="n">
        <f aca="false">C18+C19</f>
        <v>1229</v>
      </c>
      <c r="D24" s="64" t="n">
        <f aca="false">D18+D19</f>
        <v>159</v>
      </c>
      <c r="E24" s="64" t="n">
        <f aca="false">E18+E19</f>
        <v>6137</v>
      </c>
      <c r="F24" s="29" t="s">
        <v>242</v>
      </c>
    </row>
    <row r="25" customFormat="false" ht="15" hidden="false" customHeight="false" outlineLevel="0" collapsed="false">
      <c r="A25" s="38" t="s">
        <v>243</v>
      </c>
      <c r="B25" s="38" t="s">
        <v>239</v>
      </c>
      <c r="C25" s="64" t="n">
        <f aca="false">1000/C24</f>
        <v>0.813669650122051</v>
      </c>
      <c r="D25" s="64" t="n">
        <f aca="false">1000/D24</f>
        <v>6.28930817610063</v>
      </c>
      <c r="E25" s="64" t="n">
        <f aca="false">1000/E24</f>
        <v>0.162946064852534</v>
      </c>
      <c r="F25" s="29" t="s">
        <v>244</v>
      </c>
    </row>
    <row r="26" customFormat="false" ht="15" hidden="false" customHeight="false" outlineLevel="0" collapsed="false">
      <c r="A26" s="38" t="s">
        <v>245</v>
      </c>
      <c r="B26" s="38" t="s">
        <v>246</v>
      </c>
      <c r="C26" s="64" t="n">
        <f aca="false">C6/C18</f>
        <v>1.7179253867152</v>
      </c>
      <c r="D26" s="64" t="n">
        <f aca="false">D6/D18</f>
        <v>1.36923076923077</v>
      </c>
      <c r="E26" s="64" t="n">
        <f aca="false">E6/E18</f>
        <v>1.78833306175656</v>
      </c>
      <c r="F26" s="29" t="s">
        <v>247</v>
      </c>
    </row>
    <row r="27" customFormat="false" ht="15" hidden="false" customHeight="false" outlineLevel="0" collapsed="false">
      <c r="A27" s="38" t="s">
        <v>248</v>
      </c>
      <c r="B27" s="38" t="s">
        <v>246</v>
      </c>
      <c r="C27" s="64" t="n">
        <f aca="false">C6/C24</f>
        <v>1.53620829943043</v>
      </c>
      <c r="D27" s="64" t="n">
        <f aca="false">D6/D24</f>
        <v>0.559748427672956</v>
      </c>
      <c r="E27" s="64" t="n">
        <f aca="false">E6/E24</f>
        <v>1.78833306175656</v>
      </c>
      <c r="F27" s="29" t="s">
        <v>249</v>
      </c>
    </row>
    <row r="28" customFormat="false" ht="15" hidden="false" customHeight="false" outlineLevel="0" collapsed="false">
      <c r="A28" s="38" t="s">
        <v>250</v>
      </c>
      <c r="B28" s="38" t="s">
        <v>251</v>
      </c>
      <c r="C28" s="64" t="n">
        <f aca="false">C15*C17/C16*C5/12</f>
        <v>1179.02542372881</v>
      </c>
      <c r="D28" s="64" t="n">
        <f aca="false">D15*D17/D16*D5/12</f>
        <v>671.234375</v>
      </c>
      <c r="E28" s="64" t="n">
        <f aca="false">E15*E17/E16*E5/12</f>
        <v>14046.6101694915</v>
      </c>
      <c r="F28" s="29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253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109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65" t="s">
        <v>254</v>
      </c>
      <c r="C5" s="66" t="n">
        <v>6.25</v>
      </c>
      <c r="F5" s="29" t="s">
        <v>255</v>
      </c>
    </row>
    <row r="7" customFormat="false" ht="15" hidden="false" customHeight="false" outlineLevel="0" collapsed="false">
      <c r="A7" s="63" t="s">
        <v>256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157</v>
      </c>
      <c r="B8" s="0" t="s">
        <v>152</v>
      </c>
      <c r="C8" s="67" t="n">
        <f aca="false">Inventory!C6*Inventory!C10/100/$C$5</f>
        <v>126.8736</v>
      </c>
      <c r="D8" s="67" t="n">
        <f aca="false">Inventory!D6*Inventory!D10/100/$C$5</f>
        <v>5.696</v>
      </c>
      <c r="E8" s="67" t="n">
        <f aca="false">Inventory!E6*Inventory!E10/100/$C$5</f>
        <v>737.52</v>
      </c>
      <c r="F8" s="29" t="s">
        <v>257</v>
      </c>
    </row>
    <row r="9" customFormat="false" ht="15" hidden="false" customHeight="false" outlineLevel="0" collapsed="false">
      <c r="A9" s="0" t="s">
        <v>171</v>
      </c>
      <c r="B9" s="0" t="s">
        <v>152</v>
      </c>
      <c r="C9" s="68" t="n">
        <v>29</v>
      </c>
      <c r="D9" s="68" t="n">
        <v>4.5</v>
      </c>
      <c r="E9" s="68" t="n">
        <v>148.8</v>
      </c>
      <c r="F9" s="29" t="s">
        <v>126</v>
      </c>
    </row>
    <row r="10" customFormat="false" ht="15" hidden="false" customHeight="false" outlineLevel="0" collapsed="false">
      <c r="A10" s="0" t="s">
        <v>173</v>
      </c>
      <c r="B10" s="0" t="s">
        <v>152</v>
      </c>
      <c r="C10" s="68" t="n">
        <v>30.6</v>
      </c>
      <c r="D10" s="68" t="n">
        <v>1.8</v>
      </c>
      <c r="E10" s="68" t="n">
        <v>0</v>
      </c>
      <c r="F10" s="29" t="s">
        <v>126</v>
      </c>
    </row>
    <row r="11" customFormat="false" ht="15" hidden="false" customHeight="false" outlineLevel="0" collapsed="false">
      <c r="A11" s="0" t="s">
        <v>258</v>
      </c>
      <c r="B11" s="0" t="s">
        <v>152</v>
      </c>
      <c r="C11" s="44" t="n">
        <f aca="false">C8-C9-C10</f>
        <v>67.2736</v>
      </c>
      <c r="D11" s="44" t="n">
        <f aca="false">D8-D9-D10</f>
        <v>-0.603999999999999</v>
      </c>
      <c r="E11" s="44" t="n">
        <f aca="false">E8-E9-E10</f>
        <v>588.72</v>
      </c>
      <c r="F11" s="29" t="s">
        <v>259</v>
      </c>
    </row>
    <row r="12" customFormat="false" ht="15" hidden="false" customHeight="false" outlineLevel="0" collapsed="false">
      <c r="A12" s="0" t="s">
        <v>260</v>
      </c>
      <c r="B12" s="0" t="s">
        <v>152</v>
      </c>
      <c r="C12" s="68" t="n">
        <v>67.2</v>
      </c>
      <c r="D12" s="68" t="n">
        <v>-0.5</v>
      </c>
      <c r="E12" s="68" t="n">
        <v>588.7</v>
      </c>
      <c r="F12" s="29" t="s">
        <v>261</v>
      </c>
    </row>
    <row r="13" customFormat="false" ht="15" hidden="false" customHeight="false" outlineLevel="0" collapsed="false">
      <c r="A13" s="0" t="s">
        <v>176</v>
      </c>
      <c r="B13" s="0" t="s">
        <v>177</v>
      </c>
      <c r="C13" s="69" t="n">
        <f aca="false">(C9+C10)/C8</f>
        <v>0.469758878127522</v>
      </c>
      <c r="D13" s="69" t="n">
        <f aca="false">(D9+D10)/D8</f>
        <v>1.1060393258427</v>
      </c>
      <c r="E13" s="69" t="n">
        <f aca="false">(E9+E10)/E8</f>
        <v>0.201757240481614</v>
      </c>
      <c r="F13" s="29" t="s">
        <v>262</v>
      </c>
    </row>
    <row r="14" customFormat="false" ht="15" hidden="false" customHeight="false" outlineLevel="0" collapsed="false">
      <c r="A14" s="0" t="s">
        <v>263</v>
      </c>
      <c r="B14" s="0" t="s">
        <v>152</v>
      </c>
      <c r="C14" s="70" t="n">
        <f aca="false">C11*Inventory!C25</f>
        <v>54.7384865744508</v>
      </c>
      <c r="D14" s="70" t="n">
        <f aca="false">D11*Inventory!D25</f>
        <v>-3.79874213836478</v>
      </c>
      <c r="E14" s="70" t="n">
        <f aca="false">E11*Inventory!E25</f>
        <v>95.9296072999837</v>
      </c>
      <c r="F14" s="29" t="s">
        <v>264</v>
      </c>
    </row>
    <row r="16" customFormat="false" ht="15" hidden="false" customHeight="false" outlineLevel="0" collapsed="false">
      <c r="A16" s="63" t="s">
        <v>265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266</v>
      </c>
      <c r="B17" s="0" t="s">
        <v>152</v>
      </c>
      <c r="C17" s="67" t="n">
        <f aca="false">Inventory!C6*Inventory!C14/100</f>
        <v>26.432</v>
      </c>
      <c r="D17" s="67" t="n">
        <f aca="false">Inventory!D6*Inventory!D14/100</f>
        <v>1.157</v>
      </c>
      <c r="E17" s="67" t="n">
        <f aca="false">Inventory!E6*Inventory!E14/100</f>
        <v>153.65</v>
      </c>
      <c r="F17" s="29" t="s">
        <v>257</v>
      </c>
    </row>
    <row r="18" customFormat="false" ht="15" hidden="false" customHeight="false" outlineLevel="0" collapsed="false">
      <c r="A18" s="0" t="s">
        <v>267</v>
      </c>
      <c r="B18" s="0" t="s">
        <v>152</v>
      </c>
      <c r="C18" s="68" t="n">
        <v>5.9</v>
      </c>
      <c r="D18" s="68" t="n">
        <v>1</v>
      </c>
      <c r="E18" s="68" t="n">
        <v>25</v>
      </c>
      <c r="F18" s="29" t="s">
        <v>126</v>
      </c>
    </row>
    <row r="19" customFormat="false" ht="15" hidden="false" customHeight="false" outlineLevel="0" collapsed="false">
      <c r="A19" s="0" t="s">
        <v>268</v>
      </c>
      <c r="B19" s="0" t="s">
        <v>152</v>
      </c>
      <c r="C19" s="68" t="n">
        <v>2.6</v>
      </c>
      <c r="D19" s="68" t="n">
        <v>0.1</v>
      </c>
      <c r="E19" s="68" t="n">
        <v>0</v>
      </c>
      <c r="F19" s="29" t="s">
        <v>126</v>
      </c>
    </row>
    <row r="20" customFormat="false" ht="15" hidden="false" customHeight="false" outlineLevel="0" collapsed="false">
      <c r="A20" s="0" t="s">
        <v>269</v>
      </c>
      <c r="B20" s="0" t="s">
        <v>152</v>
      </c>
      <c r="C20" s="44" t="n">
        <f aca="false">C17-C18-C19</f>
        <v>17.932</v>
      </c>
      <c r="D20" s="44" t="n">
        <f aca="false">D17-D18-D19</f>
        <v>0.057</v>
      </c>
      <c r="E20" s="44" t="n">
        <f aca="false">E17-E18-E19</f>
        <v>128.65</v>
      </c>
      <c r="F20" s="29" t="s">
        <v>259</v>
      </c>
    </row>
    <row r="21" customFormat="false" ht="15" hidden="false" customHeight="false" outlineLevel="0" collapsed="false">
      <c r="A21" s="0" t="s">
        <v>270</v>
      </c>
      <c r="B21" s="0" t="s">
        <v>152</v>
      </c>
      <c r="C21" s="68" t="n">
        <v>18</v>
      </c>
      <c r="D21" s="68" t="n">
        <v>0</v>
      </c>
      <c r="E21" s="68" t="n">
        <v>128.7</v>
      </c>
      <c r="F21" s="29" t="s">
        <v>261</v>
      </c>
    </row>
    <row r="22" customFormat="false" ht="15" hidden="false" customHeight="false" outlineLevel="0" collapsed="false">
      <c r="A22" s="0" t="s">
        <v>271</v>
      </c>
      <c r="B22" s="0" t="s">
        <v>177</v>
      </c>
      <c r="C22" s="69" t="n">
        <f aca="false">(C18+C19)/C17</f>
        <v>0.3215799031477</v>
      </c>
      <c r="D22" s="69" t="n">
        <f aca="false">(D18+D19)/D17</f>
        <v>0.950734658599827</v>
      </c>
      <c r="E22" s="69" t="n">
        <f aca="false">(E18+E19)/E17</f>
        <v>0.162707452001302</v>
      </c>
      <c r="F22" s="29" t="s">
        <v>262</v>
      </c>
    </row>
    <row r="23" customFormat="false" ht="15" hidden="false" customHeight="false" outlineLevel="0" collapsed="false">
      <c r="A23" s="0" t="s">
        <v>272</v>
      </c>
      <c r="B23" s="0" t="s">
        <v>152</v>
      </c>
      <c r="C23" s="70" t="n">
        <f aca="false">C20*Inventory!C25</f>
        <v>14.5907241659886</v>
      </c>
      <c r="D23" s="70" t="n">
        <f aca="false">D20*Inventory!D25</f>
        <v>0.358490566037736</v>
      </c>
      <c r="E23" s="70" t="n">
        <f aca="false">E20*Inventory!E25</f>
        <v>20.9630112432785</v>
      </c>
      <c r="F23" s="2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5" min="3" style="0" width="22"/>
    <col collapsed="false" customWidth="true" hidden="false" outlineLevel="0" max="6" min="6" style="0" width="8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28" t="s">
        <v>273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274</v>
      </c>
    </row>
    <row r="5" customFormat="false" ht="21.75" hidden="false" customHeight="true" outlineLevel="0" collapsed="false">
      <c r="A5" s="71" t="s">
        <v>275</v>
      </c>
      <c r="B5" s="72"/>
      <c r="C5" s="72"/>
      <c r="D5" s="72"/>
      <c r="E5" s="72"/>
      <c r="F5" s="72"/>
      <c r="G5" s="72"/>
    </row>
    <row r="6" customFormat="false" ht="26.85" hidden="false" customHeight="false" outlineLevel="0" collapsed="false">
      <c r="A6" s="73" t="s">
        <v>276</v>
      </c>
      <c r="B6" s="73" t="s">
        <v>277</v>
      </c>
      <c r="C6" s="73" t="s">
        <v>11</v>
      </c>
      <c r="D6" s="73" t="s">
        <v>15</v>
      </c>
      <c r="E6" s="73" t="s">
        <v>19</v>
      </c>
      <c r="F6" s="73" t="s">
        <v>150</v>
      </c>
      <c r="G6" s="73" t="s">
        <v>278</v>
      </c>
    </row>
    <row r="7" customFormat="false" ht="15" hidden="false" customHeight="false" outlineLevel="0" collapsed="false">
      <c r="A7" s="74" t="s">
        <v>279</v>
      </c>
    </row>
    <row r="8" customFormat="false" ht="15" hidden="false" customHeight="false" outlineLevel="0" collapsed="false">
      <c r="A8" s="14" t="s">
        <v>280</v>
      </c>
      <c r="B8" s="75" t="s">
        <v>281</v>
      </c>
      <c r="C8" s="44" t="n">
        <f aca="false">Inventory!C6*Inventory!C25</f>
        <v>1536.20829943043</v>
      </c>
      <c r="D8" s="44" t="n">
        <f aca="false">Inventory!D6*Inventory!D25</f>
        <v>559.748427672956</v>
      </c>
      <c r="E8" s="44" t="n">
        <f aca="false">Inventory!E6*Inventory!E25</f>
        <v>1788.33306175656</v>
      </c>
      <c r="F8" s="38" t="s">
        <v>152</v>
      </c>
      <c r="G8" s="29" t="s">
        <v>282</v>
      </c>
    </row>
    <row r="9" customFormat="false" ht="15" hidden="false" customHeight="false" outlineLevel="0" collapsed="false">
      <c r="A9" s="14" t="s">
        <v>283</v>
      </c>
      <c r="B9" s="75" t="s">
        <v>281</v>
      </c>
      <c r="C9" s="44" t="n">
        <f aca="false">Inventory!C8*Inventory!C25</f>
        <v>550.854353132628</v>
      </c>
      <c r="D9" s="44" t="n">
        <f aca="false">Inventory!D8*Inventory!D25</f>
        <v>283.018867924528</v>
      </c>
      <c r="E9" s="44" t="n">
        <f aca="false">Inventory!E8*Inventory!E25</f>
        <v>14.8280919015806</v>
      </c>
      <c r="F9" s="38" t="s">
        <v>152</v>
      </c>
      <c r="G9" s="29" t="s">
        <v>284</v>
      </c>
    </row>
    <row r="10" customFormat="false" ht="15" hidden="false" customHeight="false" outlineLevel="0" collapsed="false">
      <c r="A10" s="14" t="s">
        <v>285</v>
      </c>
      <c r="B10" s="75" t="s">
        <v>281</v>
      </c>
      <c r="C10" s="44" t="n">
        <f aca="false">Inventory!C9*Inventory!C25</f>
        <v>4.47518307567128</v>
      </c>
      <c r="D10" s="44" t="n">
        <f aca="false">Inventory!D9*Inventory!D25</f>
        <v>90.5660377358491</v>
      </c>
      <c r="E10" s="44" t="n">
        <f aca="false">Inventory!E9*Inventory!E25</f>
        <v>0</v>
      </c>
      <c r="F10" s="38" t="s">
        <v>152</v>
      </c>
      <c r="G10" s="29"/>
    </row>
    <row r="11" customFormat="false" ht="15" hidden="false" customHeight="false" outlineLevel="0" collapsed="false">
      <c r="A11" s="74" t="s">
        <v>286</v>
      </c>
    </row>
    <row r="12" customFormat="false" ht="15" hidden="false" customHeight="false" outlineLevel="0" collapsed="false">
      <c r="A12" s="14" t="s">
        <v>287</v>
      </c>
      <c r="B12" s="75" t="s">
        <v>288</v>
      </c>
      <c r="C12" s="44" t="n">
        <f aca="false">Inventory!C7*Inventory!C25</f>
        <v>82270.1383238405</v>
      </c>
      <c r="D12" s="44" t="n">
        <f aca="false">Inventory!D7*Inventory!D25</f>
        <v>45188.679245283</v>
      </c>
      <c r="E12" s="44" t="n">
        <f aca="false">Inventory!E7*Inventory!E25</f>
        <v>195822.71468144</v>
      </c>
      <c r="F12" s="38" t="s">
        <v>162</v>
      </c>
      <c r="G12" s="29" t="s">
        <v>289</v>
      </c>
    </row>
    <row r="13" customFormat="false" ht="15" hidden="false" customHeight="false" outlineLevel="0" collapsed="false">
      <c r="A13" s="14" t="s">
        <v>290</v>
      </c>
      <c r="B13" s="75" t="s">
        <v>288</v>
      </c>
      <c r="C13" s="44" t="n">
        <f aca="false">Inventory!C28*Inventory!C25</f>
        <v>959.337204010426</v>
      </c>
      <c r="D13" s="44" t="n">
        <f aca="false">Inventory!D28*Inventory!D25</f>
        <v>4221.5998427673</v>
      </c>
      <c r="E13" s="44" t="n">
        <f aca="false">Inventory!E28*Inventory!E25</f>
        <v>2288.83985163623</v>
      </c>
      <c r="F13" s="38" t="s">
        <v>251</v>
      </c>
      <c r="G13" s="29" t="s">
        <v>291</v>
      </c>
    </row>
    <row r="14" customFormat="false" ht="15" hidden="false" customHeight="false" outlineLevel="0" collapsed="false">
      <c r="A14" s="74" t="s">
        <v>292</v>
      </c>
    </row>
    <row r="15" customFormat="false" ht="15" hidden="false" customHeight="false" outlineLevel="0" collapsed="false">
      <c r="A15" s="14" t="s">
        <v>293</v>
      </c>
      <c r="B15" s="75" t="s">
        <v>281</v>
      </c>
      <c r="C15" s="76" t="s">
        <v>294</v>
      </c>
      <c r="D15" s="76" t="s">
        <v>294</v>
      </c>
      <c r="E15" s="76" t="s">
        <v>294</v>
      </c>
      <c r="F15" s="38"/>
      <c r="G15" s="29" t="s">
        <v>295</v>
      </c>
    </row>
    <row r="16" customFormat="false" ht="15" hidden="false" customHeight="false" outlineLevel="0" collapsed="false">
      <c r="A16" s="14" t="s">
        <v>296</v>
      </c>
      <c r="B16" s="75" t="s">
        <v>281</v>
      </c>
      <c r="C16" s="76" t="s">
        <v>294</v>
      </c>
      <c r="D16" s="76" t="s">
        <v>294</v>
      </c>
      <c r="E16" s="76" t="s">
        <v>294</v>
      </c>
      <c r="F16" s="38"/>
      <c r="G16" s="29" t="s">
        <v>297</v>
      </c>
    </row>
    <row r="17" customFormat="false" ht="15" hidden="false" customHeight="false" outlineLevel="0" collapsed="false">
      <c r="A17" s="14" t="s">
        <v>298</v>
      </c>
      <c r="B17" s="75" t="s">
        <v>281</v>
      </c>
      <c r="C17" s="76" t="s">
        <v>294</v>
      </c>
      <c r="D17" s="76" t="s">
        <v>294</v>
      </c>
      <c r="E17" s="76" t="s">
        <v>294</v>
      </c>
      <c r="F17" s="38"/>
      <c r="G17" s="29" t="s">
        <v>299</v>
      </c>
    </row>
    <row r="18" customFormat="false" ht="15" hidden="false" customHeight="false" outlineLevel="0" collapsed="false">
      <c r="A18" s="14" t="s">
        <v>300</v>
      </c>
      <c r="B18" s="75" t="s">
        <v>281</v>
      </c>
      <c r="C18" s="76" t="s">
        <v>294</v>
      </c>
      <c r="D18" s="76" t="s">
        <v>294</v>
      </c>
      <c r="E18" s="76" t="s">
        <v>294</v>
      </c>
      <c r="F18" s="38"/>
      <c r="G18" s="29" t="s">
        <v>301</v>
      </c>
    </row>
    <row r="19" customFormat="false" ht="15" hidden="false" customHeight="false" outlineLevel="0" collapsed="false">
      <c r="A19" s="14" t="s">
        <v>302</v>
      </c>
      <c r="B19" s="75" t="s">
        <v>281</v>
      </c>
      <c r="C19" s="76" t="s">
        <v>294</v>
      </c>
      <c r="D19" s="76" t="s">
        <v>294</v>
      </c>
      <c r="E19" s="76" t="s">
        <v>294</v>
      </c>
      <c r="F19" s="38"/>
      <c r="G19" s="29" t="s">
        <v>303</v>
      </c>
    </row>
    <row r="20" customFormat="false" ht="15" hidden="false" customHeight="false" outlineLevel="0" collapsed="false">
      <c r="A20" s="14" t="s">
        <v>304</v>
      </c>
      <c r="B20" s="75" t="s">
        <v>281</v>
      </c>
      <c r="C20" s="76" t="s">
        <v>294</v>
      </c>
      <c r="D20" s="76" t="s">
        <v>294</v>
      </c>
      <c r="E20" s="76" t="s">
        <v>294</v>
      </c>
      <c r="F20" s="38"/>
      <c r="G20" s="29" t="s">
        <v>305</v>
      </c>
    </row>
    <row r="23" customFormat="false" ht="21.75" hidden="false" customHeight="true" outlineLevel="0" collapsed="false">
      <c r="A23" s="77" t="s">
        <v>306</v>
      </c>
      <c r="B23" s="1"/>
      <c r="C23" s="1"/>
      <c r="D23" s="1"/>
      <c r="E23" s="1"/>
      <c r="F23" s="1"/>
      <c r="G23" s="1"/>
    </row>
    <row r="24" customFormat="false" ht="26.85" hidden="false" customHeight="false" outlineLevel="0" collapsed="false">
      <c r="A24" s="78" t="s">
        <v>276</v>
      </c>
      <c r="B24" s="78" t="s">
        <v>277</v>
      </c>
      <c r="C24" s="78" t="s">
        <v>11</v>
      </c>
      <c r="D24" s="78" t="s">
        <v>15</v>
      </c>
      <c r="E24" s="78" t="s">
        <v>19</v>
      </c>
      <c r="F24" s="78" t="s">
        <v>150</v>
      </c>
      <c r="G24" s="78" t="s">
        <v>278</v>
      </c>
    </row>
    <row r="25" customFormat="false" ht="15" hidden="false" customHeight="false" outlineLevel="0" collapsed="false">
      <c r="A25" s="79" t="s">
        <v>307</v>
      </c>
    </row>
    <row r="26" customFormat="false" ht="15" hidden="false" customHeight="false" outlineLevel="0" collapsed="false">
      <c r="A26" s="14" t="s">
        <v>308</v>
      </c>
      <c r="B26" s="80" t="s">
        <v>309</v>
      </c>
      <c r="C26" s="44" t="n">
        <f aca="false">1</f>
        <v>1</v>
      </c>
      <c r="D26" s="44" t="n">
        <f aca="false">1</f>
        <v>1</v>
      </c>
      <c r="E26" s="44" t="n">
        <f aca="false">1</f>
        <v>1</v>
      </c>
      <c r="F26" s="38" t="s">
        <v>310</v>
      </c>
      <c r="G26" s="29" t="s">
        <v>311</v>
      </c>
    </row>
    <row r="27" customFormat="false" ht="15" hidden="false" customHeight="false" outlineLevel="0" collapsed="false">
      <c r="A27" s="14" t="s">
        <v>312</v>
      </c>
      <c r="B27" s="80" t="s">
        <v>313</v>
      </c>
      <c r="C27" s="44" t="n">
        <f aca="false">Inventory!C18*Inventory!C25</f>
        <v>894.222945484133</v>
      </c>
      <c r="D27" s="44" t="n">
        <f aca="false">Inventory!D18*Inventory!D25</f>
        <v>408.805031446541</v>
      </c>
      <c r="E27" s="44" t="n">
        <f aca="false">Inventory!E18*Inventory!E25</f>
        <v>1000</v>
      </c>
      <c r="F27" s="38" t="s">
        <v>152</v>
      </c>
      <c r="G27" s="29" t="s">
        <v>314</v>
      </c>
    </row>
    <row r="28" customFormat="false" ht="15" hidden="false" customHeight="false" outlineLevel="0" collapsed="false">
      <c r="A28" s="14" t="s">
        <v>315</v>
      </c>
      <c r="B28" s="80" t="s">
        <v>313</v>
      </c>
      <c r="C28" s="44" t="n">
        <f aca="false">Inventory!C19*Inventory!C25</f>
        <v>105.777054515867</v>
      </c>
      <c r="D28" s="44" t="n">
        <f aca="false">Inventory!D19*Inventory!D25</f>
        <v>591.194968553459</v>
      </c>
      <c r="E28" s="44" t="n">
        <f aca="false">Inventory!E19*Inventory!E25</f>
        <v>0</v>
      </c>
      <c r="F28" s="38" t="s">
        <v>152</v>
      </c>
      <c r="G28" s="29" t="s">
        <v>314</v>
      </c>
    </row>
    <row r="29" customFormat="false" ht="15" hidden="false" customHeight="false" outlineLevel="0" collapsed="false">
      <c r="A29" s="79" t="s">
        <v>316</v>
      </c>
    </row>
    <row r="30" customFormat="false" ht="15" hidden="false" customHeight="false" outlineLevel="0" collapsed="false">
      <c r="A30" s="14" t="s">
        <v>317</v>
      </c>
      <c r="B30" s="80" t="s">
        <v>318</v>
      </c>
      <c r="C30" s="44" t="n">
        <f aca="false">Inventory!C20*Inventory!C25</f>
        <v>995.93165174939</v>
      </c>
      <c r="D30" s="44" t="n">
        <f aca="false">Inventory!D20*Inventory!D25</f>
        <v>222641.509433962</v>
      </c>
      <c r="E30" s="44" t="n">
        <f aca="false">Inventory!E20*Inventory!E25</f>
        <v>0</v>
      </c>
      <c r="F30" s="38" t="s">
        <v>152</v>
      </c>
      <c r="G30" s="29" t="s">
        <v>319</v>
      </c>
    </row>
    <row r="31" customFormat="false" ht="15" hidden="false" customHeight="false" outlineLevel="0" collapsed="false">
      <c r="A31" s="79" t="s">
        <v>320</v>
      </c>
    </row>
    <row r="32" customFormat="false" ht="15" hidden="false" customHeight="false" outlineLevel="0" collapsed="false">
      <c r="A32" s="14" t="s">
        <v>321</v>
      </c>
      <c r="B32" s="80" t="s">
        <v>322</v>
      </c>
      <c r="C32" s="44" t="n">
        <f aca="false">'Nutrient balance'!C14</f>
        <v>54.7384865744508</v>
      </c>
      <c r="D32" s="44" t="n">
        <f aca="false">'Nutrient balance'!D14</f>
        <v>-3.79874213836478</v>
      </c>
      <c r="E32" s="44" t="n">
        <f aca="false">'Nutrient balance'!E14</f>
        <v>95.9296072999837</v>
      </c>
      <c r="F32" s="38" t="s">
        <v>158</v>
      </c>
      <c r="G32" s="29" t="s">
        <v>323</v>
      </c>
    </row>
    <row r="33" customFormat="false" ht="15" hidden="false" customHeight="false" outlineLevel="0" collapsed="false">
      <c r="A33" s="14" t="s">
        <v>324</v>
      </c>
      <c r="B33" s="80" t="s">
        <v>322</v>
      </c>
      <c r="C33" s="44" t="n">
        <f aca="false">'Nutrient balance'!C23</f>
        <v>14.5907241659886</v>
      </c>
      <c r="D33" s="44" t="n">
        <f aca="false">'Nutrient balance'!D23</f>
        <v>0.358490566037736</v>
      </c>
      <c r="E33" s="44" t="n">
        <f aca="false">'Nutrient balance'!E23</f>
        <v>20.9630112432785</v>
      </c>
      <c r="F33" s="38" t="s">
        <v>325</v>
      </c>
      <c r="G33" s="29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326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327</v>
      </c>
    </row>
    <row r="4" customFormat="false" ht="26.85" hidden="false" customHeight="false" outlineLevel="0" collapsed="false">
      <c r="A4" s="8" t="s">
        <v>328</v>
      </c>
      <c r="B4" s="8" t="s">
        <v>150</v>
      </c>
      <c r="C4" s="8" t="s">
        <v>11</v>
      </c>
      <c r="D4" s="8" t="s">
        <v>15</v>
      </c>
      <c r="E4" s="8" t="s">
        <v>19</v>
      </c>
      <c r="F4" s="8"/>
      <c r="G4" s="8" t="s">
        <v>329</v>
      </c>
      <c r="H4" s="8" t="s">
        <v>330</v>
      </c>
      <c r="I4" s="8" t="s">
        <v>331</v>
      </c>
    </row>
    <row r="5" customFormat="false" ht="15" hidden="false" customHeight="false" outlineLevel="0" collapsed="false">
      <c r="A5" s="63" t="s">
        <v>332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8" t="s">
        <v>333</v>
      </c>
      <c r="B6" s="38" t="s">
        <v>334</v>
      </c>
      <c r="C6" s="81" t="n">
        <v>137</v>
      </c>
      <c r="D6" s="81" t="n">
        <v>12</v>
      </c>
      <c r="E6" s="81" t="n">
        <v>13</v>
      </c>
      <c r="G6" s="82" t="n">
        <f aca="false">IF(C$18=0,0,C6/C$18)</f>
        <v>0.0489111031774366</v>
      </c>
      <c r="H6" s="82" t="n">
        <f aca="false">IF(D$18=0,0,D6/D$18)</f>
        <v>0.00956175298804781</v>
      </c>
      <c r="I6" s="82" t="n">
        <f aca="false">IF(E$18=0,0,E6/E$18)</f>
        <v>0.00458392101551481</v>
      </c>
    </row>
    <row r="7" customFormat="false" ht="15" hidden="false" customHeight="false" outlineLevel="0" collapsed="false">
      <c r="A7" s="38" t="s">
        <v>335</v>
      </c>
      <c r="B7" s="38" t="s">
        <v>334</v>
      </c>
      <c r="C7" s="81" t="n">
        <v>330</v>
      </c>
      <c r="D7" s="81" t="n">
        <v>6</v>
      </c>
      <c r="E7" s="81" t="n">
        <v>474</v>
      </c>
      <c r="G7" s="82" t="n">
        <f aca="false">IF(C$18=0,0,C7/C$18)</f>
        <v>0.11781506604784</v>
      </c>
      <c r="H7" s="82" t="n">
        <f aca="false">IF(D$18=0,0,D7/D$18)</f>
        <v>0.0047808764940239</v>
      </c>
      <c r="I7" s="82" t="n">
        <f aca="false">IF(E$18=0,0,E7/E$18)</f>
        <v>0.167136812411848</v>
      </c>
    </row>
    <row r="8" customFormat="false" ht="15" hidden="false" customHeight="false" outlineLevel="0" collapsed="false">
      <c r="A8" s="38" t="s">
        <v>336</v>
      </c>
      <c r="B8" s="38" t="s">
        <v>334</v>
      </c>
      <c r="C8" s="81" t="n">
        <v>0</v>
      </c>
      <c r="D8" s="81" t="n">
        <v>0</v>
      </c>
      <c r="E8" s="81" t="n">
        <v>0</v>
      </c>
      <c r="G8" s="82" t="n">
        <f aca="false">IF(C$18=0,0,C8/C$18)</f>
        <v>0</v>
      </c>
      <c r="H8" s="82" t="n">
        <f aca="false">IF(D$18=0,0,D8/D$18)</f>
        <v>0</v>
      </c>
      <c r="I8" s="82" t="n">
        <f aca="false">IF(E$18=0,0,E8/E$18)</f>
        <v>0</v>
      </c>
    </row>
    <row r="9" customFormat="false" ht="15" hidden="false" customHeight="false" outlineLevel="0" collapsed="false">
      <c r="A9" s="38" t="s">
        <v>337</v>
      </c>
      <c r="B9" s="38" t="s">
        <v>334</v>
      </c>
      <c r="C9" s="81" t="n">
        <v>32</v>
      </c>
      <c r="D9" s="81" t="n">
        <v>8</v>
      </c>
      <c r="E9" s="81" t="n">
        <v>80</v>
      </c>
      <c r="G9" s="82" t="n">
        <f aca="false">IF(C$18=0,0,C9/C$18)</f>
        <v>0.0114244912531239</v>
      </c>
      <c r="H9" s="82" t="n">
        <f aca="false">IF(D$18=0,0,D9/D$18)</f>
        <v>0.00637450199203187</v>
      </c>
      <c r="I9" s="82" t="n">
        <f aca="false">IF(E$18=0,0,E9/E$18)</f>
        <v>0.0282087447108604</v>
      </c>
    </row>
    <row r="10" customFormat="false" ht="15" hidden="false" customHeight="false" outlineLevel="0" collapsed="false">
      <c r="A10" s="38" t="s">
        <v>338</v>
      </c>
      <c r="B10" s="38" t="s">
        <v>334</v>
      </c>
      <c r="C10" s="81" t="n">
        <v>0</v>
      </c>
      <c r="D10" s="81" t="n">
        <v>0</v>
      </c>
      <c r="E10" s="81" t="n">
        <v>0</v>
      </c>
      <c r="G10" s="82" t="n">
        <f aca="false">IF(C$18=0,0,C10/C$18)</f>
        <v>0</v>
      </c>
      <c r="H10" s="82" t="n">
        <f aca="false">IF(D$18=0,0,D10/D$18)</f>
        <v>0</v>
      </c>
      <c r="I10" s="82" t="n">
        <f aca="false">IF(E$18=0,0,E10/E$18)</f>
        <v>0</v>
      </c>
    </row>
    <row r="11" customFormat="false" ht="15" hidden="false" customHeight="false" outlineLevel="0" collapsed="false">
      <c r="A11" s="38" t="s">
        <v>339</v>
      </c>
      <c r="B11" s="38" t="s">
        <v>334</v>
      </c>
      <c r="C11" s="81" t="n">
        <v>0</v>
      </c>
      <c r="D11" s="81" t="n">
        <v>30</v>
      </c>
      <c r="E11" s="81" t="n">
        <v>0</v>
      </c>
      <c r="G11" s="82" t="n">
        <f aca="false">IF(C$18=0,0,C11/C$18)</f>
        <v>0</v>
      </c>
      <c r="H11" s="82" t="n">
        <f aca="false">IF(D$18=0,0,D11/D$18)</f>
        <v>0.0239043824701195</v>
      </c>
      <c r="I11" s="82" t="n">
        <f aca="false">IF(E$18=0,0,E11/E$18)</f>
        <v>0</v>
      </c>
    </row>
    <row r="12" customFormat="false" ht="15" hidden="false" customHeight="false" outlineLevel="0" collapsed="false">
      <c r="A12" s="38" t="s">
        <v>340</v>
      </c>
      <c r="B12" s="38" t="s">
        <v>334</v>
      </c>
      <c r="C12" s="81" t="n">
        <v>386</v>
      </c>
      <c r="D12" s="81" t="n">
        <v>228</v>
      </c>
      <c r="E12" s="81" t="n">
        <v>15</v>
      </c>
      <c r="G12" s="82" t="n">
        <f aca="false">IF(C$18=0,0,C12/C$18)</f>
        <v>0.137807925740807</v>
      </c>
      <c r="H12" s="82" t="n">
        <f aca="false">IF(D$18=0,0,D12/D$18)</f>
        <v>0.181673306772908</v>
      </c>
      <c r="I12" s="82" t="n">
        <f aca="false">IF(E$18=0,0,E12/E$18)</f>
        <v>0.00528913963328632</v>
      </c>
    </row>
    <row r="13" customFormat="false" ht="15" hidden="false" customHeight="false" outlineLevel="0" collapsed="false">
      <c r="A13" s="38" t="s">
        <v>182</v>
      </c>
      <c r="B13" s="38" t="s">
        <v>334</v>
      </c>
      <c r="C13" s="81" t="n">
        <v>43</v>
      </c>
      <c r="D13" s="81" t="n">
        <v>29</v>
      </c>
      <c r="E13" s="81" t="n">
        <v>1</v>
      </c>
      <c r="G13" s="82" t="n">
        <f aca="false">IF(C$18=0,0,C13/C$18)</f>
        <v>0.0153516601213852</v>
      </c>
      <c r="H13" s="82" t="n">
        <f aca="false">IF(D$18=0,0,D13/D$18)</f>
        <v>0.0231075697211155</v>
      </c>
      <c r="I13" s="82" t="n">
        <f aca="false">IF(E$18=0,0,E13/E$18)</f>
        <v>0.000352609308885755</v>
      </c>
    </row>
    <row r="14" customFormat="false" ht="15" hidden="false" customHeight="false" outlineLevel="0" collapsed="false">
      <c r="A14" s="38" t="s">
        <v>341</v>
      </c>
      <c r="B14" s="38" t="s">
        <v>334</v>
      </c>
      <c r="C14" s="81" t="n">
        <v>1549</v>
      </c>
      <c r="D14" s="81" t="n">
        <v>733</v>
      </c>
      <c r="E14" s="81" t="n">
        <v>1873</v>
      </c>
      <c r="G14" s="82" t="n">
        <f aca="false">IF(C$18=0,0,C14/C$18)</f>
        <v>0.553016779721528</v>
      </c>
      <c r="H14" s="82" t="n">
        <f aca="false">IF(D$18=0,0,D14/D$18)</f>
        <v>0.58406374501992</v>
      </c>
      <c r="I14" s="82" t="n">
        <f aca="false">IF(E$18=0,0,E14/E$18)</f>
        <v>0.660437235543018</v>
      </c>
    </row>
    <row r="15" customFormat="false" ht="15" hidden="false" customHeight="false" outlineLevel="0" collapsed="false">
      <c r="A15" s="38" t="s">
        <v>342</v>
      </c>
      <c r="B15" s="38" t="s">
        <v>334</v>
      </c>
      <c r="C15" s="81" t="n">
        <v>325</v>
      </c>
      <c r="D15" s="81" t="n">
        <v>208</v>
      </c>
      <c r="E15" s="81" t="n">
        <v>379</v>
      </c>
      <c r="G15" s="82" t="n">
        <f aca="false">IF(C$18=0,0,C15/C$18)</f>
        <v>0.116029989289539</v>
      </c>
      <c r="H15" s="82" t="n">
        <f aca="false">IF(D$18=0,0,D15/D$18)</f>
        <v>0.165737051792829</v>
      </c>
      <c r="I15" s="82" t="n">
        <f aca="false">IF(E$18=0,0,E15/E$18)</f>
        <v>0.133638928067701</v>
      </c>
    </row>
    <row r="16" customFormat="false" ht="15" hidden="false" customHeight="false" outlineLevel="0" collapsed="false">
      <c r="A16" s="38" t="s">
        <v>343</v>
      </c>
      <c r="B16" s="38" t="s">
        <v>334</v>
      </c>
      <c r="C16" s="81" t="n">
        <v>0</v>
      </c>
      <c r="D16" s="81" t="n">
        <v>0</v>
      </c>
      <c r="E16" s="81" t="n">
        <v>0</v>
      </c>
      <c r="G16" s="82" t="n">
        <f aca="false">IF(C$18=0,0,C16/C$18)</f>
        <v>0</v>
      </c>
      <c r="H16" s="82" t="n">
        <f aca="false">IF(D$18=0,0,D16/D$18)</f>
        <v>0</v>
      </c>
      <c r="I16" s="82" t="n">
        <f aca="false">IF(E$18=0,0,E16/E$18)</f>
        <v>0</v>
      </c>
    </row>
    <row r="17" customFormat="false" ht="15" hidden="false" customHeight="false" outlineLevel="0" collapsed="false">
      <c r="A17" s="29" t="s">
        <v>344</v>
      </c>
      <c r="C17" s="39" t="n">
        <f aca="false">SUM(C6:C16)</f>
        <v>2802</v>
      </c>
      <c r="D17" s="39" t="n">
        <f aca="false">SUM(D6:D16)</f>
        <v>1254</v>
      </c>
      <c r="E17" s="39" t="n">
        <f aca="false">SUM(E6:E16)</f>
        <v>2835</v>
      </c>
    </row>
    <row r="18" customFormat="false" ht="15" hidden="false" customHeight="false" outlineLevel="0" collapsed="false">
      <c r="A18" s="34" t="s">
        <v>345</v>
      </c>
      <c r="B18" s="38" t="s">
        <v>334</v>
      </c>
      <c r="C18" s="81" t="n">
        <v>2801</v>
      </c>
      <c r="D18" s="81" t="n">
        <v>1255</v>
      </c>
      <c r="E18" s="81" t="n">
        <v>2836</v>
      </c>
    </row>
    <row r="20" customFormat="false" ht="15" hidden="false" customHeight="false" outlineLevel="0" collapsed="false">
      <c r="A20" s="63" t="s">
        <v>346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8" t="s">
        <v>333</v>
      </c>
      <c r="B21" s="38" t="s">
        <v>347</v>
      </c>
      <c r="C21" s="81" t="n">
        <v>2701</v>
      </c>
      <c r="D21" s="81" t="n">
        <v>240</v>
      </c>
      <c r="E21" s="81" t="n">
        <v>263</v>
      </c>
      <c r="G21" s="82" t="n">
        <f aca="false">IF(C$33=0,0,C21/C$33)</f>
        <v>0.0299688217737193</v>
      </c>
      <c r="H21" s="82" t="n">
        <f aca="false">IF(D$33=0,0,D21/D$33)</f>
        <v>0.0125674189663298</v>
      </c>
      <c r="I21" s="82" t="n">
        <f aca="false">IF(E$33=0,0,E21/E$33)</f>
        <v>0.00263271169304384</v>
      </c>
    </row>
    <row r="22" customFormat="false" ht="15" hidden="false" customHeight="false" outlineLevel="0" collapsed="false">
      <c r="A22" s="38" t="s">
        <v>335</v>
      </c>
      <c r="B22" s="38" t="s">
        <v>347</v>
      </c>
      <c r="C22" s="81" t="n">
        <v>45724</v>
      </c>
      <c r="D22" s="81" t="n">
        <v>82</v>
      </c>
      <c r="E22" s="81" t="n">
        <v>65724</v>
      </c>
      <c r="G22" s="82" t="n">
        <f aca="false">IF(C$33=0,0,C22/C$33)</f>
        <v>0.507328547494092</v>
      </c>
      <c r="H22" s="82" t="n">
        <f aca="false">IF(D$33=0,0,D22/D$33)</f>
        <v>0.00429386814682935</v>
      </c>
      <c r="I22" s="82" t="n">
        <f aca="false">IF(E$33=0,0,E22/E$33)</f>
        <v>0.65791765518484</v>
      </c>
    </row>
    <row r="23" customFormat="false" ht="15" hidden="false" customHeight="false" outlineLevel="0" collapsed="false">
      <c r="A23" s="38" t="s">
        <v>336</v>
      </c>
      <c r="B23" s="38" t="s">
        <v>347</v>
      </c>
      <c r="C23" s="81" t="n">
        <v>0</v>
      </c>
      <c r="D23" s="81" t="n">
        <v>0</v>
      </c>
      <c r="E23" s="81" t="n">
        <v>0</v>
      </c>
      <c r="G23" s="82" t="n">
        <f aca="false">IF(C$33=0,0,C23/C$33)</f>
        <v>0</v>
      </c>
      <c r="H23" s="82" t="n">
        <f aca="false">IF(D$33=0,0,D23/D$33)</f>
        <v>0</v>
      </c>
      <c r="I23" s="82" t="n">
        <f aca="false">IF(E$33=0,0,E23/E$33)</f>
        <v>0</v>
      </c>
    </row>
    <row r="24" customFormat="false" ht="15" hidden="false" customHeight="false" outlineLevel="0" collapsed="false">
      <c r="A24" s="38" t="s">
        <v>337</v>
      </c>
      <c r="B24" s="38" t="s">
        <v>347</v>
      </c>
      <c r="C24" s="81" t="n">
        <v>700</v>
      </c>
      <c r="D24" s="81" t="n">
        <v>150</v>
      </c>
      <c r="E24" s="81" t="n">
        <v>1749</v>
      </c>
      <c r="G24" s="82" t="n">
        <f aca="false">IF(C$33=0,0,C24/C$33)</f>
        <v>0.00776681793469216</v>
      </c>
      <c r="H24" s="82" t="n">
        <f aca="false">IF(D$33=0,0,D24/D$33)</f>
        <v>0.00785463685395612</v>
      </c>
      <c r="I24" s="82" t="n">
        <f aca="false">IF(E$33=0,0,E24/E$33)</f>
        <v>0.0175080332742725</v>
      </c>
    </row>
    <row r="25" customFormat="false" ht="15" hidden="false" customHeight="false" outlineLevel="0" collapsed="false">
      <c r="A25" s="38" t="s">
        <v>338</v>
      </c>
      <c r="B25" s="38" t="s">
        <v>347</v>
      </c>
      <c r="C25" s="81" t="n">
        <v>0</v>
      </c>
      <c r="D25" s="81" t="n">
        <v>0</v>
      </c>
      <c r="E25" s="81" t="n">
        <v>0</v>
      </c>
      <c r="G25" s="82" t="n">
        <f aca="false">IF(C$33=0,0,C25/C$33)</f>
        <v>0</v>
      </c>
      <c r="H25" s="82" t="n">
        <f aca="false">IF(D$33=0,0,D25/D$33)</f>
        <v>0</v>
      </c>
      <c r="I25" s="82" t="n">
        <f aca="false">IF(E$33=0,0,E25/E$33)</f>
        <v>0</v>
      </c>
    </row>
    <row r="26" customFormat="false" ht="15" hidden="false" customHeight="false" outlineLevel="0" collapsed="false">
      <c r="A26" s="38" t="s">
        <v>339</v>
      </c>
      <c r="B26" s="38" t="s">
        <v>347</v>
      </c>
      <c r="C26" s="81" t="n">
        <v>0</v>
      </c>
      <c r="D26" s="81" t="n">
        <v>664</v>
      </c>
      <c r="E26" s="81" t="n">
        <v>0</v>
      </c>
      <c r="G26" s="82" t="n">
        <f aca="false">IF(C$33=0,0,C26/C$33)</f>
        <v>0</v>
      </c>
      <c r="H26" s="82" t="n">
        <f aca="false">IF(D$33=0,0,D26/D$33)</f>
        <v>0.0347698591401791</v>
      </c>
      <c r="I26" s="82" t="n">
        <f aca="false">IF(E$33=0,0,E26/E$33)</f>
        <v>0</v>
      </c>
    </row>
    <row r="27" customFormat="false" ht="15" hidden="false" customHeight="false" outlineLevel="0" collapsed="false">
      <c r="A27" s="38" t="s">
        <v>340</v>
      </c>
      <c r="B27" s="38" t="s">
        <v>347</v>
      </c>
      <c r="C27" s="81" t="n">
        <v>14023</v>
      </c>
      <c r="D27" s="81" t="n">
        <v>6248</v>
      </c>
      <c r="E27" s="81" t="n">
        <v>555</v>
      </c>
      <c r="G27" s="82" t="n">
        <f aca="false">IF(C$33=0,0,C27/C$33)</f>
        <v>0.155591554140269</v>
      </c>
      <c r="H27" s="82" t="n">
        <f aca="false">IF(D$33=0,0,D27/D$33)</f>
        <v>0.327171807090119</v>
      </c>
      <c r="I27" s="82" t="n">
        <f aca="false">IF(E$33=0,0,E27/E$33)</f>
        <v>0.00555572239406589</v>
      </c>
    </row>
    <row r="28" customFormat="false" ht="15" hidden="false" customHeight="false" outlineLevel="0" collapsed="false">
      <c r="A28" s="38" t="s">
        <v>182</v>
      </c>
      <c r="B28" s="38" t="s">
        <v>347</v>
      </c>
      <c r="C28" s="81" t="n">
        <v>469</v>
      </c>
      <c r="D28" s="81" t="n">
        <v>316</v>
      </c>
      <c r="E28" s="81" t="n">
        <v>12</v>
      </c>
      <c r="G28" s="82" t="n">
        <f aca="false">IF(C$33=0,0,C28/C$33)</f>
        <v>0.00520376801624375</v>
      </c>
      <c r="H28" s="82" t="n">
        <f aca="false">IF(D$33=0,0,D28/D$33)</f>
        <v>0.0165471016390009</v>
      </c>
      <c r="I28" s="82" t="n">
        <f aca="false">IF(E$33=0,0,E28/E$33)</f>
        <v>0.000120123727439262</v>
      </c>
    </row>
    <row r="29" customFormat="false" ht="15" hidden="false" customHeight="false" outlineLevel="0" collapsed="false">
      <c r="A29" s="38" t="s">
        <v>341</v>
      </c>
      <c r="B29" s="38" t="s">
        <v>347</v>
      </c>
      <c r="C29" s="81" t="n">
        <v>21028</v>
      </c>
      <c r="D29" s="81" t="n">
        <v>7900</v>
      </c>
      <c r="E29" s="81" t="n">
        <v>25185</v>
      </c>
      <c r="G29" s="82" t="n">
        <f aca="false">IF(C$33=0,0,C29/C$33)</f>
        <v>0.233315210758152</v>
      </c>
      <c r="H29" s="82" t="n">
        <f aca="false">IF(D$33=0,0,D29/D$33)</f>
        <v>0.413677540975022</v>
      </c>
      <c r="I29" s="82" t="n">
        <f aca="false">IF(E$33=0,0,E29/E$33)</f>
        <v>0.252109672963152</v>
      </c>
    </row>
    <row r="30" customFormat="false" ht="15" hidden="false" customHeight="false" outlineLevel="0" collapsed="false">
      <c r="A30" s="38" t="s">
        <v>342</v>
      </c>
      <c r="B30" s="38" t="s">
        <v>347</v>
      </c>
      <c r="C30" s="81" t="n">
        <v>5483</v>
      </c>
      <c r="D30" s="81" t="n">
        <v>3497</v>
      </c>
      <c r="E30" s="81" t="n">
        <v>6409</v>
      </c>
      <c r="G30" s="82" t="n">
        <f aca="false">IF(C$33=0,0,C30/C$33)</f>
        <v>0.0608363753370244</v>
      </c>
      <c r="H30" s="82" t="n">
        <f aca="false">IF(D$33=0,0,D30/D$33)</f>
        <v>0.183117767188564</v>
      </c>
      <c r="I30" s="82" t="n">
        <f aca="false">IF(E$33=0,0,E30/E$33)</f>
        <v>0.0641560807631861</v>
      </c>
    </row>
    <row r="31" customFormat="false" ht="15" hidden="false" customHeight="false" outlineLevel="0" collapsed="false">
      <c r="A31" s="38" t="s">
        <v>343</v>
      </c>
      <c r="B31" s="38" t="s">
        <v>347</v>
      </c>
      <c r="C31" s="81" t="n">
        <v>0</v>
      </c>
      <c r="D31" s="81" t="n">
        <v>0</v>
      </c>
      <c r="E31" s="81" t="n">
        <v>0</v>
      </c>
      <c r="G31" s="82" t="n">
        <f aca="false">IF(C$33=0,0,C31/C$33)</f>
        <v>0</v>
      </c>
      <c r="H31" s="82" t="n">
        <f aca="false">IF(D$33=0,0,D31/D$33)</f>
        <v>0</v>
      </c>
      <c r="I31" s="82" t="n">
        <f aca="false">IF(E$33=0,0,E31/E$33)</f>
        <v>0</v>
      </c>
    </row>
    <row r="32" customFormat="false" ht="15" hidden="false" customHeight="false" outlineLevel="0" collapsed="false">
      <c r="A32" s="29" t="s">
        <v>344</v>
      </c>
      <c r="C32" s="39" t="n">
        <f aca="false">SUM(C21:C31)</f>
        <v>90128</v>
      </c>
      <c r="D32" s="39" t="n">
        <f aca="false">SUM(D21:D31)</f>
        <v>19097</v>
      </c>
      <c r="E32" s="39" t="n">
        <f aca="false">SUM(E21:E31)</f>
        <v>99897</v>
      </c>
    </row>
    <row r="33" customFormat="false" ht="15" hidden="false" customHeight="false" outlineLevel="0" collapsed="false">
      <c r="A33" s="34" t="s">
        <v>345</v>
      </c>
      <c r="B33" s="38" t="s">
        <v>347</v>
      </c>
      <c r="C33" s="81" t="n">
        <v>90127</v>
      </c>
      <c r="D33" s="81" t="n">
        <v>19097</v>
      </c>
      <c r="E33" s="81" t="n">
        <v>99897</v>
      </c>
    </row>
    <row r="35" customFormat="false" ht="15" hidden="false" customHeight="false" outlineLevel="0" collapsed="false">
      <c r="A35" s="63" t="s">
        <v>348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8" t="s">
        <v>333</v>
      </c>
      <c r="B36" s="38" t="s">
        <v>349</v>
      </c>
      <c r="C36" s="81" t="n">
        <v>0</v>
      </c>
      <c r="D36" s="81" t="n">
        <v>0</v>
      </c>
      <c r="E36" s="81" t="n">
        <v>0</v>
      </c>
      <c r="G36" s="82" t="n">
        <f aca="false">IF(C$48=0,0,C36/C$48)</f>
        <v>0</v>
      </c>
      <c r="H36" s="82" t="n">
        <f aca="false">IF(D$48=0,0,D36/D$48)</f>
        <v>0</v>
      </c>
      <c r="I36" s="82" t="n">
        <f aca="false">IF(E$48=0,0,E36/E$48)</f>
        <v>0</v>
      </c>
    </row>
    <row r="37" customFormat="false" ht="15" hidden="false" customHeight="false" outlineLevel="0" collapsed="false">
      <c r="A37" s="38" t="s">
        <v>335</v>
      </c>
      <c r="B37" s="38" t="s">
        <v>349</v>
      </c>
      <c r="C37" s="81" t="n">
        <v>0</v>
      </c>
      <c r="D37" s="81" t="n">
        <v>0</v>
      </c>
      <c r="E37" s="81" t="n">
        <v>0</v>
      </c>
      <c r="G37" s="82" t="n">
        <f aca="false">IF(C$48=0,0,C37/C$48)</f>
        <v>0</v>
      </c>
      <c r="H37" s="82" t="n">
        <f aca="false">IF(D$48=0,0,D37/D$48)</f>
        <v>0</v>
      </c>
      <c r="I37" s="82" t="n">
        <f aca="false">IF(E$48=0,0,E37/E$48)</f>
        <v>0</v>
      </c>
    </row>
    <row r="38" customFormat="false" ht="15" hidden="false" customHeight="false" outlineLevel="0" collapsed="false">
      <c r="A38" s="38" t="s">
        <v>336</v>
      </c>
      <c r="B38" s="38" t="s">
        <v>349</v>
      </c>
      <c r="C38" s="81" t="n">
        <v>0</v>
      </c>
      <c r="D38" s="81" t="n">
        <v>0</v>
      </c>
      <c r="E38" s="81" t="n">
        <v>0</v>
      </c>
      <c r="G38" s="82" t="n">
        <f aca="false">IF(C$48=0,0,C38/C$48)</f>
        <v>0</v>
      </c>
      <c r="H38" s="82" t="n">
        <f aca="false">IF(D$48=0,0,D38/D$48)</f>
        <v>0</v>
      </c>
      <c r="I38" s="82" t="n">
        <f aca="false">IF(E$48=0,0,E38/E$48)</f>
        <v>0</v>
      </c>
    </row>
    <row r="39" customFormat="false" ht="15" hidden="false" customHeight="false" outlineLevel="0" collapsed="false">
      <c r="A39" s="38" t="s">
        <v>337</v>
      </c>
      <c r="B39" s="38" t="s">
        <v>349</v>
      </c>
      <c r="C39" s="81" t="n">
        <v>0</v>
      </c>
      <c r="D39" s="81" t="n">
        <v>0</v>
      </c>
      <c r="E39" s="81" t="n">
        <v>0</v>
      </c>
      <c r="G39" s="82" t="n">
        <f aca="false">IF(C$48=0,0,C39/C$48)</f>
        <v>0</v>
      </c>
      <c r="H39" s="82" t="n">
        <f aca="false">IF(D$48=0,0,D39/D$48)</f>
        <v>0</v>
      </c>
      <c r="I39" s="82" t="n">
        <f aca="false">IF(E$48=0,0,E39/E$48)</f>
        <v>0</v>
      </c>
    </row>
    <row r="40" customFormat="false" ht="15" hidden="false" customHeight="false" outlineLevel="0" collapsed="false">
      <c r="A40" s="38" t="s">
        <v>338</v>
      </c>
      <c r="B40" s="38" t="s">
        <v>349</v>
      </c>
      <c r="C40" s="81" t="n">
        <v>0</v>
      </c>
      <c r="D40" s="81" t="n">
        <v>0</v>
      </c>
      <c r="E40" s="81" t="n">
        <v>0</v>
      </c>
      <c r="G40" s="82" t="n">
        <f aca="false">IF(C$48=0,0,C40/C$48)</f>
        <v>0</v>
      </c>
      <c r="H40" s="82" t="n">
        <f aca="false">IF(D$48=0,0,D40/D$48)</f>
        <v>0</v>
      </c>
      <c r="I40" s="82" t="n">
        <f aca="false">IF(E$48=0,0,E40/E$48)</f>
        <v>0</v>
      </c>
    </row>
    <row r="41" customFormat="false" ht="15" hidden="false" customHeight="false" outlineLevel="0" collapsed="false">
      <c r="A41" s="38" t="s">
        <v>339</v>
      </c>
      <c r="B41" s="38" t="s">
        <v>349</v>
      </c>
      <c r="C41" s="81" t="n">
        <v>0</v>
      </c>
      <c r="D41" s="81" t="n">
        <v>0</v>
      </c>
      <c r="E41" s="81" t="n">
        <v>0</v>
      </c>
      <c r="G41" s="82" t="n">
        <f aca="false">IF(C$48=0,0,C41/C$48)</f>
        <v>0</v>
      </c>
      <c r="H41" s="82" t="n">
        <f aca="false">IF(D$48=0,0,D41/D$48)</f>
        <v>0</v>
      </c>
      <c r="I41" s="82" t="n">
        <f aca="false">IF(E$48=0,0,E41/E$48)</f>
        <v>0</v>
      </c>
    </row>
    <row r="42" customFormat="false" ht="15" hidden="false" customHeight="false" outlineLevel="0" collapsed="false">
      <c r="A42" s="38" t="s">
        <v>340</v>
      </c>
      <c r="B42" s="38" t="s">
        <v>349</v>
      </c>
      <c r="C42" s="81" t="n">
        <v>0</v>
      </c>
      <c r="D42" s="81" t="n">
        <v>0</v>
      </c>
      <c r="E42" s="81" t="n">
        <v>0</v>
      </c>
      <c r="G42" s="82" t="n">
        <f aca="false">IF(C$48=0,0,C42/C$48)</f>
        <v>0</v>
      </c>
      <c r="H42" s="82" t="n">
        <f aca="false">IF(D$48=0,0,D42/D$48)</f>
        <v>0</v>
      </c>
      <c r="I42" s="82" t="n">
        <f aca="false">IF(E$48=0,0,E42/E$48)</f>
        <v>0</v>
      </c>
    </row>
    <row r="43" customFormat="false" ht="15" hidden="false" customHeight="false" outlineLevel="0" collapsed="false">
      <c r="A43" s="38" t="s">
        <v>182</v>
      </c>
      <c r="B43" s="38" t="s">
        <v>349</v>
      </c>
      <c r="C43" s="81" t="n">
        <v>55</v>
      </c>
      <c r="D43" s="81" t="n">
        <v>37</v>
      </c>
      <c r="E43" s="81" t="n">
        <v>1</v>
      </c>
      <c r="G43" s="82" t="n">
        <f aca="false">IF(C$48=0,0,C43/C$48)</f>
        <v>0.00524909333842336</v>
      </c>
      <c r="H43" s="82" t="n">
        <f aca="false">IF(D$48=0,0,D43/D$48)</f>
        <v>0.00840527033166742</v>
      </c>
      <c r="I43" s="82" t="n">
        <f aca="false">IF(E$48=0,0,E43/E$48)</f>
        <v>8.09192425958893E-005</v>
      </c>
    </row>
    <row r="44" customFormat="false" ht="15" hidden="false" customHeight="false" outlineLevel="0" collapsed="false">
      <c r="A44" s="38" t="s">
        <v>341</v>
      </c>
      <c r="B44" s="38" t="s">
        <v>349</v>
      </c>
      <c r="C44" s="81" t="n">
        <v>10423</v>
      </c>
      <c r="D44" s="81" t="n">
        <v>4365</v>
      </c>
      <c r="E44" s="81" t="n">
        <v>12357</v>
      </c>
      <c r="G44" s="82" t="n">
        <f aca="false">IF(C$48=0,0,C44/C$48)</f>
        <v>0.994750906661577</v>
      </c>
      <c r="H44" s="82" t="n">
        <f aca="false">IF(D$48=0,0,D44/D$48)</f>
        <v>0.991594729668333</v>
      </c>
      <c r="I44" s="82" t="n">
        <f aca="false">IF(E$48=0,0,E44/E$48)</f>
        <v>0.999919080757404</v>
      </c>
    </row>
    <row r="45" customFormat="false" ht="15" hidden="false" customHeight="false" outlineLevel="0" collapsed="false">
      <c r="A45" s="38" t="s">
        <v>342</v>
      </c>
      <c r="B45" s="38" t="s">
        <v>349</v>
      </c>
      <c r="C45" s="81" t="n">
        <v>0</v>
      </c>
      <c r="D45" s="81" t="n">
        <v>0</v>
      </c>
      <c r="E45" s="81" t="n">
        <v>0</v>
      </c>
      <c r="G45" s="82" t="n">
        <f aca="false">IF(C$48=0,0,C45/C$48)</f>
        <v>0</v>
      </c>
      <c r="H45" s="82" t="n">
        <f aca="false">IF(D$48=0,0,D45/D$48)</f>
        <v>0</v>
      </c>
      <c r="I45" s="82" t="n">
        <f aca="false">IF(E$48=0,0,E45/E$48)</f>
        <v>0</v>
      </c>
    </row>
    <row r="46" customFormat="false" ht="15" hidden="false" customHeight="false" outlineLevel="0" collapsed="false">
      <c r="A46" s="38" t="s">
        <v>343</v>
      </c>
      <c r="B46" s="38" t="s">
        <v>349</v>
      </c>
      <c r="C46" s="81" t="n">
        <v>0</v>
      </c>
      <c r="D46" s="81" t="n">
        <v>0</v>
      </c>
      <c r="E46" s="81" t="n">
        <v>0</v>
      </c>
      <c r="G46" s="82" t="n">
        <f aca="false">IF(C$48=0,0,C46/C$48)</f>
        <v>0</v>
      </c>
      <c r="H46" s="82" t="n">
        <f aca="false">IF(D$48=0,0,D46/D$48)</f>
        <v>0</v>
      </c>
      <c r="I46" s="82" t="n">
        <f aca="false">IF(E$48=0,0,E46/E$48)</f>
        <v>0</v>
      </c>
    </row>
    <row r="47" customFormat="false" ht="15" hidden="false" customHeight="false" outlineLevel="0" collapsed="false">
      <c r="A47" s="29" t="s">
        <v>344</v>
      </c>
      <c r="C47" s="39" t="n">
        <f aca="false">SUM(C36:C46)</f>
        <v>10478</v>
      </c>
      <c r="D47" s="39" t="n">
        <f aca="false">SUM(D36:D46)</f>
        <v>4402</v>
      </c>
      <c r="E47" s="39" t="n">
        <f aca="false">SUM(E36:E46)</f>
        <v>12358</v>
      </c>
    </row>
    <row r="48" customFormat="false" ht="15" hidden="false" customHeight="false" outlineLevel="0" collapsed="false">
      <c r="A48" s="34" t="s">
        <v>345</v>
      </c>
      <c r="B48" s="38" t="s">
        <v>349</v>
      </c>
      <c r="C48" s="81" t="n">
        <v>10478</v>
      </c>
      <c r="D48" s="81" t="n">
        <v>4402</v>
      </c>
      <c r="E48" s="81" t="n">
        <v>12358</v>
      </c>
    </row>
    <row r="50" customFormat="false" ht="15" hidden="false" customHeight="false" outlineLevel="0" collapsed="false">
      <c r="A50" s="63" t="s">
        <v>350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8" t="s">
        <v>333</v>
      </c>
      <c r="B51" s="38" t="s">
        <v>351</v>
      </c>
      <c r="C51" s="81" t="n">
        <v>1</v>
      </c>
      <c r="D51" s="81" t="n">
        <v>0</v>
      </c>
      <c r="E51" s="81" t="n">
        <v>0</v>
      </c>
      <c r="G51" s="82" t="n">
        <f aca="false">IF(C$63=0,0,C51/C$63)</f>
        <v>0.0238095238095238</v>
      </c>
      <c r="H51" s="82" t="n">
        <f aca="false">IF(D$63=0,0,D51/D$63)</f>
        <v>0</v>
      </c>
      <c r="I51" s="82" t="n">
        <f aca="false">IF(E$63=0,0,E51/E$63)</f>
        <v>0</v>
      </c>
    </row>
    <row r="52" customFormat="false" ht="15" hidden="false" customHeight="false" outlineLevel="0" collapsed="false">
      <c r="A52" s="38" t="s">
        <v>335</v>
      </c>
      <c r="B52" s="38" t="s">
        <v>351</v>
      </c>
      <c r="C52" s="81" t="n">
        <v>2</v>
      </c>
      <c r="D52" s="81" t="n">
        <v>0</v>
      </c>
      <c r="E52" s="81" t="n">
        <v>3</v>
      </c>
      <c r="G52" s="82" t="n">
        <f aca="false">IF(C$63=0,0,C52/C$63)</f>
        <v>0.0476190476190476</v>
      </c>
      <c r="H52" s="82" t="n">
        <f aca="false">IF(D$63=0,0,D52/D$63)</f>
        <v>0</v>
      </c>
      <c r="I52" s="82" t="n">
        <f aca="false">IF(E$63=0,0,E52/E$63)</f>
        <v>0.0666666666666667</v>
      </c>
    </row>
    <row r="53" customFormat="false" ht="15" hidden="false" customHeight="false" outlineLevel="0" collapsed="false">
      <c r="A53" s="38" t="s">
        <v>336</v>
      </c>
      <c r="B53" s="38" t="s">
        <v>351</v>
      </c>
      <c r="C53" s="81" t="n">
        <v>0</v>
      </c>
      <c r="D53" s="81" t="n">
        <v>0</v>
      </c>
      <c r="E53" s="81" t="n">
        <v>0</v>
      </c>
      <c r="G53" s="82" t="n">
        <f aca="false">IF(C$63=0,0,C53/C$63)</f>
        <v>0</v>
      </c>
      <c r="H53" s="82" t="n">
        <f aca="false">IF(D$63=0,0,D53/D$63)</f>
        <v>0</v>
      </c>
      <c r="I53" s="82" t="n">
        <f aca="false">IF(E$63=0,0,E53/E$63)</f>
        <v>0</v>
      </c>
    </row>
    <row r="54" customFormat="false" ht="15" hidden="false" customHeight="false" outlineLevel="0" collapsed="false">
      <c r="A54" s="38" t="s">
        <v>337</v>
      </c>
      <c r="B54" s="38" t="s">
        <v>351</v>
      </c>
      <c r="C54" s="81" t="n">
        <v>1</v>
      </c>
      <c r="D54" s="81" t="n">
        <v>0</v>
      </c>
      <c r="E54" s="81" t="n">
        <v>0</v>
      </c>
      <c r="G54" s="82" t="n">
        <f aca="false">IF(C$63=0,0,C54/C$63)</f>
        <v>0.0238095238095238</v>
      </c>
      <c r="H54" s="82" t="n">
        <f aca="false">IF(D$63=0,0,D54/D$63)</f>
        <v>0</v>
      </c>
      <c r="I54" s="82" t="n">
        <f aca="false">IF(E$63=0,0,E54/E$63)</f>
        <v>0</v>
      </c>
    </row>
    <row r="55" customFormat="false" ht="15" hidden="false" customHeight="false" outlineLevel="0" collapsed="false">
      <c r="A55" s="38" t="s">
        <v>338</v>
      </c>
      <c r="B55" s="38" t="s">
        <v>351</v>
      </c>
      <c r="C55" s="81" t="n">
        <v>25</v>
      </c>
      <c r="D55" s="81" t="n">
        <v>0</v>
      </c>
      <c r="E55" s="81" t="n">
        <v>29</v>
      </c>
      <c r="G55" s="82" t="n">
        <f aca="false">IF(C$63=0,0,C55/C$63)</f>
        <v>0.595238095238095</v>
      </c>
      <c r="H55" s="82" t="n">
        <f aca="false">IF(D$63=0,0,D55/D$63)</f>
        <v>0</v>
      </c>
      <c r="I55" s="82" t="n">
        <f aca="false">IF(E$63=0,0,E55/E$63)</f>
        <v>0.644444444444445</v>
      </c>
    </row>
    <row r="56" customFormat="false" ht="15" hidden="false" customHeight="false" outlineLevel="0" collapsed="false">
      <c r="A56" s="38" t="s">
        <v>339</v>
      </c>
      <c r="B56" s="38" t="s">
        <v>351</v>
      </c>
      <c r="C56" s="81" t="n">
        <v>0</v>
      </c>
      <c r="D56" s="81" t="n">
        <v>0</v>
      </c>
      <c r="E56" s="81" t="n">
        <v>0</v>
      </c>
      <c r="G56" s="82" t="n">
        <f aca="false">IF(C$63=0,0,C56/C$63)</f>
        <v>0</v>
      </c>
      <c r="H56" s="82" t="n">
        <f aca="false">IF(D$63=0,0,D56/D$63)</f>
        <v>0</v>
      </c>
      <c r="I56" s="82" t="n">
        <f aca="false">IF(E$63=0,0,E56/E$63)</f>
        <v>0</v>
      </c>
    </row>
    <row r="57" customFormat="false" ht="15" hidden="false" customHeight="false" outlineLevel="0" collapsed="false">
      <c r="A57" s="38" t="s">
        <v>340</v>
      </c>
      <c r="B57" s="38" t="s">
        <v>351</v>
      </c>
      <c r="C57" s="81" t="n">
        <v>3</v>
      </c>
      <c r="D57" s="81" t="n">
        <v>1</v>
      </c>
      <c r="E57" s="81" t="n">
        <v>0</v>
      </c>
      <c r="G57" s="82" t="n">
        <f aca="false">IF(C$63=0,0,C57/C$63)</f>
        <v>0.0714285714285714</v>
      </c>
      <c r="H57" s="82" t="n">
        <f aca="false">IF(D$63=0,0,D57/D$63)</f>
        <v>0.166666666666667</v>
      </c>
      <c r="I57" s="82" t="n">
        <f aca="false">IF(E$63=0,0,E57/E$63)</f>
        <v>0</v>
      </c>
    </row>
    <row r="58" customFormat="false" ht="15" hidden="false" customHeight="false" outlineLevel="0" collapsed="false">
      <c r="A58" s="38" t="s">
        <v>182</v>
      </c>
      <c r="B58" s="38" t="s">
        <v>351</v>
      </c>
      <c r="C58" s="81" t="n">
        <v>0</v>
      </c>
      <c r="D58" s="81" t="n">
        <v>0</v>
      </c>
      <c r="E58" s="81" t="n">
        <v>0</v>
      </c>
      <c r="G58" s="82" t="n">
        <f aca="false">IF(C$63=0,0,C58/C$63)</f>
        <v>0</v>
      </c>
      <c r="H58" s="82" t="n">
        <f aca="false">IF(D$63=0,0,D58/D$63)</f>
        <v>0</v>
      </c>
      <c r="I58" s="82" t="n">
        <f aca="false">IF(E$63=0,0,E58/E$63)</f>
        <v>0</v>
      </c>
    </row>
    <row r="59" customFormat="false" ht="15" hidden="false" customHeight="false" outlineLevel="0" collapsed="false">
      <c r="A59" s="38" t="s">
        <v>341</v>
      </c>
      <c r="B59" s="38" t="s">
        <v>351</v>
      </c>
      <c r="C59" s="81" t="n">
        <v>8</v>
      </c>
      <c r="D59" s="81" t="n">
        <v>3</v>
      </c>
      <c r="E59" s="81" t="n">
        <v>10</v>
      </c>
      <c r="G59" s="82" t="n">
        <f aca="false">IF(C$63=0,0,C59/C$63)</f>
        <v>0.19047619047619</v>
      </c>
      <c r="H59" s="82" t="n">
        <f aca="false">IF(D$63=0,0,D59/D$63)</f>
        <v>0.5</v>
      </c>
      <c r="I59" s="82" t="n">
        <f aca="false">IF(E$63=0,0,E59/E$63)</f>
        <v>0.222222222222222</v>
      </c>
    </row>
    <row r="60" customFormat="false" ht="15" hidden="false" customHeight="false" outlineLevel="0" collapsed="false">
      <c r="A60" s="38" t="s">
        <v>342</v>
      </c>
      <c r="B60" s="38" t="s">
        <v>351</v>
      </c>
      <c r="C60" s="81" t="n">
        <v>2</v>
      </c>
      <c r="D60" s="81" t="n">
        <v>1</v>
      </c>
      <c r="E60" s="81" t="n">
        <v>2</v>
      </c>
      <c r="G60" s="82" t="n">
        <f aca="false">IF(C$63=0,0,C60/C$63)</f>
        <v>0.0476190476190476</v>
      </c>
      <c r="H60" s="82" t="n">
        <f aca="false">IF(D$63=0,0,D60/D$63)</f>
        <v>0.166666666666667</v>
      </c>
      <c r="I60" s="82" t="n">
        <f aca="false">IF(E$63=0,0,E60/E$63)</f>
        <v>0.0444444444444444</v>
      </c>
    </row>
    <row r="61" customFormat="false" ht="15" hidden="false" customHeight="false" outlineLevel="0" collapsed="false">
      <c r="A61" s="38" t="s">
        <v>343</v>
      </c>
      <c r="B61" s="38" t="s">
        <v>351</v>
      </c>
      <c r="C61" s="81" t="n">
        <v>0</v>
      </c>
      <c r="D61" s="81" t="n">
        <v>0</v>
      </c>
      <c r="E61" s="81" t="n">
        <v>0</v>
      </c>
      <c r="G61" s="82" t="n">
        <f aca="false">IF(C$63=0,0,C61/C$63)</f>
        <v>0</v>
      </c>
      <c r="H61" s="82" t="n">
        <f aca="false">IF(D$63=0,0,D61/D$63)</f>
        <v>0</v>
      </c>
      <c r="I61" s="82" t="n">
        <f aca="false">IF(E$63=0,0,E61/E$63)</f>
        <v>0</v>
      </c>
    </row>
    <row r="62" customFormat="false" ht="15" hidden="false" customHeight="false" outlineLevel="0" collapsed="false">
      <c r="A62" s="29" t="s">
        <v>344</v>
      </c>
      <c r="C62" s="39" t="n">
        <f aca="false">SUM(C51:C61)</f>
        <v>42</v>
      </c>
      <c r="D62" s="39" t="n">
        <f aca="false">SUM(D51:D61)</f>
        <v>5</v>
      </c>
      <c r="E62" s="39" t="n">
        <f aca="false">SUM(E51:E61)</f>
        <v>44</v>
      </c>
    </row>
    <row r="63" customFormat="false" ht="15" hidden="false" customHeight="false" outlineLevel="0" collapsed="false">
      <c r="A63" s="34" t="s">
        <v>345</v>
      </c>
      <c r="B63" s="38" t="s">
        <v>351</v>
      </c>
      <c r="C63" s="81" t="n">
        <v>42</v>
      </c>
      <c r="D63" s="81" t="n">
        <v>6</v>
      </c>
      <c r="E63" s="81" t="n">
        <v>45</v>
      </c>
    </row>
    <row r="65" customFormat="false" ht="15" hidden="false" customHeight="false" outlineLevel="0" collapsed="false">
      <c r="A65" s="63" t="s">
        <v>352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8" t="s">
        <v>333</v>
      </c>
      <c r="B66" s="38" t="s">
        <v>353</v>
      </c>
      <c r="C66" s="81" t="n">
        <v>0</v>
      </c>
      <c r="D66" s="81" t="n">
        <v>0</v>
      </c>
      <c r="E66" s="81" t="n">
        <v>0</v>
      </c>
      <c r="G66" s="82" t="n">
        <f aca="false">IF(C$78=0,0,C66/C$78)</f>
        <v>0</v>
      </c>
      <c r="H66" s="82" t="n">
        <f aca="false">IF(D$78=0,0,D66/D$78)</f>
        <v>0</v>
      </c>
      <c r="I66" s="82" t="n">
        <f aca="false">IF(E$78=0,0,E66/E$78)</f>
        <v>0</v>
      </c>
    </row>
    <row r="67" customFormat="false" ht="15" hidden="false" customHeight="false" outlineLevel="0" collapsed="false">
      <c r="A67" s="38" t="s">
        <v>335</v>
      </c>
      <c r="B67" s="38" t="s">
        <v>353</v>
      </c>
      <c r="C67" s="81" t="n">
        <v>1</v>
      </c>
      <c r="D67" s="81" t="n">
        <v>0</v>
      </c>
      <c r="E67" s="81" t="n">
        <v>1</v>
      </c>
      <c r="G67" s="82" t="n">
        <f aca="false">IF(C$78=0,0,C67/C$78)</f>
        <v>0.0384615384615385</v>
      </c>
      <c r="H67" s="82" t="n">
        <f aca="false">IF(D$78=0,0,D67/D$78)</f>
        <v>0</v>
      </c>
      <c r="I67" s="82" t="n">
        <f aca="false">IF(E$78=0,0,E67/E$78)</f>
        <v>0.0163934426229508</v>
      </c>
    </row>
    <row r="68" customFormat="false" ht="15" hidden="false" customHeight="false" outlineLevel="0" collapsed="false">
      <c r="A68" s="38" t="s">
        <v>336</v>
      </c>
      <c r="B68" s="38" t="s">
        <v>353</v>
      </c>
      <c r="C68" s="81" t="n">
        <v>0</v>
      </c>
      <c r="D68" s="81" t="n">
        <v>0</v>
      </c>
      <c r="E68" s="81" t="n">
        <v>0</v>
      </c>
      <c r="G68" s="82" t="n">
        <f aca="false">IF(C$78=0,0,C68/C$78)</f>
        <v>0</v>
      </c>
      <c r="H68" s="82" t="n">
        <f aca="false">IF(D$78=0,0,D68/D$78)</f>
        <v>0</v>
      </c>
      <c r="I68" s="82" t="n">
        <f aca="false">IF(E$78=0,0,E68/E$78)</f>
        <v>0</v>
      </c>
    </row>
    <row r="69" customFormat="false" ht="15" hidden="false" customHeight="false" outlineLevel="0" collapsed="false">
      <c r="A69" s="38" t="s">
        <v>337</v>
      </c>
      <c r="B69" s="38" t="s">
        <v>353</v>
      </c>
      <c r="C69" s="81" t="n">
        <v>0</v>
      </c>
      <c r="D69" s="81" t="n">
        <v>0</v>
      </c>
      <c r="E69" s="81" t="n">
        <v>0</v>
      </c>
      <c r="G69" s="82" t="n">
        <f aca="false">IF(C$78=0,0,C69/C$78)</f>
        <v>0</v>
      </c>
      <c r="H69" s="82" t="n">
        <f aca="false">IF(D$78=0,0,D69/D$78)</f>
        <v>0</v>
      </c>
      <c r="I69" s="82" t="n">
        <f aca="false">IF(E$78=0,0,E69/E$78)</f>
        <v>0</v>
      </c>
    </row>
    <row r="70" customFormat="false" ht="15" hidden="false" customHeight="false" outlineLevel="0" collapsed="false">
      <c r="A70" s="38" t="s">
        <v>338</v>
      </c>
      <c r="B70" s="38" t="s">
        <v>353</v>
      </c>
      <c r="C70" s="81" t="n">
        <v>16</v>
      </c>
      <c r="D70" s="81" t="n">
        <v>-1</v>
      </c>
      <c r="E70" s="81" t="n">
        <v>51</v>
      </c>
      <c r="G70" s="82" t="n">
        <f aca="false">IF(C$78=0,0,C70/C$78)</f>
        <v>0.615384615384615</v>
      </c>
      <c r="H70" s="82" t="n">
        <f aca="false">IF(D$78=0,0,D70/D$78)</f>
        <v>-0.5</v>
      </c>
      <c r="I70" s="82" t="n">
        <f aca="false">IF(E$78=0,0,E70/E$78)</f>
        <v>0.836065573770492</v>
      </c>
    </row>
    <row r="71" customFormat="false" ht="15" hidden="false" customHeight="false" outlineLevel="0" collapsed="false">
      <c r="A71" s="38" t="s">
        <v>339</v>
      </c>
      <c r="B71" s="38" t="s">
        <v>353</v>
      </c>
      <c r="C71" s="81" t="n">
        <v>0</v>
      </c>
      <c r="D71" s="81" t="n">
        <v>0</v>
      </c>
      <c r="E71" s="81" t="n">
        <v>0</v>
      </c>
      <c r="G71" s="82" t="n">
        <f aca="false">IF(C$78=0,0,C71/C$78)</f>
        <v>0</v>
      </c>
      <c r="H71" s="82" t="n">
        <f aca="false">IF(D$78=0,0,D71/D$78)</f>
        <v>0</v>
      </c>
      <c r="I71" s="82" t="n">
        <f aca="false">IF(E$78=0,0,E71/E$78)</f>
        <v>0</v>
      </c>
    </row>
    <row r="72" customFormat="false" ht="15" hidden="false" customHeight="false" outlineLevel="0" collapsed="false">
      <c r="A72" s="38" t="s">
        <v>340</v>
      </c>
      <c r="B72" s="38" t="s">
        <v>353</v>
      </c>
      <c r="C72" s="81" t="n">
        <v>1</v>
      </c>
      <c r="D72" s="81" t="n">
        <v>0</v>
      </c>
      <c r="E72" s="81" t="n">
        <v>0</v>
      </c>
      <c r="G72" s="82" t="n">
        <f aca="false">IF(C$78=0,0,C72/C$78)</f>
        <v>0.0384615384615385</v>
      </c>
      <c r="H72" s="82" t="n">
        <f aca="false">IF(D$78=0,0,D72/D$78)</f>
        <v>0</v>
      </c>
      <c r="I72" s="82" t="n">
        <f aca="false">IF(E$78=0,0,E72/E$78)</f>
        <v>0</v>
      </c>
    </row>
    <row r="73" customFormat="false" ht="15" hidden="false" customHeight="false" outlineLevel="0" collapsed="false">
      <c r="A73" s="38" t="s">
        <v>182</v>
      </c>
      <c r="B73" s="38" t="s">
        <v>353</v>
      </c>
      <c r="C73" s="81" t="n">
        <v>0</v>
      </c>
      <c r="D73" s="81" t="n">
        <v>0</v>
      </c>
      <c r="E73" s="81" t="n">
        <v>0</v>
      </c>
      <c r="G73" s="82" t="n">
        <f aca="false">IF(C$78=0,0,C73/C$78)</f>
        <v>0</v>
      </c>
      <c r="H73" s="82" t="n">
        <f aca="false">IF(D$78=0,0,D73/D$78)</f>
        <v>0</v>
      </c>
      <c r="I73" s="82" t="n">
        <f aca="false">IF(E$78=0,0,E73/E$78)</f>
        <v>0</v>
      </c>
    </row>
    <row r="74" customFormat="false" ht="15" hidden="false" customHeight="false" outlineLevel="0" collapsed="false">
      <c r="A74" s="38" t="s">
        <v>341</v>
      </c>
      <c r="B74" s="38" t="s">
        <v>353</v>
      </c>
      <c r="C74" s="81" t="n">
        <v>8</v>
      </c>
      <c r="D74" s="81" t="n">
        <v>3</v>
      </c>
      <c r="E74" s="81" t="n">
        <v>8</v>
      </c>
      <c r="G74" s="82" t="n">
        <f aca="false">IF(C$78=0,0,C74/C$78)</f>
        <v>0.307692307692308</v>
      </c>
      <c r="H74" s="82" t="n">
        <f aca="false">IF(D$78=0,0,D74/D$78)</f>
        <v>1.5</v>
      </c>
      <c r="I74" s="82" t="n">
        <f aca="false">IF(E$78=0,0,E74/E$78)</f>
        <v>0.131147540983607</v>
      </c>
    </row>
    <row r="75" customFormat="false" ht="15" hidden="false" customHeight="false" outlineLevel="0" collapsed="false">
      <c r="A75" s="38" t="s">
        <v>342</v>
      </c>
      <c r="B75" s="38" t="s">
        <v>353</v>
      </c>
      <c r="C75" s="81" t="n">
        <v>0</v>
      </c>
      <c r="D75" s="81" t="n">
        <v>0</v>
      </c>
      <c r="E75" s="81" t="n">
        <v>0</v>
      </c>
      <c r="G75" s="82" t="n">
        <f aca="false">IF(C$78=0,0,C75/C$78)</f>
        <v>0</v>
      </c>
      <c r="H75" s="82" t="n">
        <f aca="false">IF(D$78=0,0,D75/D$78)</f>
        <v>0</v>
      </c>
      <c r="I75" s="82" t="n">
        <f aca="false">IF(E$78=0,0,E75/E$78)</f>
        <v>0</v>
      </c>
    </row>
    <row r="76" customFormat="false" ht="15" hidden="false" customHeight="false" outlineLevel="0" collapsed="false">
      <c r="A76" s="38" t="s">
        <v>343</v>
      </c>
      <c r="B76" s="38" t="s">
        <v>353</v>
      </c>
      <c r="C76" s="81" t="n">
        <v>0</v>
      </c>
      <c r="D76" s="81" t="n">
        <v>0</v>
      </c>
      <c r="E76" s="81" t="n">
        <v>0</v>
      </c>
      <c r="G76" s="82" t="n">
        <f aca="false">IF(C$78=0,0,C76/C$78)</f>
        <v>0</v>
      </c>
      <c r="H76" s="82" t="n">
        <f aca="false">IF(D$78=0,0,D76/D$78)</f>
        <v>0</v>
      </c>
      <c r="I76" s="82" t="n">
        <f aca="false">IF(E$78=0,0,E76/E$78)</f>
        <v>0</v>
      </c>
    </row>
    <row r="77" customFormat="false" ht="15" hidden="false" customHeight="false" outlineLevel="0" collapsed="false">
      <c r="A77" s="29" t="s">
        <v>344</v>
      </c>
      <c r="C77" s="39" t="n">
        <f aca="false">SUM(C66:C76)</f>
        <v>26</v>
      </c>
      <c r="D77" s="39" t="n">
        <f aca="false">SUM(D66:D76)</f>
        <v>2</v>
      </c>
      <c r="E77" s="39" t="n">
        <f aca="false">SUM(E66:E76)</f>
        <v>60</v>
      </c>
    </row>
    <row r="78" customFormat="false" ht="15" hidden="false" customHeight="false" outlineLevel="0" collapsed="false">
      <c r="A78" s="34" t="s">
        <v>345</v>
      </c>
      <c r="B78" s="38" t="s">
        <v>353</v>
      </c>
      <c r="C78" s="81" t="n">
        <v>26</v>
      </c>
      <c r="D78" s="81" t="n">
        <v>2</v>
      </c>
      <c r="E78" s="81" t="n">
        <v>61</v>
      </c>
    </row>
    <row r="80" customFormat="false" ht="15" hidden="false" customHeight="false" outlineLevel="0" collapsed="false">
      <c r="A80" s="63" t="s">
        <v>354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8" t="s">
        <v>333</v>
      </c>
      <c r="B81" s="38" t="s">
        <v>251</v>
      </c>
      <c r="C81" s="81" t="n">
        <v>4</v>
      </c>
      <c r="D81" s="81" t="n">
        <v>0</v>
      </c>
      <c r="E81" s="81" t="n">
        <v>0</v>
      </c>
      <c r="G81" s="82" t="n">
        <f aca="false">IF(C$93=0,0,C81/C$93)</f>
        <v>0.00135777325186694</v>
      </c>
      <c r="H81" s="82" t="n">
        <f aca="false">IF(D$93=0,0,D81/D$93)</f>
        <v>0</v>
      </c>
      <c r="I81" s="82" t="n">
        <f aca="false">IF(E$93=0,0,E81/E$93)</f>
        <v>0</v>
      </c>
    </row>
    <row r="82" customFormat="false" ht="15" hidden="false" customHeight="false" outlineLevel="0" collapsed="false">
      <c r="A82" s="38" t="s">
        <v>335</v>
      </c>
      <c r="B82" s="38" t="s">
        <v>251</v>
      </c>
      <c r="C82" s="81" t="n">
        <v>8</v>
      </c>
      <c r="D82" s="81" t="n">
        <v>0</v>
      </c>
      <c r="E82" s="81" t="n">
        <v>12</v>
      </c>
      <c r="G82" s="82" t="n">
        <f aca="false">IF(C$93=0,0,C82/C$93)</f>
        <v>0.00271554650373388</v>
      </c>
      <c r="H82" s="82" t="n">
        <f aca="false">IF(D$93=0,0,D82/D$93)</f>
        <v>0</v>
      </c>
      <c r="I82" s="82" t="n">
        <f aca="false">IF(E$93=0,0,E82/E$93)</f>
        <v>0.00504413619167718</v>
      </c>
    </row>
    <row r="83" customFormat="false" ht="15" hidden="false" customHeight="false" outlineLevel="0" collapsed="false">
      <c r="A83" s="38" t="s">
        <v>336</v>
      </c>
      <c r="B83" s="38" t="s">
        <v>251</v>
      </c>
      <c r="C83" s="81" t="n">
        <v>0</v>
      </c>
      <c r="D83" s="81" t="n">
        <v>0</v>
      </c>
      <c r="E83" s="81" t="n">
        <v>0</v>
      </c>
      <c r="G83" s="82" t="n">
        <f aca="false">IF(C$93=0,0,C83/C$93)</f>
        <v>0</v>
      </c>
      <c r="H83" s="82" t="n">
        <f aca="false">IF(D$93=0,0,D83/D$93)</f>
        <v>0</v>
      </c>
      <c r="I83" s="82" t="n">
        <f aca="false">IF(E$93=0,0,E83/E$93)</f>
        <v>0</v>
      </c>
    </row>
    <row r="84" customFormat="false" ht="15" hidden="false" customHeight="false" outlineLevel="0" collapsed="false">
      <c r="A84" s="38" t="s">
        <v>337</v>
      </c>
      <c r="B84" s="38" t="s">
        <v>251</v>
      </c>
      <c r="C84" s="81" t="n">
        <v>1</v>
      </c>
      <c r="D84" s="81" t="n">
        <v>0</v>
      </c>
      <c r="E84" s="81" t="n">
        <v>2</v>
      </c>
      <c r="G84" s="82" t="n">
        <f aca="false">IF(C$93=0,0,C84/C$93)</f>
        <v>0.000339443312966735</v>
      </c>
      <c r="H84" s="82" t="n">
        <f aca="false">IF(D$93=0,0,D84/D$93)</f>
        <v>0</v>
      </c>
      <c r="I84" s="82" t="n">
        <f aca="false">IF(E$93=0,0,E84/E$93)</f>
        <v>0.000840689365279529</v>
      </c>
    </row>
    <row r="85" customFormat="false" ht="15" hidden="false" customHeight="false" outlineLevel="0" collapsed="false">
      <c r="A85" s="38" t="s">
        <v>338</v>
      </c>
      <c r="B85" s="38" t="s">
        <v>251</v>
      </c>
      <c r="C85" s="81" t="n">
        <v>0</v>
      </c>
      <c r="D85" s="81" t="n">
        <v>0</v>
      </c>
      <c r="E85" s="81" t="n">
        <v>0</v>
      </c>
      <c r="G85" s="82" t="n">
        <f aca="false">IF(C$93=0,0,C85/C$93)</f>
        <v>0</v>
      </c>
      <c r="H85" s="82" t="n">
        <f aca="false">IF(D$93=0,0,D85/D$93)</f>
        <v>0</v>
      </c>
      <c r="I85" s="82" t="n">
        <f aca="false">IF(E$93=0,0,E85/E$93)</f>
        <v>0</v>
      </c>
    </row>
    <row r="86" customFormat="false" ht="15" hidden="false" customHeight="false" outlineLevel="0" collapsed="false">
      <c r="A86" s="38" t="s">
        <v>339</v>
      </c>
      <c r="B86" s="38" t="s">
        <v>251</v>
      </c>
      <c r="C86" s="81" t="n">
        <v>0</v>
      </c>
      <c r="D86" s="81" t="n">
        <v>0</v>
      </c>
      <c r="E86" s="81" t="n">
        <v>0</v>
      </c>
      <c r="G86" s="82" t="n">
        <f aca="false">IF(C$93=0,0,C86/C$93)</f>
        <v>0</v>
      </c>
      <c r="H86" s="82" t="n">
        <f aca="false">IF(D$93=0,0,D86/D$93)</f>
        <v>0</v>
      </c>
      <c r="I86" s="82" t="n">
        <f aca="false">IF(E$93=0,0,E86/E$93)</f>
        <v>0</v>
      </c>
    </row>
    <row r="87" customFormat="false" ht="15" hidden="false" customHeight="false" outlineLevel="0" collapsed="false">
      <c r="A87" s="38" t="s">
        <v>340</v>
      </c>
      <c r="B87" s="38" t="s">
        <v>251</v>
      </c>
      <c r="C87" s="81" t="n">
        <v>6</v>
      </c>
      <c r="D87" s="81" t="n">
        <v>0</v>
      </c>
      <c r="E87" s="81" t="n">
        <v>0</v>
      </c>
      <c r="G87" s="82" t="n">
        <f aca="false">IF(C$93=0,0,C87/C$93)</f>
        <v>0.00203665987780041</v>
      </c>
      <c r="H87" s="82" t="n">
        <f aca="false">IF(D$93=0,0,D87/D$93)</f>
        <v>0</v>
      </c>
      <c r="I87" s="82" t="n">
        <f aca="false">IF(E$93=0,0,E87/E$93)</f>
        <v>0</v>
      </c>
    </row>
    <row r="88" customFormat="false" ht="15" hidden="false" customHeight="false" outlineLevel="0" collapsed="false">
      <c r="A88" s="38" t="s">
        <v>182</v>
      </c>
      <c r="B88" s="38" t="s">
        <v>251</v>
      </c>
      <c r="C88" s="81" t="n">
        <v>40</v>
      </c>
      <c r="D88" s="81" t="n">
        <v>27</v>
      </c>
      <c r="E88" s="81" t="n">
        <v>1</v>
      </c>
      <c r="G88" s="82" t="n">
        <f aca="false">IF(C$93=0,0,C88/C$93)</f>
        <v>0.0135777325186694</v>
      </c>
      <c r="H88" s="82" t="n">
        <f aca="false">IF(D$93=0,0,D88/D$93)</f>
        <v>0.00552712384851587</v>
      </c>
      <c r="I88" s="82" t="n">
        <f aca="false">IF(E$93=0,0,E88/E$93)</f>
        <v>0.000420344682639765</v>
      </c>
    </row>
    <row r="89" customFormat="false" ht="15" hidden="false" customHeight="false" outlineLevel="0" collapsed="false">
      <c r="A89" s="38" t="s">
        <v>341</v>
      </c>
      <c r="B89" s="38" t="s">
        <v>251</v>
      </c>
      <c r="C89" s="81" t="n">
        <v>1942</v>
      </c>
      <c r="D89" s="81" t="n">
        <v>660</v>
      </c>
      <c r="E89" s="81" t="n">
        <v>1897</v>
      </c>
      <c r="G89" s="82" t="n">
        <f aca="false">IF(C$93=0,0,C89/C$93)</f>
        <v>0.659198913781399</v>
      </c>
      <c r="H89" s="82" t="n">
        <f aca="false">IF(D$93=0,0,D89/D$93)</f>
        <v>0.13510747185261</v>
      </c>
      <c r="I89" s="82" t="n">
        <f aca="false">IF(E$93=0,0,E89/E$93)</f>
        <v>0.797393862967634</v>
      </c>
    </row>
    <row r="90" customFormat="false" ht="15" hidden="false" customHeight="false" outlineLevel="0" collapsed="false">
      <c r="A90" s="38" t="s">
        <v>342</v>
      </c>
      <c r="B90" s="38" t="s">
        <v>251</v>
      </c>
      <c r="C90" s="81" t="n">
        <v>4</v>
      </c>
      <c r="D90" s="81" t="n">
        <v>3</v>
      </c>
      <c r="E90" s="81" t="n">
        <v>5</v>
      </c>
      <c r="G90" s="82" t="n">
        <f aca="false">IF(C$93=0,0,C90/C$93)</f>
        <v>0.00135777325186694</v>
      </c>
      <c r="H90" s="82" t="n">
        <f aca="false">IF(D$93=0,0,D90/D$93)</f>
        <v>0.000614124872057318</v>
      </c>
      <c r="I90" s="82" t="n">
        <f aca="false">IF(E$93=0,0,E90/E$93)</f>
        <v>0.00210172341319882</v>
      </c>
    </row>
    <row r="91" customFormat="false" ht="15" hidden="false" customHeight="false" outlineLevel="0" collapsed="false">
      <c r="A91" s="38" t="s">
        <v>343</v>
      </c>
      <c r="B91" s="38" t="s">
        <v>251</v>
      </c>
      <c r="C91" s="81" t="n">
        <v>941</v>
      </c>
      <c r="D91" s="81" t="n">
        <v>4194</v>
      </c>
      <c r="E91" s="81" t="n">
        <v>460</v>
      </c>
      <c r="G91" s="82" t="n">
        <f aca="false">IF(C$93=0,0,C91/C$93)</f>
        <v>0.319416157501697</v>
      </c>
      <c r="H91" s="82" t="n">
        <f aca="false">IF(D$93=0,0,D91/D$93)</f>
        <v>0.858546571136131</v>
      </c>
      <c r="I91" s="82" t="n">
        <f aca="false">IF(E$93=0,0,E91/E$93)</f>
        <v>0.193358554014292</v>
      </c>
    </row>
    <row r="92" customFormat="false" ht="15" hidden="false" customHeight="false" outlineLevel="0" collapsed="false">
      <c r="A92" s="29" t="s">
        <v>344</v>
      </c>
      <c r="C92" s="39" t="n">
        <f aca="false">SUM(C81:C91)</f>
        <v>2946</v>
      </c>
      <c r="D92" s="39" t="n">
        <f aca="false">SUM(D81:D91)</f>
        <v>4884</v>
      </c>
      <c r="E92" s="39" t="n">
        <f aca="false">SUM(E81:E91)</f>
        <v>2377</v>
      </c>
    </row>
    <row r="93" customFormat="false" ht="15" hidden="false" customHeight="false" outlineLevel="0" collapsed="false">
      <c r="A93" s="34" t="s">
        <v>345</v>
      </c>
      <c r="B93" s="38" t="s">
        <v>251</v>
      </c>
      <c r="C93" s="81" t="n">
        <v>2946</v>
      </c>
      <c r="D93" s="81" t="n">
        <v>4885</v>
      </c>
      <c r="E93" s="81" t="n">
        <v>2379</v>
      </c>
    </row>
    <row r="95" customFormat="false" ht="15" hidden="false" customHeight="false" outlineLevel="0" collapsed="false">
      <c r="A95" s="63" t="s">
        <v>355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8" t="s">
        <v>333</v>
      </c>
      <c r="B96" s="38" t="s">
        <v>162</v>
      </c>
      <c r="C96" s="81" t="n">
        <v>1</v>
      </c>
      <c r="D96" s="81" t="n">
        <v>0</v>
      </c>
      <c r="E96" s="81" t="n">
        <v>0</v>
      </c>
      <c r="G96" s="82" t="n">
        <f aca="false">IF(C$108=0,0,C96/C$108)</f>
        <v>6.103515625E-006</v>
      </c>
      <c r="H96" s="82" t="n">
        <f aca="false">IF(D$108=0,0,D96/D$108)</f>
        <v>0</v>
      </c>
      <c r="I96" s="82" t="n">
        <f aca="false">IF(E$108=0,0,E96/E$108)</f>
        <v>0</v>
      </c>
    </row>
    <row r="97" customFormat="false" ht="15" hidden="false" customHeight="false" outlineLevel="0" collapsed="false">
      <c r="A97" s="38" t="s">
        <v>335</v>
      </c>
      <c r="B97" s="38" t="s">
        <v>162</v>
      </c>
      <c r="C97" s="81" t="n">
        <v>38</v>
      </c>
      <c r="D97" s="81" t="n">
        <v>0</v>
      </c>
      <c r="E97" s="81" t="n">
        <v>54</v>
      </c>
      <c r="G97" s="82" t="n">
        <f aca="false">IF(C$108=0,0,C97/C$108)</f>
        <v>0.00023193359375</v>
      </c>
      <c r="H97" s="82" t="n">
        <f aca="false">IF(D$108=0,0,D97/D$108)</f>
        <v>0</v>
      </c>
      <c r="I97" s="82" t="n">
        <f aca="false">IF(E$108=0,0,E97/E$108)</f>
        <v>0.00013740388089628</v>
      </c>
    </row>
    <row r="98" customFormat="false" ht="15" hidden="false" customHeight="false" outlineLevel="0" collapsed="false">
      <c r="A98" s="38" t="s">
        <v>336</v>
      </c>
      <c r="B98" s="38" t="s">
        <v>162</v>
      </c>
      <c r="C98" s="81" t="n">
        <v>82261</v>
      </c>
      <c r="D98" s="81" t="n">
        <v>45273</v>
      </c>
      <c r="E98" s="81" t="n">
        <v>195829</v>
      </c>
      <c r="G98" s="82" t="n">
        <f aca="false">IF(C$108=0,0,C98/C$108)</f>
        <v>0.502081298828125</v>
      </c>
      <c r="H98" s="82" t="n">
        <f aca="false">IF(D$108=0,0,D98/D$108)</f>
        <v>0.391326896647103</v>
      </c>
      <c r="I98" s="82" t="n">
        <f aca="false">IF(E$108=0,0,E98/E$108)</f>
        <v>0.498290085037735</v>
      </c>
    </row>
    <row r="99" customFormat="false" ht="15" hidden="false" customHeight="false" outlineLevel="0" collapsed="false">
      <c r="A99" s="38" t="s">
        <v>337</v>
      </c>
      <c r="B99" s="38" t="s">
        <v>162</v>
      </c>
      <c r="C99" s="81" t="n">
        <v>1</v>
      </c>
      <c r="D99" s="81" t="n">
        <v>0</v>
      </c>
      <c r="E99" s="81" t="n">
        <v>1</v>
      </c>
      <c r="G99" s="82" t="n">
        <f aca="false">IF(C$108=0,0,C99/C$108)</f>
        <v>6.103515625E-006</v>
      </c>
      <c r="H99" s="82" t="n">
        <f aca="false">IF(D$108=0,0,D99/D$108)</f>
        <v>0</v>
      </c>
      <c r="I99" s="82" t="n">
        <f aca="false">IF(E$108=0,0,E99/E$108)</f>
        <v>2.54451631289408E-006</v>
      </c>
    </row>
    <row r="100" customFormat="false" ht="15" hidden="false" customHeight="false" outlineLevel="0" collapsed="false">
      <c r="A100" s="38" t="s">
        <v>338</v>
      </c>
      <c r="B100" s="38" t="s">
        <v>162</v>
      </c>
      <c r="C100" s="81" t="n">
        <v>0</v>
      </c>
      <c r="D100" s="81" t="n">
        <v>0</v>
      </c>
      <c r="E100" s="81" t="n">
        <v>0</v>
      </c>
      <c r="G100" s="82" t="n">
        <f aca="false">IF(C$108=0,0,C100/C$108)</f>
        <v>0</v>
      </c>
      <c r="H100" s="82" t="n">
        <f aca="false">IF(D$108=0,0,D100/D$108)</f>
        <v>0</v>
      </c>
      <c r="I100" s="82" t="n">
        <f aca="false">IF(E$108=0,0,E100/E$108)</f>
        <v>0</v>
      </c>
    </row>
    <row r="101" customFormat="false" ht="15" hidden="false" customHeight="false" outlineLevel="0" collapsed="false">
      <c r="A101" s="38" t="s">
        <v>339</v>
      </c>
      <c r="B101" s="38" t="s">
        <v>162</v>
      </c>
      <c r="C101" s="81" t="n">
        <v>0</v>
      </c>
      <c r="D101" s="81" t="n">
        <v>1</v>
      </c>
      <c r="E101" s="81" t="n">
        <v>0</v>
      </c>
      <c r="G101" s="82" t="n">
        <f aca="false">IF(C$108=0,0,C101/C$108)</f>
        <v>0</v>
      </c>
      <c r="H101" s="82" t="n">
        <f aca="false">IF(D$108=0,0,D101/D$108)</f>
        <v>8.64371472283929E-006</v>
      </c>
      <c r="I101" s="82" t="n">
        <f aca="false">IF(E$108=0,0,E101/E$108)</f>
        <v>0</v>
      </c>
    </row>
    <row r="102" customFormat="false" ht="15" hidden="false" customHeight="false" outlineLevel="0" collapsed="false">
      <c r="A102" s="38" t="s">
        <v>340</v>
      </c>
      <c r="B102" s="38" t="s">
        <v>162</v>
      </c>
      <c r="C102" s="81" t="n">
        <v>6</v>
      </c>
      <c r="D102" s="81" t="n">
        <v>5</v>
      </c>
      <c r="E102" s="81" t="n">
        <v>0</v>
      </c>
      <c r="G102" s="82" t="n">
        <f aca="false">IF(C$108=0,0,C102/C$108)</f>
        <v>3.662109375E-005</v>
      </c>
      <c r="H102" s="82" t="n">
        <f aca="false">IF(D$108=0,0,D102/D$108)</f>
        <v>4.32185736141964E-005</v>
      </c>
      <c r="I102" s="82" t="n">
        <f aca="false">IF(E$108=0,0,E102/E$108)</f>
        <v>0</v>
      </c>
    </row>
    <row r="103" customFormat="false" ht="15" hidden="false" customHeight="false" outlineLevel="0" collapsed="false">
      <c r="A103" s="38" t="s">
        <v>182</v>
      </c>
      <c r="B103" s="38" t="s">
        <v>162</v>
      </c>
      <c r="C103" s="81" t="n">
        <v>148</v>
      </c>
      <c r="D103" s="81" t="n">
        <v>100</v>
      </c>
      <c r="E103" s="81" t="n">
        <v>4</v>
      </c>
      <c r="G103" s="82" t="n">
        <f aca="false">IF(C$108=0,0,C103/C$108)</f>
        <v>0.0009033203125</v>
      </c>
      <c r="H103" s="82" t="n">
        <f aca="false">IF(D$108=0,0,D103/D$108)</f>
        <v>0.000864371472283929</v>
      </c>
      <c r="I103" s="82" t="n">
        <f aca="false">IF(E$108=0,0,E103/E$108)</f>
        <v>1.01780652515763E-005</v>
      </c>
    </row>
    <row r="104" customFormat="false" ht="15" hidden="false" customHeight="false" outlineLevel="0" collapsed="false">
      <c r="A104" s="38" t="s">
        <v>341</v>
      </c>
      <c r="B104" s="38" t="s">
        <v>162</v>
      </c>
      <c r="C104" s="81" t="n">
        <v>47</v>
      </c>
      <c r="D104" s="81" t="n">
        <v>14</v>
      </c>
      <c r="E104" s="81" t="n">
        <v>44</v>
      </c>
      <c r="G104" s="82" t="n">
        <f aca="false">IF(C$108=0,0,C104/C$108)</f>
        <v>0.000286865234375</v>
      </c>
      <c r="H104" s="82" t="n">
        <f aca="false">IF(D$108=0,0,D104/D$108)</f>
        <v>0.00012101200611975</v>
      </c>
      <c r="I104" s="82" t="n">
        <f aca="false">IF(E$108=0,0,E104/E$108)</f>
        <v>0.00011195871776734</v>
      </c>
    </row>
    <row r="105" customFormat="false" ht="15" hidden="false" customHeight="false" outlineLevel="0" collapsed="false">
      <c r="A105" s="38" t="s">
        <v>342</v>
      </c>
      <c r="B105" s="38" t="s">
        <v>162</v>
      </c>
      <c r="C105" s="81" t="n">
        <v>3</v>
      </c>
      <c r="D105" s="81" t="n">
        <v>2</v>
      </c>
      <c r="E105" s="81" t="n">
        <v>3</v>
      </c>
      <c r="G105" s="82" t="n">
        <f aca="false">IF(C$108=0,0,C105/C$108)</f>
        <v>1.8310546875E-005</v>
      </c>
      <c r="H105" s="82" t="n">
        <f aca="false">IF(D$108=0,0,D105/D$108)</f>
        <v>1.72874294456786E-005</v>
      </c>
      <c r="I105" s="82" t="n">
        <f aca="false">IF(E$108=0,0,E105/E$108)</f>
        <v>7.63354893868225E-006</v>
      </c>
    </row>
    <row r="106" customFormat="false" ht="15" hidden="false" customHeight="false" outlineLevel="0" collapsed="false">
      <c r="A106" s="38" t="s">
        <v>343</v>
      </c>
      <c r="B106" s="38" t="s">
        <v>162</v>
      </c>
      <c r="C106" s="81" t="n">
        <v>81336</v>
      </c>
      <c r="D106" s="81" t="n">
        <v>70297</v>
      </c>
      <c r="E106" s="81" t="n">
        <v>197067</v>
      </c>
      <c r="G106" s="82" t="n">
        <f aca="false">IF(C$108=0,0,C106/C$108)</f>
        <v>0.496435546875</v>
      </c>
      <c r="H106" s="82" t="n">
        <f aca="false">IF(D$108=0,0,D106/D$108)</f>
        <v>0.607627213871433</v>
      </c>
      <c r="I106" s="82" t="n">
        <f aca="false">IF(E$108=0,0,E106/E$108)</f>
        <v>0.501440196233098</v>
      </c>
    </row>
    <row r="107" customFormat="false" ht="15" hidden="false" customHeight="false" outlineLevel="0" collapsed="false">
      <c r="A107" s="29" t="s">
        <v>344</v>
      </c>
      <c r="C107" s="39" t="n">
        <f aca="false">SUM(C96:C106)</f>
        <v>163841</v>
      </c>
      <c r="D107" s="39" t="n">
        <f aca="false">SUM(D96:D106)</f>
        <v>115692</v>
      </c>
      <c r="E107" s="39" t="n">
        <f aca="false">SUM(E96:E106)</f>
        <v>393002</v>
      </c>
    </row>
    <row r="108" customFormat="false" ht="15" hidden="false" customHeight="false" outlineLevel="0" collapsed="false">
      <c r="A108" s="34" t="s">
        <v>345</v>
      </c>
      <c r="B108" s="38" t="s">
        <v>162</v>
      </c>
      <c r="C108" s="81" t="n">
        <v>163840</v>
      </c>
      <c r="D108" s="81" t="n">
        <v>115691</v>
      </c>
      <c r="E108" s="81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356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357</v>
      </c>
    </row>
    <row r="5" customFormat="false" ht="15" hidden="false" customHeight="false" outlineLevel="0" collapsed="false">
      <c r="A5" s="63" t="s">
        <v>358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83" t="s">
        <v>11</v>
      </c>
    </row>
    <row r="8" customFormat="false" ht="15" hidden="false" customHeight="false" outlineLevel="0" collapsed="false">
      <c r="A8" s="8" t="s">
        <v>359</v>
      </c>
      <c r="B8" s="8" t="s">
        <v>360</v>
      </c>
      <c r="C8" s="8" t="s">
        <v>361</v>
      </c>
      <c r="D8" s="8" t="s">
        <v>362</v>
      </c>
      <c r="E8" s="8" t="s">
        <v>363</v>
      </c>
      <c r="F8" s="8" t="s">
        <v>364</v>
      </c>
      <c r="G8" s="8" t="s">
        <v>365</v>
      </c>
      <c r="H8" s="8" t="s">
        <v>366</v>
      </c>
    </row>
    <row r="9" customFormat="false" ht="15" hidden="false" customHeight="false" outlineLevel="0" collapsed="false">
      <c r="A9" s="38" t="s">
        <v>341</v>
      </c>
      <c r="B9" s="84" t="n">
        <f aca="false">IF(SUMPRODUCT(ABS('LCIA (Annex 1)'!C6:C16))=0,0,('LCIA (Annex 1)'!C14)/SUMPRODUCT(ABS('LCIA (Annex 1)'!C6:C16)))</f>
        <v>0.552819414703783</v>
      </c>
      <c r="C9" s="84" t="n">
        <f aca="false">IF(SUMPRODUCT(ABS('LCIA (Annex 1)'!C21:C31))=0,0,('LCIA (Annex 1)'!C29)/SUMPRODUCT(ABS('LCIA (Annex 1)'!C21:C31)))</f>
        <v>0.233312622048642</v>
      </c>
      <c r="D9" s="84" t="n">
        <f aca="false">IF(SUMPRODUCT(ABS('LCIA (Annex 1)'!C36:C46))=0,0,('LCIA (Annex 1)'!C44)/SUMPRODUCT(ABS('LCIA (Annex 1)'!C36:C46)))</f>
        <v>0.994750906661577</v>
      </c>
      <c r="E9" s="84" t="n">
        <f aca="false">IF(SUMPRODUCT(ABS('LCIA (Annex 1)'!C51:C61))=0,0,('LCIA (Annex 1)'!C59)/SUMPRODUCT(ABS('LCIA (Annex 1)'!C51:C61)))</f>
        <v>0.19047619047619</v>
      </c>
      <c r="F9" s="84" t="n">
        <f aca="false">IF(SUMPRODUCT(ABS('LCIA (Annex 1)'!C66:C76))=0,0,('LCIA (Annex 1)'!C74)/SUMPRODUCT(ABS('LCIA (Annex 1)'!C66:C76)))</f>
        <v>0.307692307692308</v>
      </c>
      <c r="G9" s="84" t="n">
        <f aca="false">IF(SUMPRODUCT(ABS('LCIA (Annex 1)'!C81:C91))=0,0,('LCIA (Annex 1)'!C89)/SUMPRODUCT(ABS('LCIA (Annex 1)'!C81:C91)))</f>
        <v>0.659198913781399</v>
      </c>
      <c r="H9" s="84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8" t="s">
        <v>367</v>
      </c>
      <c r="B10" s="84" t="n">
        <f aca="false">IF(SUMPRODUCT(ABS('LCIA (Annex 1)'!C6:C16))=0,0,('LCIA (Annex 1)'!C10)/SUMPRODUCT(ABS('LCIA (Annex 1)'!C6:C16)))</f>
        <v>0</v>
      </c>
      <c r="C10" s="84" t="n">
        <f aca="false">IF(SUMPRODUCT(ABS('LCIA (Annex 1)'!C21:C31))=0,0,('LCIA (Annex 1)'!C25)/SUMPRODUCT(ABS('LCIA (Annex 1)'!C21:C31)))</f>
        <v>0</v>
      </c>
      <c r="D10" s="84" t="n">
        <f aca="false">IF(SUMPRODUCT(ABS('LCIA (Annex 1)'!C36:C46))=0,0,('LCIA (Annex 1)'!C40)/SUMPRODUCT(ABS('LCIA (Annex 1)'!C36:C46)))</f>
        <v>0</v>
      </c>
      <c r="E10" s="84" t="n">
        <f aca="false">IF(SUMPRODUCT(ABS('LCIA (Annex 1)'!C51:C61))=0,0,('LCIA (Annex 1)'!C55)/SUMPRODUCT(ABS('LCIA (Annex 1)'!C51:C61)))</f>
        <v>0.595238095238095</v>
      </c>
      <c r="F10" s="84" t="n">
        <f aca="false">IF(SUMPRODUCT(ABS('LCIA (Annex 1)'!C66:C76))=0,0,('LCIA (Annex 1)'!C70)/SUMPRODUCT(ABS('LCIA (Annex 1)'!C66:C76)))</f>
        <v>0.615384615384615</v>
      </c>
      <c r="G10" s="84" t="n">
        <f aca="false">IF(SUMPRODUCT(ABS('LCIA (Annex 1)'!C81:C91))=0,0,('LCIA (Annex 1)'!C85)/SUMPRODUCT(ABS('LCIA (Annex 1)'!C81:C91)))</f>
        <v>0</v>
      </c>
      <c r="H10" s="84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8" t="s">
        <v>335</v>
      </c>
      <c r="B11" s="84" t="n">
        <f aca="false">IF(SUMPRODUCT(ABS('LCIA (Annex 1)'!C6:C16))=0,0,('LCIA (Annex 1)'!C7)/SUMPRODUCT(ABS('LCIA (Annex 1)'!C6:C16)))</f>
        <v>0.117773019271949</v>
      </c>
      <c r="C11" s="84" t="n">
        <f aca="false">IF(SUMPRODUCT(ABS('LCIA (Annex 1)'!C21:C31))=0,0,('LCIA (Annex 1)'!C22)/SUMPRODUCT(ABS('LCIA (Annex 1)'!C21:C31)))</f>
        <v>0.507322918515889</v>
      </c>
      <c r="D11" s="84" t="n">
        <f aca="false">IF(SUMPRODUCT(ABS('LCIA (Annex 1)'!C36:C46))=0,0,('LCIA (Annex 1)'!C37)/SUMPRODUCT(ABS('LCIA (Annex 1)'!C36:C46)))</f>
        <v>0</v>
      </c>
      <c r="E11" s="84" t="n">
        <f aca="false">IF(SUMPRODUCT(ABS('LCIA (Annex 1)'!C51:C61))=0,0,('LCIA (Annex 1)'!C52)/SUMPRODUCT(ABS('LCIA (Annex 1)'!C51:C61)))</f>
        <v>0.0476190476190476</v>
      </c>
      <c r="F11" s="84" t="n">
        <f aca="false">IF(SUMPRODUCT(ABS('LCIA (Annex 1)'!C66:C76))=0,0,('LCIA (Annex 1)'!C67)/SUMPRODUCT(ABS('LCIA (Annex 1)'!C66:C76)))</f>
        <v>0.0384615384615385</v>
      </c>
      <c r="G11" s="84" t="n">
        <f aca="false">IF(SUMPRODUCT(ABS('LCIA (Annex 1)'!C81:C91))=0,0,('LCIA (Annex 1)'!C82)/SUMPRODUCT(ABS('LCIA (Annex 1)'!C81:C91)))</f>
        <v>0.00271554650373388</v>
      </c>
      <c r="H11" s="84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8" t="s">
        <v>342</v>
      </c>
      <c r="B12" s="84" t="n">
        <f aca="false">IF(SUMPRODUCT(ABS('LCIA (Annex 1)'!C6:C16))=0,0,('LCIA (Annex 1)'!C15)/SUMPRODUCT(ABS('LCIA (Annex 1)'!C6:C16)))</f>
        <v>0.11598857958601</v>
      </c>
      <c r="C12" s="84" t="n">
        <f aca="false">IF(SUMPRODUCT(ABS('LCIA (Annex 1)'!C21:C31))=0,0,('LCIA (Annex 1)'!C30)/SUMPRODUCT(ABS('LCIA (Annex 1)'!C21:C31)))</f>
        <v>0.0608357003372981</v>
      </c>
      <c r="D12" s="84" t="n">
        <f aca="false">IF(SUMPRODUCT(ABS('LCIA (Annex 1)'!C36:C46))=0,0,('LCIA (Annex 1)'!C45)/SUMPRODUCT(ABS('LCIA (Annex 1)'!C36:C46)))</f>
        <v>0</v>
      </c>
      <c r="E12" s="84" t="n">
        <f aca="false">IF(SUMPRODUCT(ABS('LCIA (Annex 1)'!C51:C61))=0,0,('LCIA (Annex 1)'!C60)/SUMPRODUCT(ABS('LCIA (Annex 1)'!C51:C61)))</f>
        <v>0.0476190476190476</v>
      </c>
      <c r="F12" s="84" t="n">
        <f aca="false">IF(SUMPRODUCT(ABS('LCIA (Annex 1)'!C66:C76))=0,0,('LCIA (Annex 1)'!C75)/SUMPRODUCT(ABS('LCIA (Annex 1)'!C66:C76)))</f>
        <v>0</v>
      </c>
      <c r="G12" s="84" t="n">
        <f aca="false">IF(SUMPRODUCT(ABS('LCIA (Annex 1)'!C81:C91))=0,0,('LCIA (Annex 1)'!C90)/SUMPRODUCT(ABS('LCIA (Annex 1)'!C81:C91)))</f>
        <v>0.00135777325186694</v>
      </c>
      <c r="H12" s="84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8" t="s">
        <v>340</v>
      </c>
      <c r="B13" s="84" t="n">
        <f aca="false">IF(SUMPRODUCT(ABS('LCIA (Annex 1)'!C6:C16))=0,0,('LCIA (Annex 1)'!C12)/SUMPRODUCT(ABS('LCIA (Annex 1)'!C6:C16)))</f>
        <v>0.137758743754461</v>
      </c>
      <c r="C13" s="84" t="n">
        <f aca="false">IF(SUMPRODUCT(ABS('LCIA (Annex 1)'!C21:C31))=0,0,('LCIA (Annex 1)'!C27)/SUMPRODUCT(ABS('LCIA (Annex 1)'!C21:C31)))</f>
        <v>0.155589827800462</v>
      </c>
      <c r="D13" s="84" t="n">
        <f aca="false">IF(SUMPRODUCT(ABS('LCIA (Annex 1)'!C36:C46))=0,0,('LCIA (Annex 1)'!C42)/SUMPRODUCT(ABS('LCIA (Annex 1)'!C36:C46)))</f>
        <v>0</v>
      </c>
      <c r="E13" s="84" t="n">
        <f aca="false">IF(SUMPRODUCT(ABS('LCIA (Annex 1)'!C51:C61))=0,0,('LCIA (Annex 1)'!C57)/SUMPRODUCT(ABS('LCIA (Annex 1)'!C51:C61)))</f>
        <v>0.0714285714285714</v>
      </c>
      <c r="F13" s="84" t="n">
        <f aca="false">IF(SUMPRODUCT(ABS('LCIA (Annex 1)'!C66:C76))=0,0,('LCIA (Annex 1)'!C72)/SUMPRODUCT(ABS('LCIA (Annex 1)'!C66:C76)))</f>
        <v>0.0384615384615385</v>
      </c>
      <c r="G13" s="84" t="n">
        <f aca="false">IF(SUMPRODUCT(ABS('LCIA (Annex 1)'!C81:C91))=0,0,('LCIA (Annex 1)'!C87)/SUMPRODUCT(ABS('LCIA (Annex 1)'!C81:C91)))</f>
        <v>0.00203665987780041</v>
      </c>
      <c r="H13" s="84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8" t="s">
        <v>368</v>
      </c>
      <c r="B14" s="84" t="n">
        <f aca="false">IF(SUMPRODUCT(ABS('LCIA (Annex 1)'!C6:C16))=0,0,('LCIA (Annex 1)'!C16)/SUMPRODUCT(ABS('LCIA (Annex 1)'!C6:C16)))</f>
        <v>0</v>
      </c>
      <c r="C14" s="84" t="n">
        <f aca="false">IF(SUMPRODUCT(ABS('LCIA (Annex 1)'!C21:C31))=0,0,('LCIA (Annex 1)'!C31)/SUMPRODUCT(ABS('LCIA (Annex 1)'!C21:C31)))</f>
        <v>0</v>
      </c>
      <c r="D14" s="84" t="n">
        <f aca="false">IF(SUMPRODUCT(ABS('LCIA (Annex 1)'!C36:C46))=0,0,('LCIA (Annex 1)'!C46)/SUMPRODUCT(ABS('LCIA (Annex 1)'!C36:C46)))</f>
        <v>0</v>
      </c>
      <c r="E14" s="84" t="n">
        <f aca="false">IF(SUMPRODUCT(ABS('LCIA (Annex 1)'!C51:C61))=0,0,('LCIA (Annex 1)'!C61)/SUMPRODUCT(ABS('LCIA (Annex 1)'!C51:C61)))</f>
        <v>0</v>
      </c>
      <c r="F14" s="84" t="n">
        <f aca="false">IF(SUMPRODUCT(ABS('LCIA (Annex 1)'!C66:C76))=0,0,('LCIA (Annex 1)'!C76)/SUMPRODUCT(ABS('LCIA (Annex 1)'!C66:C76)))</f>
        <v>0</v>
      </c>
      <c r="G14" s="84" t="n">
        <f aca="false">IF(SUMPRODUCT(ABS('LCIA (Annex 1)'!C81:C91))=0,0,('LCIA (Annex 1)'!C91)/SUMPRODUCT(ABS('LCIA (Annex 1)'!C81:C91)))</f>
        <v>0.319416157501697</v>
      </c>
      <c r="H14" s="84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8" t="s">
        <v>336</v>
      </c>
      <c r="B15" s="84" t="n">
        <f aca="false">IF(SUMPRODUCT(ABS('LCIA (Annex 1)'!C6:C16))=0,0,('LCIA (Annex 1)'!C8)/SUMPRODUCT(ABS('LCIA (Annex 1)'!C6:C16)))</f>
        <v>0</v>
      </c>
      <c r="C15" s="84" t="n">
        <f aca="false">IF(SUMPRODUCT(ABS('LCIA (Annex 1)'!C21:C31))=0,0,('LCIA (Annex 1)'!C23)/SUMPRODUCT(ABS('LCIA (Annex 1)'!C21:C31)))</f>
        <v>0</v>
      </c>
      <c r="D15" s="84" t="n">
        <f aca="false">IF(SUMPRODUCT(ABS('LCIA (Annex 1)'!C36:C46))=0,0,('LCIA (Annex 1)'!C38)/SUMPRODUCT(ABS('LCIA (Annex 1)'!C36:C46)))</f>
        <v>0</v>
      </c>
      <c r="E15" s="84" t="n">
        <f aca="false">IF(SUMPRODUCT(ABS('LCIA (Annex 1)'!C51:C61))=0,0,('LCIA (Annex 1)'!C53)/SUMPRODUCT(ABS('LCIA (Annex 1)'!C51:C61)))</f>
        <v>0</v>
      </c>
      <c r="F15" s="84" t="n">
        <f aca="false">IF(SUMPRODUCT(ABS('LCIA (Annex 1)'!C66:C76))=0,0,('LCIA (Annex 1)'!C68)/SUMPRODUCT(ABS('LCIA (Annex 1)'!C66:C76)))</f>
        <v>0</v>
      </c>
      <c r="G15" s="84" t="n">
        <f aca="false">IF(SUMPRODUCT(ABS('LCIA (Annex 1)'!C81:C91))=0,0,('LCIA (Annex 1)'!C83)/SUMPRODUCT(ABS('LCIA (Annex 1)'!C81:C91)))</f>
        <v>0</v>
      </c>
      <c r="H15" s="84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8" t="s">
        <v>369</v>
      </c>
      <c r="B16" s="84" t="n">
        <f aca="false">IF(SUMPRODUCT(ABS('LCIA (Annex 1)'!C6:C16))=0,0,('LCIA (Annex 1)'!C6+'LCIA (Annex 1)'!C9+'LCIA (Annex 1)'!C11+'LCIA (Annex 1)'!C13)/SUMPRODUCT(ABS('LCIA (Annex 1)'!C6:C16)))</f>
        <v>0.0756602426837973</v>
      </c>
      <c r="C16" s="84" t="n">
        <f aca="false">IF(SUMPRODUCT(ABS('LCIA (Annex 1)'!C21:C31))=0,0,('LCIA (Annex 1)'!C21+'LCIA (Annex 1)'!C24+'LCIA (Annex 1)'!C26+'LCIA (Annex 1)'!C28)/SUMPRODUCT(ABS('LCIA (Annex 1)'!C21:C31)))</f>
        <v>0.0429389312977099</v>
      </c>
      <c r="D16" s="84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84" t="n">
        <f aca="false">IF(SUMPRODUCT(ABS('LCIA (Annex 1)'!C51:C61))=0,0,('LCIA (Annex 1)'!C51+'LCIA (Annex 1)'!C54+'LCIA (Annex 1)'!C56+'LCIA (Annex 1)'!C58)/SUMPRODUCT(ABS('LCIA (Annex 1)'!C51:C61)))</f>
        <v>0.0476190476190476</v>
      </c>
      <c r="F16" s="84" t="n">
        <f aca="false">IF(SUMPRODUCT(ABS('LCIA (Annex 1)'!C66:C76))=0,0,('LCIA (Annex 1)'!C66+'LCIA (Annex 1)'!C69+'LCIA (Annex 1)'!C71+'LCIA (Annex 1)'!C73)/SUMPRODUCT(ABS('LCIA (Annex 1)'!C66:C76)))</f>
        <v>0</v>
      </c>
      <c r="G16" s="84" t="n">
        <f aca="false">IF(SUMPRODUCT(ABS('LCIA (Annex 1)'!C81:C91))=0,0,('LCIA (Annex 1)'!C81+'LCIA (Annex 1)'!C84+'LCIA (Annex 1)'!C86+'LCIA (Annex 1)'!C88)/SUMPRODUCT(ABS('LCIA (Annex 1)'!C81:C91)))</f>
        <v>0.0152749490835031</v>
      </c>
      <c r="H16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85" t="s">
        <v>15</v>
      </c>
    </row>
    <row r="27" customFormat="false" ht="15" hidden="false" customHeight="false" outlineLevel="0" collapsed="false">
      <c r="A27" s="8" t="s">
        <v>359</v>
      </c>
      <c r="B27" s="8" t="s">
        <v>360</v>
      </c>
      <c r="C27" s="8" t="s">
        <v>361</v>
      </c>
      <c r="D27" s="8" t="s">
        <v>362</v>
      </c>
      <c r="E27" s="8" t="s">
        <v>363</v>
      </c>
      <c r="F27" s="8" t="s">
        <v>364</v>
      </c>
      <c r="G27" s="8" t="s">
        <v>365</v>
      </c>
      <c r="H27" s="8" t="s">
        <v>366</v>
      </c>
    </row>
    <row r="28" customFormat="false" ht="15" hidden="false" customHeight="false" outlineLevel="0" collapsed="false">
      <c r="A28" s="38" t="s">
        <v>341</v>
      </c>
      <c r="B28" s="84" t="n">
        <f aca="false">IF(SUMPRODUCT(ABS('LCIA (Annex 1)'!D6:D16))=0,0,('LCIA (Annex 1)'!D14)/SUMPRODUCT(ABS('LCIA (Annex 1)'!D6:D16)))</f>
        <v>0.584529505582137</v>
      </c>
      <c r="C28" s="84" t="n">
        <f aca="false">IF(SUMPRODUCT(ABS('LCIA (Annex 1)'!D21:D31))=0,0,('LCIA (Annex 1)'!D29)/SUMPRODUCT(ABS('LCIA (Annex 1)'!D21:D31)))</f>
        <v>0.413677540975022</v>
      </c>
      <c r="D28" s="84" t="n">
        <f aca="false">IF(SUMPRODUCT(ABS('LCIA (Annex 1)'!D36:D46))=0,0,('LCIA (Annex 1)'!D44)/SUMPRODUCT(ABS('LCIA (Annex 1)'!D36:D46)))</f>
        <v>0.991594729668333</v>
      </c>
      <c r="E28" s="84" t="n">
        <f aca="false">IF(SUMPRODUCT(ABS('LCIA (Annex 1)'!D51:D61))=0,0,('LCIA (Annex 1)'!D59)/SUMPRODUCT(ABS('LCIA (Annex 1)'!D51:D61)))</f>
        <v>0.6</v>
      </c>
      <c r="F28" s="84" t="n">
        <f aca="false">IF(SUMPRODUCT(ABS('LCIA (Annex 1)'!D66:D76))=0,0,('LCIA (Annex 1)'!D74)/SUMPRODUCT(ABS('LCIA (Annex 1)'!D66:D76)))</f>
        <v>0.75</v>
      </c>
      <c r="G28" s="84" t="n">
        <f aca="false">IF(SUMPRODUCT(ABS('LCIA (Annex 1)'!D81:D91))=0,0,('LCIA (Annex 1)'!D89)/SUMPRODUCT(ABS('LCIA (Annex 1)'!D81:D91)))</f>
        <v>0.135135135135135</v>
      </c>
      <c r="H28" s="84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8" t="s">
        <v>367</v>
      </c>
      <c r="B29" s="84" t="n">
        <f aca="false">IF(SUMPRODUCT(ABS('LCIA (Annex 1)'!D6:D16))=0,0,('LCIA (Annex 1)'!D10)/SUMPRODUCT(ABS('LCIA (Annex 1)'!D6:D16)))</f>
        <v>0</v>
      </c>
      <c r="C29" s="84" t="n">
        <f aca="false">IF(SUMPRODUCT(ABS('LCIA (Annex 1)'!D21:D31))=0,0,('LCIA (Annex 1)'!D25)/SUMPRODUCT(ABS('LCIA (Annex 1)'!D21:D31)))</f>
        <v>0</v>
      </c>
      <c r="D29" s="84" t="n">
        <f aca="false">IF(SUMPRODUCT(ABS('LCIA (Annex 1)'!D36:D46))=0,0,('LCIA (Annex 1)'!D40)/SUMPRODUCT(ABS('LCIA (Annex 1)'!D36:D46)))</f>
        <v>0</v>
      </c>
      <c r="E29" s="84" t="n">
        <f aca="false">IF(SUMPRODUCT(ABS('LCIA (Annex 1)'!D51:D61))=0,0,('LCIA (Annex 1)'!D55)/SUMPRODUCT(ABS('LCIA (Annex 1)'!D51:D61)))</f>
        <v>0</v>
      </c>
      <c r="F29" s="84" t="n">
        <f aca="false">IF(SUMPRODUCT(ABS('LCIA (Annex 1)'!D66:D76))=0,0,('LCIA (Annex 1)'!D70)/SUMPRODUCT(ABS('LCIA (Annex 1)'!D66:D76)))</f>
        <v>-0.25</v>
      </c>
      <c r="G29" s="84" t="n">
        <f aca="false">IF(SUMPRODUCT(ABS('LCIA (Annex 1)'!D81:D91))=0,0,('LCIA (Annex 1)'!D85)/SUMPRODUCT(ABS('LCIA (Annex 1)'!D81:D91)))</f>
        <v>0</v>
      </c>
      <c r="H29" s="84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8" t="s">
        <v>335</v>
      </c>
      <c r="B30" s="84" t="n">
        <f aca="false">IF(SUMPRODUCT(ABS('LCIA (Annex 1)'!D6:D16))=0,0,('LCIA (Annex 1)'!D7)/SUMPRODUCT(ABS('LCIA (Annex 1)'!D6:D16)))</f>
        <v>0.00478468899521531</v>
      </c>
      <c r="C30" s="84" t="n">
        <f aca="false">IF(SUMPRODUCT(ABS('LCIA (Annex 1)'!D21:D31))=0,0,('LCIA (Annex 1)'!D22)/SUMPRODUCT(ABS('LCIA (Annex 1)'!D21:D31)))</f>
        <v>0.00429386814682935</v>
      </c>
      <c r="D30" s="84" t="n">
        <f aca="false">IF(SUMPRODUCT(ABS('LCIA (Annex 1)'!D36:D46))=0,0,('LCIA (Annex 1)'!D37)/SUMPRODUCT(ABS('LCIA (Annex 1)'!D36:D46)))</f>
        <v>0</v>
      </c>
      <c r="E30" s="84" t="n">
        <f aca="false">IF(SUMPRODUCT(ABS('LCIA (Annex 1)'!D51:D61))=0,0,('LCIA (Annex 1)'!D52)/SUMPRODUCT(ABS('LCIA (Annex 1)'!D51:D61)))</f>
        <v>0</v>
      </c>
      <c r="F30" s="84" t="n">
        <f aca="false">IF(SUMPRODUCT(ABS('LCIA (Annex 1)'!D66:D76))=0,0,('LCIA (Annex 1)'!D67)/SUMPRODUCT(ABS('LCIA (Annex 1)'!D66:D76)))</f>
        <v>0</v>
      </c>
      <c r="G30" s="84" t="n">
        <f aca="false">IF(SUMPRODUCT(ABS('LCIA (Annex 1)'!D81:D91))=0,0,('LCIA (Annex 1)'!D82)/SUMPRODUCT(ABS('LCIA (Annex 1)'!D81:D91)))</f>
        <v>0</v>
      </c>
      <c r="H30" s="84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8" t="s">
        <v>342</v>
      </c>
      <c r="B31" s="84" t="n">
        <f aca="false">IF(SUMPRODUCT(ABS('LCIA (Annex 1)'!D6:D16))=0,0,('LCIA (Annex 1)'!D15)/SUMPRODUCT(ABS('LCIA (Annex 1)'!D6:D16)))</f>
        <v>0.165869218500797</v>
      </c>
      <c r="C31" s="84" t="n">
        <f aca="false">IF(SUMPRODUCT(ABS('LCIA (Annex 1)'!D21:D31))=0,0,('LCIA (Annex 1)'!D30)/SUMPRODUCT(ABS('LCIA (Annex 1)'!D21:D31)))</f>
        <v>0.183117767188564</v>
      </c>
      <c r="D31" s="84" t="n">
        <f aca="false">IF(SUMPRODUCT(ABS('LCIA (Annex 1)'!D36:D46))=0,0,('LCIA (Annex 1)'!D45)/SUMPRODUCT(ABS('LCIA (Annex 1)'!D36:D46)))</f>
        <v>0</v>
      </c>
      <c r="E31" s="84" t="n">
        <f aca="false">IF(SUMPRODUCT(ABS('LCIA (Annex 1)'!D51:D61))=0,0,('LCIA (Annex 1)'!D60)/SUMPRODUCT(ABS('LCIA (Annex 1)'!D51:D61)))</f>
        <v>0.2</v>
      </c>
      <c r="F31" s="84" t="n">
        <f aca="false">IF(SUMPRODUCT(ABS('LCIA (Annex 1)'!D66:D76))=0,0,('LCIA (Annex 1)'!D75)/SUMPRODUCT(ABS('LCIA (Annex 1)'!D66:D76)))</f>
        <v>0</v>
      </c>
      <c r="G31" s="84" t="n">
        <f aca="false">IF(SUMPRODUCT(ABS('LCIA (Annex 1)'!D81:D91))=0,0,('LCIA (Annex 1)'!D90)/SUMPRODUCT(ABS('LCIA (Annex 1)'!D81:D91)))</f>
        <v>0.000614250614250614</v>
      </c>
      <c r="H31" s="84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8" t="s">
        <v>340</v>
      </c>
      <c r="B32" s="84" t="n">
        <f aca="false">IF(SUMPRODUCT(ABS('LCIA (Annex 1)'!D6:D16))=0,0,('LCIA (Annex 1)'!D12)/SUMPRODUCT(ABS('LCIA (Annex 1)'!D6:D16)))</f>
        <v>0.181818181818182</v>
      </c>
      <c r="C32" s="84" t="n">
        <f aca="false">IF(SUMPRODUCT(ABS('LCIA (Annex 1)'!D21:D31))=0,0,('LCIA (Annex 1)'!D27)/SUMPRODUCT(ABS('LCIA (Annex 1)'!D21:D31)))</f>
        <v>0.327171807090119</v>
      </c>
      <c r="D32" s="84" t="n">
        <f aca="false">IF(SUMPRODUCT(ABS('LCIA (Annex 1)'!D36:D46))=0,0,('LCIA (Annex 1)'!D42)/SUMPRODUCT(ABS('LCIA (Annex 1)'!D36:D46)))</f>
        <v>0</v>
      </c>
      <c r="E32" s="84" t="n">
        <f aca="false">IF(SUMPRODUCT(ABS('LCIA (Annex 1)'!D51:D61))=0,0,('LCIA (Annex 1)'!D57)/SUMPRODUCT(ABS('LCIA (Annex 1)'!D51:D61)))</f>
        <v>0.2</v>
      </c>
      <c r="F32" s="84" t="n">
        <f aca="false">IF(SUMPRODUCT(ABS('LCIA (Annex 1)'!D66:D76))=0,0,('LCIA (Annex 1)'!D72)/SUMPRODUCT(ABS('LCIA (Annex 1)'!D66:D76)))</f>
        <v>0</v>
      </c>
      <c r="G32" s="84" t="n">
        <f aca="false">IF(SUMPRODUCT(ABS('LCIA (Annex 1)'!D81:D91))=0,0,('LCIA (Annex 1)'!D87)/SUMPRODUCT(ABS('LCIA (Annex 1)'!D81:D91)))</f>
        <v>0</v>
      </c>
      <c r="H32" s="84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8" t="s">
        <v>368</v>
      </c>
      <c r="B33" s="84" t="n">
        <f aca="false">IF(SUMPRODUCT(ABS('LCIA (Annex 1)'!D6:D16))=0,0,('LCIA (Annex 1)'!D16)/SUMPRODUCT(ABS('LCIA (Annex 1)'!D6:D16)))</f>
        <v>0</v>
      </c>
      <c r="C33" s="84" t="n">
        <f aca="false">IF(SUMPRODUCT(ABS('LCIA (Annex 1)'!D21:D31))=0,0,('LCIA (Annex 1)'!D31)/SUMPRODUCT(ABS('LCIA (Annex 1)'!D21:D31)))</f>
        <v>0</v>
      </c>
      <c r="D33" s="84" t="n">
        <f aca="false">IF(SUMPRODUCT(ABS('LCIA (Annex 1)'!D36:D46))=0,0,('LCIA (Annex 1)'!D46)/SUMPRODUCT(ABS('LCIA (Annex 1)'!D36:D46)))</f>
        <v>0</v>
      </c>
      <c r="E33" s="84" t="n">
        <f aca="false">IF(SUMPRODUCT(ABS('LCIA (Annex 1)'!D51:D61))=0,0,('LCIA (Annex 1)'!D61)/SUMPRODUCT(ABS('LCIA (Annex 1)'!D51:D61)))</f>
        <v>0</v>
      </c>
      <c r="F33" s="84" t="n">
        <f aca="false">IF(SUMPRODUCT(ABS('LCIA (Annex 1)'!D66:D76))=0,0,('LCIA (Annex 1)'!D76)/SUMPRODUCT(ABS('LCIA (Annex 1)'!D66:D76)))</f>
        <v>0</v>
      </c>
      <c r="G33" s="84" t="n">
        <f aca="false">IF(SUMPRODUCT(ABS('LCIA (Annex 1)'!D81:D91))=0,0,('LCIA (Annex 1)'!D91)/SUMPRODUCT(ABS('LCIA (Annex 1)'!D81:D91)))</f>
        <v>0.858722358722359</v>
      </c>
      <c r="H33" s="84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8" t="s">
        <v>336</v>
      </c>
      <c r="B34" s="84" t="n">
        <f aca="false">IF(SUMPRODUCT(ABS('LCIA (Annex 1)'!D6:D16))=0,0,('LCIA (Annex 1)'!D8)/SUMPRODUCT(ABS('LCIA (Annex 1)'!D6:D16)))</f>
        <v>0</v>
      </c>
      <c r="C34" s="84" t="n">
        <f aca="false">IF(SUMPRODUCT(ABS('LCIA (Annex 1)'!D21:D31))=0,0,('LCIA (Annex 1)'!D23)/SUMPRODUCT(ABS('LCIA (Annex 1)'!D21:D31)))</f>
        <v>0</v>
      </c>
      <c r="D34" s="84" t="n">
        <f aca="false">IF(SUMPRODUCT(ABS('LCIA (Annex 1)'!D36:D46))=0,0,('LCIA (Annex 1)'!D38)/SUMPRODUCT(ABS('LCIA (Annex 1)'!D36:D46)))</f>
        <v>0</v>
      </c>
      <c r="E34" s="84" t="n">
        <f aca="false">IF(SUMPRODUCT(ABS('LCIA (Annex 1)'!D51:D61))=0,0,('LCIA (Annex 1)'!D53)/SUMPRODUCT(ABS('LCIA (Annex 1)'!D51:D61)))</f>
        <v>0</v>
      </c>
      <c r="F34" s="84" t="n">
        <f aca="false">IF(SUMPRODUCT(ABS('LCIA (Annex 1)'!D66:D76))=0,0,('LCIA (Annex 1)'!D68)/SUMPRODUCT(ABS('LCIA (Annex 1)'!D66:D76)))</f>
        <v>0</v>
      </c>
      <c r="G34" s="84" t="n">
        <f aca="false">IF(SUMPRODUCT(ABS('LCIA (Annex 1)'!D81:D91))=0,0,('LCIA (Annex 1)'!D83)/SUMPRODUCT(ABS('LCIA (Annex 1)'!D81:D91)))</f>
        <v>0</v>
      </c>
      <c r="H34" s="84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8" t="s">
        <v>369</v>
      </c>
      <c r="B35" s="84" t="n">
        <f aca="false">IF(SUMPRODUCT(ABS('LCIA (Annex 1)'!D6:D16))=0,0,('LCIA (Annex 1)'!D6+'LCIA (Annex 1)'!D9+'LCIA (Annex 1)'!D11+'LCIA (Annex 1)'!D13)/SUMPRODUCT(ABS('LCIA (Annex 1)'!D6:D16)))</f>
        <v>0.0629984051036683</v>
      </c>
      <c r="C35" s="84" t="n">
        <f aca="false">IF(SUMPRODUCT(ABS('LCIA (Annex 1)'!D21:D31))=0,0,('LCIA (Annex 1)'!D21+'LCIA (Annex 1)'!D24+'LCIA (Annex 1)'!D26+'LCIA (Annex 1)'!D28)/SUMPRODUCT(ABS('LCIA (Annex 1)'!D21:D31)))</f>
        <v>0.0717390165994659</v>
      </c>
      <c r="D35" s="84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84" t="n">
        <f aca="false">IF(SUMPRODUCT(ABS('LCIA (Annex 1)'!D51:D61))=0,0,('LCIA (Annex 1)'!D51+'LCIA (Annex 1)'!D54+'LCIA (Annex 1)'!D56+'LCIA (Annex 1)'!D58)/SUMPRODUCT(ABS('LCIA (Annex 1)'!D51:D61)))</f>
        <v>0</v>
      </c>
      <c r="F35" s="84" t="n">
        <f aca="false">IF(SUMPRODUCT(ABS('LCIA (Annex 1)'!D66:D76))=0,0,('LCIA (Annex 1)'!D66+'LCIA (Annex 1)'!D69+'LCIA (Annex 1)'!D71+'LCIA (Annex 1)'!D73)/SUMPRODUCT(ABS('LCIA (Annex 1)'!D66:D76)))</f>
        <v>0</v>
      </c>
      <c r="G35" s="84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86" t="s">
        <v>19</v>
      </c>
    </row>
    <row r="46" customFormat="false" ht="15" hidden="false" customHeight="false" outlineLevel="0" collapsed="false">
      <c r="A46" s="8" t="s">
        <v>359</v>
      </c>
      <c r="B46" s="8" t="s">
        <v>360</v>
      </c>
      <c r="C46" s="8" t="s">
        <v>361</v>
      </c>
      <c r="D46" s="8" t="s">
        <v>362</v>
      </c>
      <c r="E46" s="8" t="s">
        <v>363</v>
      </c>
      <c r="F46" s="8" t="s">
        <v>364</v>
      </c>
      <c r="G46" s="8" t="s">
        <v>365</v>
      </c>
      <c r="H46" s="8" t="s">
        <v>366</v>
      </c>
    </row>
    <row r="47" customFormat="false" ht="15" hidden="false" customHeight="false" outlineLevel="0" collapsed="false">
      <c r="A47" s="38" t="s">
        <v>341</v>
      </c>
      <c r="B47" s="84" t="n">
        <f aca="false">IF(SUMPRODUCT(ABS('LCIA (Annex 1)'!E6:E16))=0,0,('LCIA (Annex 1)'!E14)/SUMPRODUCT(ABS('LCIA (Annex 1)'!E6:E16)))</f>
        <v>0.660670194003527</v>
      </c>
      <c r="C47" s="84" t="n">
        <f aca="false">IF(SUMPRODUCT(ABS('LCIA (Annex 1)'!E21:E31))=0,0,('LCIA (Annex 1)'!E29)/SUMPRODUCT(ABS('LCIA (Annex 1)'!E21:E31)))</f>
        <v>0.252109672963152</v>
      </c>
      <c r="D47" s="84" t="n">
        <f aca="false">IF(SUMPRODUCT(ABS('LCIA (Annex 1)'!E36:E46))=0,0,('LCIA (Annex 1)'!E44)/SUMPRODUCT(ABS('LCIA (Annex 1)'!E36:E46)))</f>
        <v>0.999919080757404</v>
      </c>
      <c r="E47" s="84" t="n">
        <f aca="false">IF(SUMPRODUCT(ABS('LCIA (Annex 1)'!E51:E61))=0,0,('LCIA (Annex 1)'!E59)/SUMPRODUCT(ABS('LCIA (Annex 1)'!E51:E61)))</f>
        <v>0.227272727272727</v>
      </c>
      <c r="F47" s="84" t="n">
        <f aca="false">IF(SUMPRODUCT(ABS('LCIA (Annex 1)'!E66:E76))=0,0,('LCIA (Annex 1)'!E74)/SUMPRODUCT(ABS('LCIA (Annex 1)'!E66:E76)))</f>
        <v>0.133333333333333</v>
      </c>
      <c r="G47" s="84" t="n">
        <f aca="false">IF(SUMPRODUCT(ABS('LCIA (Annex 1)'!E81:E91))=0,0,('LCIA (Annex 1)'!E89)/SUMPRODUCT(ABS('LCIA (Annex 1)'!E81:E91)))</f>
        <v>0.798064787547329</v>
      </c>
      <c r="H47" s="84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8" t="s">
        <v>367</v>
      </c>
      <c r="B48" s="84" t="n">
        <f aca="false">IF(SUMPRODUCT(ABS('LCIA (Annex 1)'!E6:E16))=0,0,('LCIA (Annex 1)'!E10)/SUMPRODUCT(ABS('LCIA (Annex 1)'!E6:E16)))</f>
        <v>0</v>
      </c>
      <c r="C48" s="84" t="n">
        <f aca="false">IF(SUMPRODUCT(ABS('LCIA (Annex 1)'!E21:E31))=0,0,('LCIA (Annex 1)'!E25)/SUMPRODUCT(ABS('LCIA (Annex 1)'!E21:E31)))</f>
        <v>0</v>
      </c>
      <c r="D48" s="84" t="n">
        <f aca="false">IF(SUMPRODUCT(ABS('LCIA (Annex 1)'!E36:E46))=0,0,('LCIA (Annex 1)'!E40)/SUMPRODUCT(ABS('LCIA (Annex 1)'!E36:E46)))</f>
        <v>0</v>
      </c>
      <c r="E48" s="84" t="n">
        <f aca="false">IF(SUMPRODUCT(ABS('LCIA (Annex 1)'!E51:E61))=0,0,('LCIA (Annex 1)'!E55)/SUMPRODUCT(ABS('LCIA (Annex 1)'!E51:E61)))</f>
        <v>0.659090909090909</v>
      </c>
      <c r="F48" s="84" t="n">
        <f aca="false">IF(SUMPRODUCT(ABS('LCIA (Annex 1)'!E66:E76))=0,0,('LCIA (Annex 1)'!E70)/SUMPRODUCT(ABS('LCIA (Annex 1)'!E66:E76)))</f>
        <v>0.85</v>
      </c>
      <c r="G48" s="84" t="n">
        <f aca="false">IF(SUMPRODUCT(ABS('LCIA (Annex 1)'!E81:E91))=0,0,('LCIA (Annex 1)'!E85)/SUMPRODUCT(ABS('LCIA (Annex 1)'!E81:E91)))</f>
        <v>0</v>
      </c>
      <c r="H48" s="84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8" t="s">
        <v>335</v>
      </c>
      <c r="B49" s="84" t="n">
        <f aca="false">IF(SUMPRODUCT(ABS('LCIA (Annex 1)'!E6:E16))=0,0,('LCIA (Annex 1)'!E7)/SUMPRODUCT(ABS('LCIA (Annex 1)'!E6:E16)))</f>
        <v>0.167195767195767</v>
      </c>
      <c r="C49" s="84" t="n">
        <f aca="false">IF(SUMPRODUCT(ABS('LCIA (Annex 1)'!E21:E31))=0,0,('LCIA (Annex 1)'!E22)/SUMPRODUCT(ABS('LCIA (Annex 1)'!E21:E31)))</f>
        <v>0.65791765518484</v>
      </c>
      <c r="D49" s="84" t="n">
        <f aca="false">IF(SUMPRODUCT(ABS('LCIA (Annex 1)'!E36:E46))=0,0,('LCIA (Annex 1)'!E37)/SUMPRODUCT(ABS('LCIA (Annex 1)'!E36:E46)))</f>
        <v>0</v>
      </c>
      <c r="E49" s="84" t="n">
        <f aca="false">IF(SUMPRODUCT(ABS('LCIA (Annex 1)'!E51:E61))=0,0,('LCIA (Annex 1)'!E52)/SUMPRODUCT(ABS('LCIA (Annex 1)'!E51:E61)))</f>
        <v>0.0681818181818182</v>
      </c>
      <c r="F49" s="84" t="n">
        <f aca="false">IF(SUMPRODUCT(ABS('LCIA (Annex 1)'!E66:E76))=0,0,('LCIA (Annex 1)'!E67)/SUMPRODUCT(ABS('LCIA (Annex 1)'!E66:E76)))</f>
        <v>0.0166666666666667</v>
      </c>
      <c r="G49" s="84" t="n">
        <f aca="false">IF(SUMPRODUCT(ABS('LCIA (Annex 1)'!E81:E91))=0,0,('LCIA (Annex 1)'!E82)/SUMPRODUCT(ABS('LCIA (Annex 1)'!E81:E91)))</f>
        <v>0.00504838031131679</v>
      </c>
      <c r="H49" s="84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8" t="s">
        <v>342</v>
      </c>
      <c r="B50" s="84" t="n">
        <f aca="false">IF(SUMPRODUCT(ABS('LCIA (Annex 1)'!E6:E16))=0,0,('LCIA (Annex 1)'!E15)/SUMPRODUCT(ABS('LCIA (Annex 1)'!E6:E16)))</f>
        <v>0.1336860670194</v>
      </c>
      <c r="C50" s="84" t="n">
        <f aca="false">IF(SUMPRODUCT(ABS('LCIA (Annex 1)'!E21:E31))=0,0,('LCIA (Annex 1)'!E30)/SUMPRODUCT(ABS('LCIA (Annex 1)'!E21:E31)))</f>
        <v>0.0641560807631861</v>
      </c>
      <c r="D50" s="84" t="n">
        <f aca="false">IF(SUMPRODUCT(ABS('LCIA (Annex 1)'!E36:E46))=0,0,('LCIA (Annex 1)'!E45)/SUMPRODUCT(ABS('LCIA (Annex 1)'!E36:E46)))</f>
        <v>0</v>
      </c>
      <c r="E50" s="84" t="n">
        <f aca="false">IF(SUMPRODUCT(ABS('LCIA (Annex 1)'!E51:E61))=0,0,('LCIA (Annex 1)'!E60)/SUMPRODUCT(ABS('LCIA (Annex 1)'!E51:E61)))</f>
        <v>0.0454545454545455</v>
      </c>
      <c r="F50" s="84" t="n">
        <f aca="false">IF(SUMPRODUCT(ABS('LCIA (Annex 1)'!E66:E76))=0,0,('LCIA (Annex 1)'!E75)/SUMPRODUCT(ABS('LCIA (Annex 1)'!E66:E76)))</f>
        <v>0</v>
      </c>
      <c r="G50" s="84" t="n">
        <f aca="false">IF(SUMPRODUCT(ABS('LCIA (Annex 1)'!E81:E91))=0,0,('LCIA (Annex 1)'!E90)/SUMPRODUCT(ABS('LCIA (Annex 1)'!E81:E91)))</f>
        <v>0.00210349179638199</v>
      </c>
      <c r="H50" s="84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8" t="s">
        <v>340</v>
      </c>
      <c r="B51" s="84" t="n">
        <f aca="false">IF(SUMPRODUCT(ABS('LCIA (Annex 1)'!E6:E16))=0,0,('LCIA (Annex 1)'!E12)/SUMPRODUCT(ABS('LCIA (Annex 1)'!E6:E16)))</f>
        <v>0.00529100529100529</v>
      </c>
      <c r="C51" s="84" t="n">
        <f aca="false">IF(SUMPRODUCT(ABS('LCIA (Annex 1)'!E21:E31))=0,0,('LCIA (Annex 1)'!E27)/SUMPRODUCT(ABS('LCIA (Annex 1)'!E21:E31)))</f>
        <v>0.00555572239406589</v>
      </c>
      <c r="D51" s="84" t="n">
        <f aca="false">IF(SUMPRODUCT(ABS('LCIA (Annex 1)'!E36:E46))=0,0,('LCIA (Annex 1)'!E42)/SUMPRODUCT(ABS('LCIA (Annex 1)'!E36:E46)))</f>
        <v>0</v>
      </c>
      <c r="E51" s="84" t="n">
        <f aca="false">IF(SUMPRODUCT(ABS('LCIA (Annex 1)'!E51:E61))=0,0,('LCIA (Annex 1)'!E57)/SUMPRODUCT(ABS('LCIA (Annex 1)'!E51:E61)))</f>
        <v>0</v>
      </c>
      <c r="F51" s="84" t="n">
        <f aca="false">IF(SUMPRODUCT(ABS('LCIA (Annex 1)'!E66:E76))=0,0,('LCIA (Annex 1)'!E72)/SUMPRODUCT(ABS('LCIA (Annex 1)'!E66:E76)))</f>
        <v>0</v>
      </c>
      <c r="G51" s="84" t="n">
        <f aca="false">IF(SUMPRODUCT(ABS('LCIA (Annex 1)'!E81:E91))=0,0,('LCIA (Annex 1)'!E87)/SUMPRODUCT(ABS('LCIA (Annex 1)'!E81:E91)))</f>
        <v>0</v>
      </c>
      <c r="H51" s="84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8" t="s">
        <v>368</v>
      </c>
      <c r="B52" s="84" t="n">
        <f aca="false">IF(SUMPRODUCT(ABS('LCIA (Annex 1)'!E6:E16))=0,0,('LCIA (Annex 1)'!E16)/SUMPRODUCT(ABS('LCIA (Annex 1)'!E6:E16)))</f>
        <v>0</v>
      </c>
      <c r="C52" s="84" t="n">
        <f aca="false">IF(SUMPRODUCT(ABS('LCIA (Annex 1)'!E21:E31))=0,0,('LCIA (Annex 1)'!E31)/SUMPRODUCT(ABS('LCIA (Annex 1)'!E21:E31)))</f>
        <v>0</v>
      </c>
      <c r="D52" s="84" t="n">
        <f aca="false">IF(SUMPRODUCT(ABS('LCIA (Annex 1)'!E36:E46))=0,0,('LCIA (Annex 1)'!E46)/SUMPRODUCT(ABS('LCIA (Annex 1)'!E36:E46)))</f>
        <v>0</v>
      </c>
      <c r="E52" s="84" t="n">
        <f aca="false">IF(SUMPRODUCT(ABS('LCIA (Annex 1)'!E51:E61))=0,0,('LCIA (Annex 1)'!E61)/SUMPRODUCT(ABS('LCIA (Annex 1)'!E51:E61)))</f>
        <v>0</v>
      </c>
      <c r="F52" s="84" t="n">
        <f aca="false">IF(SUMPRODUCT(ABS('LCIA (Annex 1)'!E66:E76))=0,0,('LCIA (Annex 1)'!E76)/SUMPRODUCT(ABS('LCIA (Annex 1)'!E66:E76)))</f>
        <v>0</v>
      </c>
      <c r="G52" s="84" t="n">
        <f aca="false">IF(SUMPRODUCT(ABS('LCIA (Annex 1)'!E81:E91))=0,0,('LCIA (Annex 1)'!E91)/SUMPRODUCT(ABS('LCIA (Annex 1)'!E81:E91)))</f>
        <v>0.193521245267143</v>
      </c>
      <c r="H52" s="84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8" t="s">
        <v>336</v>
      </c>
      <c r="B53" s="84" t="n">
        <f aca="false">IF(SUMPRODUCT(ABS('LCIA (Annex 1)'!E6:E16))=0,0,('LCIA (Annex 1)'!E8)/SUMPRODUCT(ABS('LCIA (Annex 1)'!E6:E16)))</f>
        <v>0</v>
      </c>
      <c r="C53" s="84" t="n">
        <f aca="false">IF(SUMPRODUCT(ABS('LCIA (Annex 1)'!E21:E31))=0,0,('LCIA (Annex 1)'!E23)/SUMPRODUCT(ABS('LCIA (Annex 1)'!E21:E31)))</f>
        <v>0</v>
      </c>
      <c r="D53" s="84" t="n">
        <f aca="false">IF(SUMPRODUCT(ABS('LCIA (Annex 1)'!E36:E46))=0,0,('LCIA (Annex 1)'!E38)/SUMPRODUCT(ABS('LCIA (Annex 1)'!E36:E46)))</f>
        <v>0</v>
      </c>
      <c r="E53" s="84" t="n">
        <f aca="false">IF(SUMPRODUCT(ABS('LCIA (Annex 1)'!E51:E61))=0,0,('LCIA (Annex 1)'!E53)/SUMPRODUCT(ABS('LCIA (Annex 1)'!E51:E61)))</f>
        <v>0</v>
      </c>
      <c r="F53" s="84" t="n">
        <f aca="false">IF(SUMPRODUCT(ABS('LCIA (Annex 1)'!E66:E76))=0,0,('LCIA (Annex 1)'!E68)/SUMPRODUCT(ABS('LCIA (Annex 1)'!E66:E76)))</f>
        <v>0</v>
      </c>
      <c r="G53" s="84" t="n">
        <f aca="false">IF(SUMPRODUCT(ABS('LCIA (Annex 1)'!E81:E91))=0,0,('LCIA (Annex 1)'!E83)/SUMPRODUCT(ABS('LCIA (Annex 1)'!E81:E91)))</f>
        <v>0</v>
      </c>
      <c r="H53" s="84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8" t="s">
        <v>369</v>
      </c>
      <c r="B54" s="84" t="n">
        <f aca="false">IF(SUMPRODUCT(ABS('LCIA (Annex 1)'!E6:E16))=0,0,('LCIA (Annex 1)'!E6+'LCIA (Annex 1)'!E9+'LCIA (Annex 1)'!E11+'LCIA (Annex 1)'!E13)/SUMPRODUCT(ABS('LCIA (Annex 1)'!E6:E16)))</f>
        <v>0.0331569664902998</v>
      </c>
      <c r="C54" s="84" t="n">
        <f aca="false">IF(SUMPRODUCT(ABS('LCIA (Annex 1)'!E21:E31))=0,0,('LCIA (Annex 1)'!E21+'LCIA (Annex 1)'!E24+'LCIA (Annex 1)'!E26+'LCIA (Annex 1)'!E28)/SUMPRODUCT(ABS('LCIA (Annex 1)'!E21:E31)))</f>
        <v>0.0202608686947556</v>
      </c>
      <c r="D54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84" t="n">
        <f aca="false">IF(SUMPRODUCT(ABS('LCIA (Annex 1)'!E51:E61))=0,0,('LCIA (Annex 1)'!E51+'LCIA (Annex 1)'!E54+'LCIA (Annex 1)'!E56+'LCIA (Annex 1)'!E58)/SUMPRODUCT(ABS('LCIA (Annex 1)'!E51:E61)))</f>
        <v>0</v>
      </c>
      <c r="F54" s="84" t="n">
        <f aca="false">IF(SUMPRODUCT(ABS('LCIA (Annex 1)'!E66:E76))=0,0,('LCIA (Annex 1)'!E66+'LCIA (Annex 1)'!E69+'LCIA (Annex 1)'!E71+'LCIA (Annex 1)'!E73)/SUMPRODUCT(ABS('LCIA (Annex 1)'!E66:E76)))</f>
        <v>0</v>
      </c>
      <c r="G54" s="84" t="n">
        <f aca="false">IF(SUMPRODUCT(ABS('LCIA (Annex 1)'!E81:E91))=0,0,('LCIA (Annex 1)'!E81+'LCIA (Annex 1)'!E84+'LCIA (Annex 1)'!E86+'LCIA (Annex 1)'!E88)/SUMPRODUCT(ABS('LCIA (Annex 1)'!E81:E91)))</f>
        <v>0.0012620950778292</v>
      </c>
      <c r="H54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63" t="s">
        <v>370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34" t="s">
        <v>371</v>
      </c>
    </row>
    <row r="67" customFormat="false" ht="26.85" hidden="false" customHeight="false" outlineLevel="0" collapsed="false">
      <c r="A67" s="8" t="s">
        <v>359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8" t="s">
        <v>341</v>
      </c>
      <c r="C68" s="39" t="n">
        <f aca="false">'LCIA (Annex 1)'!C14</f>
        <v>1549</v>
      </c>
      <c r="D68" s="39" t="n">
        <f aca="false">'LCIA (Annex 1)'!D14</f>
        <v>733</v>
      </c>
      <c r="E68" s="39" t="n">
        <f aca="false">'LCIA (Annex 1)'!E14</f>
        <v>1873</v>
      </c>
    </row>
    <row r="69" customFormat="false" ht="15" hidden="false" customHeight="false" outlineLevel="0" collapsed="false">
      <c r="A69" s="38" t="s">
        <v>367</v>
      </c>
      <c r="C69" s="39" t="n">
        <f aca="false">'LCIA (Annex 1)'!C10</f>
        <v>0</v>
      </c>
      <c r="D69" s="39" t="n">
        <f aca="false">'LCIA (Annex 1)'!D10</f>
        <v>0</v>
      </c>
      <c r="E69" s="39" t="n">
        <f aca="false">'LCIA (Annex 1)'!E10</f>
        <v>0</v>
      </c>
    </row>
    <row r="70" customFormat="false" ht="15" hidden="false" customHeight="false" outlineLevel="0" collapsed="false">
      <c r="A70" s="38" t="s">
        <v>335</v>
      </c>
      <c r="C70" s="39" t="n">
        <f aca="false">'LCIA (Annex 1)'!C7</f>
        <v>330</v>
      </c>
      <c r="D70" s="39" t="n">
        <f aca="false">'LCIA (Annex 1)'!D7</f>
        <v>6</v>
      </c>
      <c r="E70" s="39" t="n">
        <f aca="false">'LCIA (Annex 1)'!E7</f>
        <v>474</v>
      </c>
    </row>
    <row r="71" customFormat="false" ht="15" hidden="false" customHeight="false" outlineLevel="0" collapsed="false">
      <c r="A71" s="38" t="s">
        <v>342</v>
      </c>
      <c r="C71" s="39" t="n">
        <f aca="false">'LCIA (Annex 1)'!C15</f>
        <v>325</v>
      </c>
      <c r="D71" s="39" t="n">
        <f aca="false">'LCIA (Annex 1)'!D15</f>
        <v>208</v>
      </c>
      <c r="E71" s="39" t="n">
        <f aca="false">'LCIA (Annex 1)'!E15</f>
        <v>379</v>
      </c>
    </row>
    <row r="72" customFormat="false" ht="15" hidden="false" customHeight="false" outlineLevel="0" collapsed="false">
      <c r="A72" s="38" t="s">
        <v>340</v>
      </c>
      <c r="C72" s="39" t="n">
        <f aca="false">'LCIA (Annex 1)'!C12</f>
        <v>386</v>
      </c>
      <c r="D72" s="39" t="n">
        <f aca="false">'LCIA (Annex 1)'!D12</f>
        <v>228</v>
      </c>
      <c r="E72" s="39" t="n">
        <f aca="false">'LCIA (Annex 1)'!E12</f>
        <v>15</v>
      </c>
    </row>
    <row r="73" customFormat="false" ht="15" hidden="false" customHeight="false" outlineLevel="0" collapsed="false">
      <c r="A73" s="38" t="s">
        <v>368</v>
      </c>
      <c r="C73" s="39" t="n">
        <f aca="false">'LCIA (Annex 1)'!C16</f>
        <v>0</v>
      </c>
      <c r="D73" s="39" t="n">
        <f aca="false">'LCIA (Annex 1)'!D16</f>
        <v>0</v>
      </c>
      <c r="E73" s="39" t="n">
        <f aca="false">'LCIA (Annex 1)'!E16</f>
        <v>0</v>
      </c>
    </row>
    <row r="74" customFormat="false" ht="15" hidden="false" customHeight="false" outlineLevel="0" collapsed="false">
      <c r="A74" s="38" t="s">
        <v>336</v>
      </c>
      <c r="C74" s="39" t="n">
        <f aca="false">'LCIA (Annex 1)'!C8</f>
        <v>0</v>
      </c>
      <c r="D74" s="39" t="n">
        <f aca="false">'LCIA (Annex 1)'!D8</f>
        <v>0</v>
      </c>
      <c r="E74" s="39" t="n">
        <f aca="false">'LCIA (Annex 1)'!E8</f>
        <v>0</v>
      </c>
    </row>
    <row r="75" customFormat="false" ht="15" hidden="false" customHeight="false" outlineLevel="0" collapsed="false">
      <c r="A75" s="38" t="s">
        <v>369</v>
      </c>
      <c r="C75" s="39" t="n">
        <f aca="false">'LCIA (Annex 1)'!C6+'LCIA (Annex 1)'!C9+'LCIA (Annex 1)'!C11+'LCIA (Annex 1)'!C13</f>
        <v>212</v>
      </c>
      <c r="D75" s="39" t="n">
        <f aca="false">'LCIA (Annex 1)'!D6+'LCIA (Annex 1)'!D9+'LCIA (Annex 1)'!D11+'LCIA (Annex 1)'!D13</f>
        <v>79</v>
      </c>
      <c r="E75" s="39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4" t="s">
        <v>345</v>
      </c>
      <c r="C76" s="87" t="n">
        <f aca="false">'LCIA (Annex 1)'!C18</f>
        <v>2801</v>
      </c>
      <c r="D76" s="87" t="n">
        <f aca="false">'LCIA (Annex 1)'!D18</f>
        <v>1255</v>
      </c>
      <c r="E76" s="87" t="n">
        <f aca="false">'LCIA (Annex 1)'!E18</f>
        <v>2836</v>
      </c>
    </row>
    <row r="85" customFormat="false" ht="15" hidden="false" customHeight="false" outlineLevel="0" collapsed="false">
      <c r="A85" s="34" t="s">
        <v>372</v>
      </c>
    </row>
    <row r="86" customFormat="false" ht="26.85" hidden="false" customHeight="false" outlineLevel="0" collapsed="false">
      <c r="A86" s="8" t="s">
        <v>359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8" t="s">
        <v>341</v>
      </c>
      <c r="C87" s="39" t="n">
        <f aca="false">'LCIA (Annex 1)'!C29</f>
        <v>21028</v>
      </c>
      <c r="D87" s="39" t="n">
        <f aca="false">'LCIA (Annex 1)'!D29</f>
        <v>7900</v>
      </c>
      <c r="E87" s="39" t="n">
        <f aca="false">'LCIA (Annex 1)'!E29</f>
        <v>25185</v>
      </c>
    </row>
    <row r="88" customFormat="false" ht="15" hidden="false" customHeight="false" outlineLevel="0" collapsed="false">
      <c r="A88" s="38" t="s">
        <v>367</v>
      </c>
      <c r="C88" s="39" t="n">
        <f aca="false">'LCIA (Annex 1)'!C25</f>
        <v>0</v>
      </c>
      <c r="D88" s="39" t="n">
        <f aca="false">'LCIA (Annex 1)'!D25</f>
        <v>0</v>
      </c>
      <c r="E88" s="39" t="n">
        <f aca="false">'LCIA (Annex 1)'!E25</f>
        <v>0</v>
      </c>
    </row>
    <row r="89" customFormat="false" ht="15" hidden="false" customHeight="false" outlineLevel="0" collapsed="false">
      <c r="A89" s="38" t="s">
        <v>335</v>
      </c>
      <c r="C89" s="39" t="n">
        <f aca="false">'LCIA (Annex 1)'!C22</f>
        <v>45724</v>
      </c>
      <c r="D89" s="39" t="n">
        <f aca="false">'LCIA (Annex 1)'!D22</f>
        <v>82</v>
      </c>
      <c r="E89" s="39" t="n">
        <f aca="false">'LCIA (Annex 1)'!E22</f>
        <v>65724</v>
      </c>
    </row>
    <row r="90" customFormat="false" ht="15" hidden="false" customHeight="false" outlineLevel="0" collapsed="false">
      <c r="A90" s="38" t="s">
        <v>342</v>
      </c>
      <c r="C90" s="39" t="n">
        <f aca="false">'LCIA (Annex 1)'!C30</f>
        <v>5483</v>
      </c>
      <c r="D90" s="39" t="n">
        <f aca="false">'LCIA (Annex 1)'!D30</f>
        <v>3497</v>
      </c>
      <c r="E90" s="39" t="n">
        <f aca="false">'LCIA (Annex 1)'!E30</f>
        <v>6409</v>
      </c>
    </row>
    <row r="91" customFormat="false" ht="15" hidden="false" customHeight="false" outlineLevel="0" collapsed="false">
      <c r="A91" s="38" t="s">
        <v>340</v>
      </c>
      <c r="C91" s="39" t="n">
        <f aca="false">'LCIA (Annex 1)'!C27</f>
        <v>14023</v>
      </c>
      <c r="D91" s="39" t="n">
        <f aca="false">'LCIA (Annex 1)'!D27</f>
        <v>6248</v>
      </c>
      <c r="E91" s="39" t="n">
        <f aca="false">'LCIA (Annex 1)'!E27</f>
        <v>555</v>
      </c>
    </row>
    <row r="92" customFormat="false" ht="15" hidden="false" customHeight="false" outlineLevel="0" collapsed="false">
      <c r="A92" s="38" t="s">
        <v>368</v>
      </c>
      <c r="C92" s="39" t="n">
        <f aca="false">'LCIA (Annex 1)'!C31</f>
        <v>0</v>
      </c>
      <c r="D92" s="39" t="n">
        <f aca="false">'LCIA (Annex 1)'!D31</f>
        <v>0</v>
      </c>
      <c r="E92" s="39" t="n">
        <f aca="false">'LCIA (Annex 1)'!E31</f>
        <v>0</v>
      </c>
    </row>
    <row r="93" customFormat="false" ht="15" hidden="false" customHeight="false" outlineLevel="0" collapsed="false">
      <c r="A93" s="38" t="s">
        <v>336</v>
      </c>
      <c r="C93" s="39" t="n">
        <f aca="false">'LCIA (Annex 1)'!C23</f>
        <v>0</v>
      </c>
      <c r="D93" s="39" t="n">
        <f aca="false">'LCIA (Annex 1)'!D23</f>
        <v>0</v>
      </c>
      <c r="E93" s="39" t="n">
        <f aca="false">'LCIA (Annex 1)'!E23</f>
        <v>0</v>
      </c>
    </row>
    <row r="94" customFormat="false" ht="15" hidden="false" customHeight="false" outlineLevel="0" collapsed="false">
      <c r="A94" s="38" t="s">
        <v>369</v>
      </c>
      <c r="C94" s="39" t="n">
        <f aca="false">'LCIA (Annex 1)'!C21+'LCIA (Annex 1)'!C24+'LCIA (Annex 1)'!C26+'LCIA (Annex 1)'!C28</f>
        <v>3870</v>
      </c>
      <c r="D94" s="39" t="n">
        <f aca="false">'LCIA (Annex 1)'!D21+'LCIA (Annex 1)'!D24+'LCIA (Annex 1)'!D26+'LCIA (Annex 1)'!D28</f>
        <v>1370</v>
      </c>
      <c r="E94" s="39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4" t="s">
        <v>345</v>
      </c>
      <c r="C95" s="87" t="n">
        <f aca="false">'LCIA (Annex 1)'!C33</f>
        <v>90127</v>
      </c>
      <c r="D95" s="87" t="n">
        <f aca="false">'LCIA (Annex 1)'!D33</f>
        <v>19097</v>
      </c>
      <c r="E95" s="87" t="n">
        <f aca="false">'LCIA (Annex 1)'!E33</f>
        <v>99897</v>
      </c>
    </row>
    <row r="104" customFormat="false" ht="15" hidden="false" customHeight="false" outlineLevel="0" collapsed="false">
      <c r="A104" s="34" t="s">
        <v>373</v>
      </c>
    </row>
    <row r="105" customFormat="false" ht="26.85" hidden="false" customHeight="false" outlineLevel="0" collapsed="false">
      <c r="A105" s="8" t="s">
        <v>359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8" t="s">
        <v>341</v>
      </c>
      <c r="C106" s="39" t="n">
        <f aca="false">'LCIA (Annex 1)'!C44</f>
        <v>10423</v>
      </c>
      <c r="D106" s="39" t="n">
        <f aca="false">'LCIA (Annex 1)'!D44</f>
        <v>4365</v>
      </c>
      <c r="E106" s="39" t="n">
        <f aca="false">'LCIA (Annex 1)'!E44</f>
        <v>12357</v>
      </c>
    </row>
    <row r="107" customFormat="false" ht="15" hidden="false" customHeight="false" outlineLevel="0" collapsed="false">
      <c r="A107" s="38" t="s">
        <v>367</v>
      </c>
      <c r="C107" s="39" t="n">
        <f aca="false">'LCIA (Annex 1)'!C40</f>
        <v>0</v>
      </c>
      <c r="D107" s="39" t="n">
        <f aca="false">'LCIA (Annex 1)'!D40</f>
        <v>0</v>
      </c>
      <c r="E107" s="39" t="n">
        <f aca="false">'LCIA (Annex 1)'!E40</f>
        <v>0</v>
      </c>
    </row>
    <row r="108" customFormat="false" ht="15" hidden="false" customHeight="false" outlineLevel="0" collapsed="false">
      <c r="A108" s="38" t="s">
        <v>335</v>
      </c>
      <c r="C108" s="39" t="n">
        <f aca="false">'LCIA (Annex 1)'!C37</f>
        <v>0</v>
      </c>
      <c r="D108" s="39" t="n">
        <f aca="false">'LCIA (Annex 1)'!D37</f>
        <v>0</v>
      </c>
      <c r="E108" s="39" t="n">
        <f aca="false">'LCIA (Annex 1)'!E37</f>
        <v>0</v>
      </c>
    </row>
    <row r="109" customFormat="false" ht="15" hidden="false" customHeight="false" outlineLevel="0" collapsed="false">
      <c r="A109" s="38" t="s">
        <v>342</v>
      </c>
      <c r="C109" s="39" t="n">
        <f aca="false">'LCIA (Annex 1)'!C45</f>
        <v>0</v>
      </c>
      <c r="D109" s="39" t="n">
        <f aca="false">'LCIA (Annex 1)'!D45</f>
        <v>0</v>
      </c>
      <c r="E109" s="39" t="n">
        <f aca="false">'LCIA (Annex 1)'!E45</f>
        <v>0</v>
      </c>
    </row>
    <row r="110" customFormat="false" ht="15" hidden="false" customHeight="false" outlineLevel="0" collapsed="false">
      <c r="A110" s="38" t="s">
        <v>340</v>
      </c>
      <c r="C110" s="39" t="n">
        <f aca="false">'LCIA (Annex 1)'!C42</f>
        <v>0</v>
      </c>
      <c r="D110" s="39" t="n">
        <f aca="false">'LCIA (Annex 1)'!D42</f>
        <v>0</v>
      </c>
      <c r="E110" s="39" t="n">
        <f aca="false">'LCIA (Annex 1)'!E42</f>
        <v>0</v>
      </c>
    </row>
    <row r="111" customFormat="false" ht="15" hidden="false" customHeight="false" outlineLevel="0" collapsed="false">
      <c r="A111" s="38" t="s">
        <v>368</v>
      </c>
      <c r="C111" s="39" t="n">
        <f aca="false">'LCIA (Annex 1)'!C46</f>
        <v>0</v>
      </c>
      <c r="D111" s="39" t="n">
        <f aca="false">'LCIA (Annex 1)'!D46</f>
        <v>0</v>
      </c>
      <c r="E111" s="39" t="n">
        <f aca="false">'LCIA (Annex 1)'!E46</f>
        <v>0</v>
      </c>
    </row>
    <row r="112" customFormat="false" ht="15" hidden="false" customHeight="false" outlineLevel="0" collapsed="false">
      <c r="A112" s="38" t="s">
        <v>336</v>
      </c>
      <c r="C112" s="39" t="n">
        <f aca="false">'LCIA (Annex 1)'!C38</f>
        <v>0</v>
      </c>
      <c r="D112" s="39" t="n">
        <f aca="false">'LCIA (Annex 1)'!D38</f>
        <v>0</v>
      </c>
      <c r="E112" s="39" t="n">
        <f aca="false">'LCIA (Annex 1)'!E38</f>
        <v>0</v>
      </c>
    </row>
    <row r="113" customFormat="false" ht="15" hidden="false" customHeight="false" outlineLevel="0" collapsed="false">
      <c r="A113" s="38" t="s">
        <v>369</v>
      </c>
      <c r="C113" s="39" t="n">
        <f aca="false">'LCIA (Annex 1)'!C36+'LCIA (Annex 1)'!C39+'LCIA (Annex 1)'!C41+'LCIA (Annex 1)'!C43</f>
        <v>55</v>
      </c>
      <c r="D113" s="39" t="n">
        <f aca="false">'LCIA (Annex 1)'!D36+'LCIA (Annex 1)'!D39+'LCIA (Annex 1)'!D41+'LCIA (Annex 1)'!D43</f>
        <v>37</v>
      </c>
      <c r="E113" s="39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4" t="s">
        <v>345</v>
      </c>
      <c r="C114" s="87" t="n">
        <f aca="false">'LCIA (Annex 1)'!C48</f>
        <v>10478</v>
      </c>
      <c r="D114" s="87" t="n">
        <f aca="false">'LCIA (Annex 1)'!D48</f>
        <v>4402</v>
      </c>
      <c r="E114" s="87" t="n">
        <f aca="false">'LCIA (Annex 1)'!E48</f>
        <v>12358</v>
      </c>
    </row>
    <row r="123" customFormat="false" ht="15" hidden="false" customHeight="false" outlineLevel="0" collapsed="false">
      <c r="A123" s="34" t="s">
        <v>374</v>
      </c>
    </row>
    <row r="124" customFormat="false" ht="26.85" hidden="false" customHeight="false" outlineLevel="0" collapsed="false">
      <c r="A124" s="8" t="s">
        <v>359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8" t="s">
        <v>341</v>
      </c>
      <c r="C125" s="39" t="n">
        <f aca="false">'LCIA (Annex 1)'!C59</f>
        <v>8</v>
      </c>
      <c r="D125" s="39" t="n">
        <f aca="false">'LCIA (Annex 1)'!D59</f>
        <v>3</v>
      </c>
      <c r="E125" s="39" t="n">
        <f aca="false">'LCIA (Annex 1)'!E59</f>
        <v>10</v>
      </c>
    </row>
    <row r="126" customFormat="false" ht="15" hidden="false" customHeight="false" outlineLevel="0" collapsed="false">
      <c r="A126" s="38" t="s">
        <v>367</v>
      </c>
      <c r="C126" s="39" t="n">
        <f aca="false">'LCIA (Annex 1)'!C55</f>
        <v>25</v>
      </c>
      <c r="D126" s="39" t="n">
        <f aca="false">'LCIA (Annex 1)'!D55</f>
        <v>0</v>
      </c>
      <c r="E126" s="39" t="n">
        <f aca="false">'LCIA (Annex 1)'!E55</f>
        <v>29</v>
      </c>
    </row>
    <row r="127" customFormat="false" ht="15" hidden="false" customHeight="false" outlineLevel="0" collapsed="false">
      <c r="A127" s="38" t="s">
        <v>335</v>
      </c>
      <c r="C127" s="39" t="n">
        <f aca="false">'LCIA (Annex 1)'!C52</f>
        <v>2</v>
      </c>
      <c r="D127" s="39" t="n">
        <f aca="false">'LCIA (Annex 1)'!D52</f>
        <v>0</v>
      </c>
      <c r="E127" s="39" t="n">
        <f aca="false">'LCIA (Annex 1)'!E52</f>
        <v>3</v>
      </c>
    </row>
    <row r="128" customFormat="false" ht="15" hidden="false" customHeight="false" outlineLevel="0" collapsed="false">
      <c r="A128" s="38" t="s">
        <v>342</v>
      </c>
      <c r="C128" s="39" t="n">
        <f aca="false">'LCIA (Annex 1)'!C60</f>
        <v>2</v>
      </c>
      <c r="D128" s="39" t="n">
        <f aca="false">'LCIA (Annex 1)'!D60</f>
        <v>1</v>
      </c>
      <c r="E128" s="39" t="n">
        <f aca="false">'LCIA (Annex 1)'!E60</f>
        <v>2</v>
      </c>
    </row>
    <row r="129" customFormat="false" ht="15" hidden="false" customHeight="false" outlineLevel="0" collapsed="false">
      <c r="A129" s="38" t="s">
        <v>340</v>
      </c>
      <c r="C129" s="39" t="n">
        <f aca="false">'LCIA (Annex 1)'!C57</f>
        <v>3</v>
      </c>
      <c r="D129" s="39" t="n">
        <f aca="false">'LCIA (Annex 1)'!D57</f>
        <v>1</v>
      </c>
      <c r="E129" s="39" t="n">
        <f aca="false">'LCIA (Annex 1)'!E57</f>
        <v>0</v>
      </c>
    </row>
    <row r="130" customFormat="false" ht="15" hidden="false" customHeight="false" outlineLevel="0" collapsed="false">
      <c r="A130" s="38" t="s">
        <v>368</v>
      </c>
      <c r="C130" s="39" t="n">
        <f aca="false">'LCIA (Annex 1)'!C61</f>
        <v>0</v>
      </c>
      <c r="D130" s="39" t="n">
        <f aca="false">'LCIA (Annex 1)'!D61</f>
        <v>0</v>
      </c>
      <c r="E130" s="39" t="n">
        <f aca="false">'LCIA (Annex 1)'!E61</f>
        <v>0</v>
      </c>
    </row>
    <row r="131" customFormat="false" ht="15" hidden="false" customHeight="false" outlineLevel="0" collapsed="false">
      <c r="A131" s="38" t="s">
        <v>336</v>
      </c>
      <c r="C131" s="39" t="n">
        <f aca="false">'LCIA (Annex 1)'!C53</f>
        <v>0</v>
      </c>
      <c r="D131" s="39" t="n">
        <f aca="false">'LCIA (Annex 1)'!D53</f>
        <v>0</v>
      </c>
      <c r="E131" s="39" t="n">
        <f aca="false">'LCIA (Annex 1)'!E53</f>
        <v>0</v>
      </c>
    </row>
    <row r="132" customFormat="false" ht="15" hidden="false" customHeight="false" outlineLevel="0" collapsed="false">
      <c r="A132" s="38" t="s">
        <v>369</v>
      </c>
      <c r="C132" s="39" t="n">
        <f aca="false">'LCIA (Annex 1)'!C51+'LCIA (Annex 1)'!C54+'LCIA (Annex 1)'!C56+'LCIA (Annex 1)'!C58</f>
        <v>2</v>
      </c>
      <c r="D132" s="39" t="n">
        <f aca="false">'LCIA (Annex 1)'!D51+'LCIA (Annex 1)'!D54+'LCIA (Annex 1)'!D56+'LCIA (Annex 1)'!D58</f>
        <v>0</v>
      </c>
      <c r="E132" s="39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4" t="s">
        <v>345</v>
      </c>
      <c r="C133" s="87" t="n">
        <f aca="false">'LCIA (Annex 1)'!C63</f>
        <v>42</v>
      </c>
      <c r="D133" s="87" t="n">
        <f aca="false">'LCIA (Annex 1)'!D63</f>
        <v>6</v>
      </c>
      <c r="E133" s="87" t="n">
        <f aca="false">'LCIA (Annex 1)'!E63</f>
        <v>45</v>
      </c>
    </row>
    <row r="142" customFormat="false" ht="15" hidden="false" customHeight="false" outlineLevel="0" collapsed="false">
      <c r="A142" s="34" t="s">
        <v>375</v>
      </c>
    </row>
    <row r="143" customFormat="false" ht="26.85" hidden="false" customHeight="false" outlineLevel="0" collapsed="false">
      <c r="A143" s="8" t="s">
        <v>359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8" t="s">
        <v>341</v>
      </c>
      <c r="C144" s="39" t="n">
        <f aca="false">'LCIA (Annex 1)'!C74</f>
        <v>8</v>
      </c>
      <c r="D144" s="39" t="n">
        <f aca="false">'LCIA (Annex 1)'!D74</f>
        <v>3</v>
      </c>
      <c r="E144" s="39" t="n">
        <f aca="false">'LCIA (Annex 1)'!E74</f>
        <v>8</v>
      </c>
    </row>
    <row r="145" customFormat="false" ht="15" hidden="false" customHeight="false" outlineLevel="0" collapsed="false">
      <c r="A145" s="38" t="s">
        <v>367</v>
      </c>
      <c r="C145" s="39" t="n">
        <f aca="false">'LCIA (Annex 1)'!C70</f>
        <v>16</v>
      </c>
      <c r="D145" s="39" t="n">
        <f aca="false">'LCIA (Annex 1)'!D70</f>
        <v>-1</v>
      </c>
      <c r="E145" s="39" t="n">
        <f aca="false">'LCIA (Annex 1)'!E70</f>
        <v>51</v>
      </c>
    </row>
    <row r="146" customFormat="false" ht="15" hidden="false" customHeight="false" outlineLevel="0" collapsed="false">
      <c r="A146" s="38" t="s">
        <v>335</v>
      </c>
      <c r="C146" s="39" t="n">
        <f aca="false">'LCIA (Annex 1)'!C67</f>
        <v>1</v>
      </c>
      <c r="D146" s="39" t="n">
        <f aca="false">'LCIA (Annex 1)'!D67</f>
        <v>0</v>
      </c>
      <c r="E146" s="39" t="n">
        <f aca="false">'LCIA (Annex 1)'!E67</f>
        <v>1</v>
      </c>
    </row>
    <row r="147" customFormat="false" ht="15" hidden="false" customHeight="false" outlineLevel="0" collapsed="false">
      <c r="A147" s="38" t="s">
        <v>342</v>
      </c>
      <c r="C147" s="39" t="n">
        <f aca="false">'LCIA (Annex 1)'!C75</f>
        <v>0</v>
      </c>
      <c r="D147" s="39" t="n">
        <f aca="false">'LCIA (Annex 1)'!D75</f>
        <v>0</v>
      </c>
      <c r="E147" s="39" t="n">
        <f aca="false">'LCIA (Annex 1)'!E75</f>
        <v>0</v>
      </c>
    </row>
    <row r="148" customFormat="false" ht="15" hidden="false" customHeight="false" outlineLevel="0" collapsed="false">
      <c r="A148" s="38" t="s">
        <v>340</v>
      </c>
      <c r="C148" s="39" t="n">
        <f aca="false">'LCIA (Annex 1)'!C72</f>
        <v>1</v>
      </c>
      <c r="D148" s="39" t="n">
        <f aca="false">'LCIA (Annex 1)'!D72</f>
        <v>0</v>
      </c>
      <c r="E148" s="39" t="n">
        <f aca="false">'LCIA (Annex 1)'!E72</f>
        <v>0</v>
      </c>
    </row>
    <row r="149" customFormat="false" ht="15" hidden="false" customHeight="false" outlineLevel="0" collapsed="false">
      <c r="A149" s="38" t="s">
        <v>368</v>
      </c>
      <c r="C149" s="39" t="n">
        <f aca="false">'LCIA (Annex 1)'!C76</f>
        <v>0</v>
      </c>
      <c r="D149" s="39" t="n">
        <f aca="false">'LCIA (Annex 1)'!D76</f>
        <v>0</v>
      </c>
      <c r="E149" s="39" t="n">
        <f aca="false">'LCIA (Annex 1)'!E76</f>
        <v>0</v>
      </c>
    </row>
    <row r="150" customFormat="false" ht="15" hidden="false" customHeight="false" outlineLevel="0" collapsed="false">
      <c r="A150" s="38" t="s">
        <v>336</v>
      </c>
      <c r="C150" s="39" t="n">
        <f aca="false">'LCIA (Annex 1)'!C68</f>
        <v>0</v>
      </c>
      <c r="D150" s="39" t="n">
        <f aca="false">'LCIA (Annex 1)'!D68</f>
        <v>0</v>
      </c>
      <c r="E150" s="39" t="n">
        <f aca="false">'LCIA (Annex 1)'!E68</f>
        <v>0</v>
      </c>
    </row>
    <row r="151" customFormat="false" ht="15" hidden="false" customHeight="false" outlineLevel="0" collapsed="false">
      <c r="A151" s="38" t="s">
        <v>369</v>
      </c>
      <c r="C151" s="39" t="n">
        <f aca="false">'LCIA (Annex 1)'!C66+'LCIA (Annex 1)'!C69+'LCIA (Annex 1)'!C71+'LCIA (Annex 1)'!C73</f>
        <v>0</v>
      </c>
      <c r="D151" s="39" t="n">
        <f aca="false">'LCIA (Annex 1)'!D66+'LCIA (Annex 1)'!D69+'LCIA (Annex 1)'!D71+'LCIA (Annex 1)'!D73</f>
        <v>0</v>
      </c>
      <c r="E151" s="39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4" t="s">
        <v>345</v>
      </c>
      <c r="C152" s="87" t="n">
        <f aca="false">'LCIA (Annex 1)'!C78</f>
        <v>26</v>
      </c>
      <c r="D152" s="87" t="n">
        <f aca="false">'LCIA (Annex 1)'!D78</f>
        <v>2</v>
      </c>
      <c r="E152" s="87" t="n">
        <f aca="false">'LCIA (Annex 1)'!E78</f>
        <v>61</v>
      </c>
    </row>
    <row r="161" customFormat="false" ht="15" hidden="false" customHeight="false" outlineLevel="0" collapsed="false">
      <c r="A161" s="34" t="s">
        <v>376</v>
      </c>
    </row>
    <row r="162" customFormat="false" ht="26.85" hidden="false" customHeight="false" outlineLevel="0" collapsed="false">
      <c r="A162" s="8" t="s">
        <v>359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8" t="s">
        <v>341</v>
      </c>
      <c r="C163" s="39" t="n">
        <f aca="false">'LCIA (Annex 1)'!C89</f>
        <v>1942</v>
      </c>
      <c r="D163" s="39" t="n">
        <f aca="false">'LCIA (Annex 1)'!D89</f>
        <v>660</v>
      </c>
      <c r="E163" s="39" t="n">
        <f aca="false">'LCIA (Annex 1)'!E89</f>
        <v>1897</v>
      </c>
    </row>
    <row r="164" customFormat="false" ht="15" hidden="false" customHeight="false" outlineLevel="0" collapsed="false">
      <c r="A164" s="38" t="s">
        <v>367</v>
      </c>
      <c r="C164" s="39" t="n">
        <f aca="false">'LCIA (Annex 1)'!C85</f>
        <v>0</v>
      </c>
      <c r="D164" s="39" t="n">
        <f aca="false">'LCIA (Annex 1)'!D85</f>
        <v>0</v>
      </c>
      <c r="E164" s="39" t="n">
        <f aca="false">'LCIA (Annex 1)'!E85</f>
        <v>0</v>
      </c>
    </row>
    <row r="165" customFormat="false" ht="15" hidden="false" customHeight="false" outlineLevel="0" collapsed="false">
      <c r="A165" s="38" t="s">
        <v>335</v>
      </c>
      <c r="C165" s="39" t="n">
        <f aca="false">'LCIA (Annex 1)'!C82</f>
        <v>8</v>
      </c>
      <c r="D165" s="39" t="n">
        <f aca="false">'LCIA (Annex 1)'!D82</f>
        <v>0</v>
      </c>
      <c r="E165" s="39" t="n">
        <f aca="false">'LCIA (Annex 1)'!E82</f>
        <v>12</v>
      </c>
    </row>
    <row r="166" customFormat="false" ht="15" hidden="false" customHeight="false" outlineLevel="0" collapsed="false">
      <c r="A166" s="38" t="s">
        <v>342</v>
      </c>
      <c r="C166" s="39" t="n">
        <f aca="false">'LCIA (Annex 1)'!C90</f>
        <v>4</v>
      </c>
      <c r="D166" s="39" t="n">
        <f aca="false">'LCIA (Annex 1)'!D90</f>
        <v>3</v>
      </c>
      <c r="E166" s="39" t="n">
        <f aca="false">'LCIA (Annex 1)'!E90</f>
        <v>5</v>
      </c>
    </row>
    <row r="167" customFormat="false" ht="15" hidden="false" customHeight="false" outlineLevel="0" collapsed="false">
      <c r="A167" s="38" t="s">
        <v>340</v>
      </c>
      <c r="C167" s="39" t="n">
        <f aca="false">'LCIA (Annex 1)'!C87</f>
        <v>6</v>
      </c>
      <c r="D167" s="39" t="n">
        <f aca="false">'LCIA (Annex 1)'!D87</f>
        <v>0</v>
      </c>
      <c r="E167" s="39" t="n">
        <f aca="false">'LCIA (Annex 1)'!E87</f>
        <v>0</v>
      </c>
    </row>
    <row r="168" customFormat="false" ht="15" hidden="false" customHeight="false" outlineLevel="0" collapsed="false">
      <c r="A168" s="38" t="s">
        <v>368</v>
      </c>
      <c r="C168" s="39" t="n">
        <f aca="false">'LCIA (Annex 1)'!C91</f>
        <v>941</v>
      </c>
      <c r="D168" s="39" t="n">
        <f aca="false">'LCIA (Annex 1)'!D91</f>
        <v>4194</v>
      </c>
      <c r="E168" s="39" t="n">
        <f aca="false">'LCIA (Annex 1)'!E91</f>
        <v>460</v>
      </c>
    </row>
    <row r="169" customFormat="false" ht="15" hidden="false" customHeight="false" outlineLevel="0" collapsed="false">
      <c r="A169" s="38" t="s">
        <v>336</v>
      </c>
      <c r="C169" s="39" t="n">
        <f aca="false">'LCIA (Annex 1)'!C83</f>
        <v>0</v>
      </c>
      <c r="D169" s="39" t="n">
        <f aca="false">'LCIA (Annex 1)'!D83</f>
        <v>0</v>
      </c>
      <c r="E169" s="39" t="n">
        <f aca="false">'LCIA (Annex 1)'!E83</f>
        <v>0</v>
      </c>
    </row>
    <row r="170" customFormat="false" ht="15" hidden="false" customHeight="false" outlineLevel="0" collapsed="false">
      <c r="A170" s="38" t="s">
        <v>369</v>
      </c>
      <c r="C170" s="39" t="n">
        <f aca="false">'LCIA (Annex 1)'!C81+'LCIA (Annex 1)'!C84+'LCIA (Annex 1)'!C86+'LCIA (Annex 1)'!C88</f>
        <v>45</v>
      </c>
      <c r="D170" s="39" t="n">
        <f aca="false">'LCIA (Annex 1)'!D81+'LCIA (Annex 1)'!D84+'LCIA (Annex 1)'!D86+'LCIA (Annex 1)'!D88</f>
        <v>27</v>
      </c>
      <c r="E170" s="39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4" t="s">
        <v>345</v>
      </c>
      <c r="C171" s="87" t="n">
        <f aca="false">'LCIA (Annex 1)'!C93</f>
        <v>2946</v>
      </c>
      <c r="D171" s="87" t="n">
        <f aca="false">'LCIA (Annex 1)'!D93</f>
        <v>4885</v>
      </c>
      <c r="E171" s="87" t="n">
        <f aca="false">'LCIA (Annex 1)'!E93</f>
        <v>2379</v>
      </c>
    </row>
    <row r="180" customFormat="false" ht="15" hidden="false" customHeight="false" outlineLevel="0" collapsed="false">
      <c r="A180" s="34" t="s">
        <v>377</v>
      </c>
    </row>
    <row r="181" customFormat="false" ht="26.85" hidden="false" customHeight="false" outlineLevel="0" collapsed="false">
      <c r="A181" s="8" t="s">
        <v>359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8" t="s">
        <v>341</v>
      </c>
      <c r="C182" s="39" t="n">
        <f aca="false">'LCIA (Annex 1)'!C104</f>
        <v>47</v>
      </c>
      <c r="D182" s="39" t="n">
        <f aca="false">'LCIA (Annex 1)'!D104</f>
        <v>14</v>
      </c>
      <c r="E182" s="39" t="n">
        <f aca="false">'LCIA (Annex 1)'!E104</f>
        <v>44</v>
      </c>
    </row>
    <row r="183" customFormat="false" ht="15" hidden="false" customHeight="false" outlineLevel="0" collapsed="false">
      <c r="A183" s="38" t="s">
        <v>367</v>
      </c>
      <c r="C183" s="39" t="n">
        <f aca="false">'LCIA (Annex 1)'!C100</f>
        <v>0</v>
      </c>
      <c r="D183" s="39" t="n">
        <f aca="false">'LCIA (Annex 1)'!D100</f>
        <v>0</v>
      </c>
      <c r="E183" s="39" t="n">
        <f aca="false">'LCIA (Annex 1)'!E100</f>
        <v>0</v>
      </c>
    </row>
    <row r="184" customFormat="false" ht="15" hidden="false" customHeight="false" outlineLevel="0" collapsed="false">
      <c r="A184" s="38" t="s">
        <v>335</v>
      </c>
      <c r="C184" s="39" t="n">
        <f aca="false">'LCIA (Annex 1)'!C97</f>
        <v>38</v>
      </c>
      <c r="D184" s="39" t="n">
        <f aca="false">'LCIA (Annex 1)'!D97</f>
        <v>0</v>
      </c>
      <c r="E184" s="39" t="n">
        <f aca="false">'LCIA (Annex 1)'!E97</f>
        <v>54</v>
      </c>
    </row>
    <row r="185" customFormat="false" ht="15" hidden="false" customHeight="false" outlineLevel="0" collapsed="false">
      <c r="A185" s="38" t="s">
        <v>342</v>
      </c>
      <c r="C185" s="39" t="n">
        <f aca="false">'LCIA (Annex 1)'!C105</f>
        <v>3</v>
      </c>
      <c r="D185" s="39" t="n">
        <f aca="false">'LCIA (Annex 1)'!D105</f>
        <v>2</v>
      </c>
      <c r="E185" s="39" t="n">
        <f aca="false">'LCIA (Annex 1)'!E105</f>
        <v>3</v>
      </c>
    </row>
    <row r="186" customFormat="false" ht="15" hidden="false" customHeight="false" outlineLevel="0" collapsed="false">
      <c r="A186" s="38" t="s">
        <v>340</v>
      </c>
      <c r="C186" s="39" t="n">
        <f aca="false">'LCIA (Annex 1)'!C102</f>
        <v>6</v>
      </c>
      <c r="D186" s="39" t="n">
        <f aca="false">'LCIA (Annex 1)'!D102</f>
        <v>5</v>
      </c>
      <c r="E186" s="39" t="n">
        <f aca="false">'LCIA (Annex 1)'!E102</f>
        <v>0</v>
      </c>
    </row>
    <row r="187" customFormat="false" ht="15" hidden="false" customHeight="false" outlineLevel="0" collapsed="false">
      <c r="A187" s="38" t="s">
        <v>368</v>
      </c>
      <c r="C187" s="39" t="n">
        <f aca="false">'LCIA (Annex 1)'!C106</f>
        <v>81336</v>
      </c>
      <c r="D187" s="39" t="n">
        <f aca="false">'LCIA (Annex 1)'!D106</f>
        <v>70297</v>
      </c>
      <c r="E187" s="39" t="n">
        <f aca="false">'LCIA (Annex 1)'!E106</f>
        <v>197067</v>
      </c>
    </row>
    <row r="188" customFormat="false" ht="15" hidden="false" customHeight="false" outlineLevel="0" collapsed="false">
      <c r="A188" s="38" t="s">
        <v>336</v>
      </c>
      <c r="C188" s="39" t="n">
        <f aca="false">'LCIA (Annex 1)'!C98</f>
        <v>82261</v>
      </c>
      <c r="D188" s="39" t="n">
        <f aca="false">'LCIA (Annex 1)'!D98</f>
        <v>45273</v>
      </c>
      <c r="E188" s="39" t="n">
        <f aca="false">'LCIA (Annex 1)'!E98</f>
        <v>195829</v>
      </c>
    </row>
    <row r="189" customFormat="false" ht="15" hidden="false" customHeight="false" outlineLevel="0" collapsed="false">
      <c r="A189" s="38" t="s">
        <v>369</v>
      </c>
      <c r="C189" s="39" t="n">
        <f aca="false">'LCIA (Annex 1)'!C96+'LCIA (Annex 1)'!C99+'LCIA (Annex 1)'!C101+'LCIA (Annex 1)'!C103</f>
        <v>150</v>
      </c>
      <c r="D189" s="39" t="n">
        <f aca="false">'LCIA (Annex 1)'!D96+'LCIA (Annex 1)'!D99+'LCIA (Annex 1)'!D101+'LCIA (Annex 1)'!D103</f>
        <v>101</v>
      </c>
      <c r="E189" s="39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4" t="s">
        <v>345</v>
      </c>
      <c r="C190" s="87" t="n">
        <f aca="false">'LCIA (Annex 1)'!C108</f>
        <v>163840</v>
      </c>
      <c r="D190" s="87" t="n">
        <f aca="false">'LCIA (Annex 1)'!D108</f>
        <v>115691</v>
      </c>
      <c r="E190" s="87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378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379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380</v>
      </c>
      <c r="G4" s="8" t="s">
        <v>381</v>
      </c>
      <c r="H4" s="8" t="s">
        <v>382</v>
      </c>
    </row>
    <row r="5" customFormat="false" ht="15" hidden="false" customHeight="false" outlineLevel="0" collapsed="false">
      <c r="A5" s="38" t="s">
        <v>383</v>
      </c>
      <c r="B5" s="38" t="s">
        <v>334</v>
      </c>
      <c r="C5" s="39" t="n">
        <f aca="false">'LCIA (Annex 1)'!C18</f>
        <v>2801</v>
      </c>
      <c r="D5" s="39" t="n">
        <f aca="false">'LCIA (Annex 1)'!D18</f>
        <v>1255</v>
      </c>
      <c r="E5" s="39" t="n">
        <f aca="false">'LCIA (Annex 1)'!E18</f>
        <v>2836</v>
      </c>
      <c r="F5" s="88" t="n">
        <f aca="false">C5/E5-1</f>
        <v>-0.0123413258110014</v>
      </c>
      <c r="G5" s="88" t="n">
        <f aca="false">D5/E5-1</f>
        <v>-0.557475317348378</v>
      </c>
      <c r="H5" s="65" t="str">
        <f aca="false">INDEX($C$4:$E$4,MATCH(MIN(C5:E5),C5:E5,0))</f>
        <v>Semi-extensive pond IMTA</v>
      </c>
    </row>
    <row r="6" customFormat="false" ht="15" hidden="false" customHeight="false" outlineLevel="0" collapsed="false">
      <c r="A6" s="38" t="s">
        <v>384</v>
      </c>
      <c r="B6" s="38" t="s">
        <v>347</v>
      </c>
      <c r="C6" s="39" t="n">
        <f aca="false">'LCIA (Annex 1)'!C33</f>
        <v>90127</v>
      </c>
      <c r="D6" s="39" t="n">
        <f aca="false">'LCIA (Annex 1)'!D33</f>
        <v>19097</v>
      </c>
      <c r="E6" s="39" t="n">
        <f aca="false">'LCIA (Annex 1)'!E33</f>
        <v>99897</v>
      </c>
      <c r="F6" s="88" t="n">
        <f aca="false">C6/E6-1</f>
        <v>-0.0978007347567995</v>
      </c>
      <c r="G6" s="88" t="n">
        <f aca="false">D6/E6-1</f>
        <v>-0.808833098091034</v>
      </c>
      <c r="H6" s="65" t="str">
        <f aca="false">INDEX($C$4:$E$4,MATCH(MIN(C6:E6),C6:E6,0))</f>
        <v>Semi-extensive pond IMTA</v>
      </c>
    </row>
    <row r="7" customFormat="false" ht="15" hidden="false" customHeight="false" outlineLevel="0" collapsed="false">
      <c r="A7" s="38" t="s">
        <v>385</v>
      </c>
      <c r="B7" s="38" t="s">
        <v>349</v>
      </c>
      <c r="C7" s="39" t="n">
        <f aca="false">'LCIA (Annex 1)'!C48</f>
        <v>10478</v>
      </c>
      <c r="D7" s="39" t="n">
        <f aca="false">'LCIA (Annex 1)'!D48</f>
        <v>4402</v>
      </c>
      <c r="E7" s="39" t="n">
        <f aca="false">'LCIA (Annex 1)'!E48</f>
        <v>12358</v>
      </c>
      <c r="F7" s="88" t="n">
        <f aca="false">C7/E7-1</f>
        <v>-0.152128176080272</v>
      </c>
      <c r="G7" s="88" t="n">
        <f aca="false">D7/E7-1</f>
        <v>-0.643793494092895</v>
      </c>
      <c r="H7" s="65" t="str">
        <f aca="false">INDEX($C$4:$E$4,MATCH(MIN(C7:E7),C7:E7,0))</f>
        <v>Semi-extensive pond IMTA</v>
      </c>
    </row>
    <row r="8" customFormat="false" ht="15" hidden="false" customHeight="false" outlineLevel="0" collapsed="false">
      <c r="A8" s="38" t="s">
        <v>386</v>
      </c>
      <c r="B8" s="38" t="s">
        <v>351</v>
      </c>
      <c r="C8" s="39" t="n">
        <f aca="false">'LCIA (Annex 1)'!C63</f>
        <v>42</v>
      </c>
      <c r="D8" s="39" t="n">
        <f aca="false">'LCIA (Annex 1)'!D63</f>
        <v>6</v>
      </c>
      <c r="E8" s="39" t="n">
        <f aca="false">'LCIA (Annex 1)'!E63</f>
        <v>45</v>
      </c>
      <c r="F8" s="88" t="n">
        <f aca="false">C8/E8-1</f>
        <v>-0.0666666666666667</v>
      </c>
      <c r="G8" s="88" t="n">
        <f aca="false">D8/E8-1</f>
        <v>-0.866666666666667</v>
      </c>
      <c r="H8" s="65" t="str">
        <f aca="false">INDEX($C$4:$E$4,MATCH(MIN(C8:E8),C8:E8,0))</f>
        <v>Semi-extensive pond IMTA</v>
      </c>
    </row>
    <row r="9" customFormat="false" ht="15" hidden="false" customHeight="false" outlineLevel="0" collapsed="false">
      <c r="A9" s="38" t="s">
        <v>387</v>
      </c>
      <c r="B9" s="38" t="s">
        <v>353</v>
      </c>
      <c r="C9" s="39" t="n">
        <f aca="false">'LCIA (Annex 1)'!C78</f>
        <v>26</v>
      </c>
      <c r="D9" s="39" t="n">
        <f aca="false">'LCIA (Annex 1)'!D78</f>
        <v>2</v>
      </c>
      <c r="E9" s="39" t="n">
        <f aca="false">'LCIA (Annex 1)'!E78</f>
        <v>61</v>
      </c>
      <c r="F9" s="88" t="n">
        <f aca="false">C9/E9-1</f>
        <v>-0.573770491803279</v>
      </c>
      <c r="G9" s="88" t="n">
        <f aca="false">D9/E9-1</f>
        <v>-0.967213114754098</v>
      </c>
      <c r="H9" s="65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8" t="s">
        <v>388</v>
      </c>
      <c r="B10" s="38" t="s">
        <v>251</v>
      </c>
      <c r="C10" s="39" t="n">
        <f aca="false">'LCIA (Annex 1)'!C93</f>
        <v>2946</v>
      </c>
      <c r="D10" s="39" t="n">
        <f aca="false">'LCIA (Annex 1)'!D93</f>
        <v>4885</v>
      </c>
      <c r="E10" s="39" t="n">
        <f aca="false">'LCIA (Annex 1)'!E93</f>
        <v>2379</v>
      </c>
      <c r="F10" s="88" t="n">
        <f aca="false">C10/E10-1</f>
        <v>0.238335435056747</v>
      </c>
      <c r="G10" s="88" t="n">
        <f aca="false">D10/E10-1</f>
        <v>1.05338377469525</v>
      </c>
      <c r="H10" s="65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8" t="s">
        <v>389</v>
      </c>
      <c r="B11" s="38" t="s">
        <v>162</v>
      </c>
      <c r="C11" s="39" t="n">
        <f aca="false">'LCIA (Annex 1)'!C108</f>
        <v>163840</v>
      </c>
      <c r="D11" s="39" t="n">
        <f aca="false">'LCIA (Annex 1)'!D108</f>
        <v>115691</v>
      </c>
      <c r="E11" s="39" t="n">
        <f aca="false">'LCIA (Annex 1)'!E108</f>
        <v>393002</v>
      </c>
      <c r="F11" s="88" t="n">
        <f aca="false">C11/E11-1</f>
        <v>-0.583106447295434</v>
      </c>
      <c r="G11" s="88" t="n">
        <f aca="false">D11/E11-1</f>
        <v>-0.705622363244971</v>
      </c>
      <c r="H11" s="65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63" t="s">
        <v>390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150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8" t="s">
        <v>391</v>
      </c>
      <c r="B16" s="38" t="s">
        <v>392</v>
      </c>
      <c r="C16" s="89" t="n">
        <f aca="false">'LCIA (Annex 1)'!C14/'LCI per tonne'!C8</f>
        <v>1.00832680084746</v>
      </c>
      <c r="D16" s="89" t="n">
        <f aca="false">'LCIA (Annex 1)'!D14/'LCI per tonne'!D8</f>
        <v>1.30951685393258</v>
      </c>
      <c r="E16" s="89" t="n">
        <f aca="false">'LCIA (Annex 1)'!E14/'LCI per tonne'!E8</f>
        <v>1.0473440546697</v>
      </c>
    </row>
    <row r="17" customFormat="false" ht="15" hidden="false" customHeight="false" outlineLevel="0" collapsed="false">
      <c r="A17" s="38" t="s">
        <v>393</v>
      </c>
      <c r="B17" s="38" t="s">
        <v>394</v>
      </c>
      <c r="C17" s="89" t="n">
        <f aca="false">'LCIA (Annex 1)'!C29/'LCI per tonne'!C8</f>
        <v>13.6882478813559</v>
      </c>
      <c r="D17" s="89" t="n">
        <f aca="false">'LCIA (Annex 1)'!D29/'LCI per tonne'!D8</f>
        <v>14.1134831460674</v>
      </c>
      <c r="E17" s="89" t="n">
        <f aca="false">'LCIA (Annex 1)'!E29/'LCI per tonne'!E8</f>
        <v>14.0829471526196</v>
      </c>
    </row>
    <row r="18" customFormat="false" ht="15" hidden="false" customHeight="false" outlineLevel="0" collapsed="false">
      <c r="A18" s="38" t="s">
        <v>395</v>
      </c>
      <c r="B18" s="38" t="s">
        <v>396</v>
      </c>
      <c r="C18" s="89" t="n">
        <f aca="false">'LCIA (Annex 1)'!C44/'LCI per tonne'!C8</f>
        <v>6.78488718220339</v>
      </c>
      <c r="D18" s="89" t="n">
        <f aca="false">'LCIA (Annex 1)'!D44/'LCI per tonne'!D8</f>
        <v>7.79814606741573</v>
      </c>
      <c r="E18" s="89" t="n">
        <f aca="false">'LCIA (Annex 1)'!E44/'LCI per tonne'!E8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397</v>
      </c>
    </row>
    <row r="2" customFormat="false" ht="15" hidden="false" customHeight="false" outlineLevel="0" collapsed="false">
      <c r="A2" s="29" t="s">
        <v>108</v>
      </c>
    </row>
    <row r="5" customFormat="false" ht="15" hidden="false" customHeight="false" outlineLevel="0" collapsed="false">
      <c r="A5" s="34" t="s">
        <v>398</v>
      </c>
      <c r="F5" s="90" t="n">
        <v>0.1</v>
      </c>
      <c r="G5" s="29" t="s">
        <v>399</v>
      </c>
    </row>
    <row r="7" customFormat="false" ht="26.85" hidden="false" customHeight="false" outlineLevel="0" collapsed="false">
      <c r="A7" s="8" t="s">
        <v>400</v>
      </c>
      <c r="B7" s="8" t="s">
        <v>401</v>
      </c>
      <c r="C7" s="8" t="s">
        <v>402</v>
      </c>
      <c r="D7" s="8" t="s">
        <v>150</v>
      </c>
      <c r="E7" s="8" t="s">
        <v>403</v>
      </c>
      <c r="F7" s="8" t="s">
        <v>404</v>
      </c>
      <c r="G7" s="8" t="s">
        <v>405</v>
      </c>
      <c r="H7" s="8" t="s">
        <v>406</v>
      </c>
      <c r="I7" s="8" t="s">
        <v>407</v>
      </c>
      <c r="J7" s="8" t="s">
        <v>408</v>
      </c>
      <c r="K7" s="8" t="s">
        <v>409</v>
      </c>
      <c r="L7" s="8" t="s">
        <v>410</v>
      </c>
      <c r="M7" s="8" t="s">
        <v>411</v>
      </c>
    </row>
    <row r="8" customFormat="false" ht="15" hidden="false" customHeight="false" outlineLevel="0" collapsed="false">
      <c r="A8" s="91" t="s">
        <v>412</v>
      </c>
      <c r="B8" s="14" t="s">
        <v>413</v>
      </c>
      <c r="C8" s="14" t="s">
        <v>414</v>
      </c>
      <c r="D8" s="14" t="s">
        <v>415</v>
      </c>
      <c r="E8" s="14" t="s">
        <v>416</v>
      </c>
      <c r="F8" s="39" t="n">
        <f aca="false">'LCIA (Annex 1)'!E18*(1-$F$5)</f>
        <v>2552.4</v>
      </c>
      <c r="G8" s="87" t="n">
        <f aca="false">'LCIA (Annex 1)'!C18</f>
        <v>2801</v>
      </c>
      <c r="H8" s="87" t="n">
        <f aca="false">'LCIA (Annex 1)'!D18</f>
        <v>1255</v>
      </c>
      <c r="I8" s="87" t="n">
        <f aca="false">'LCIA (Annex 1)'!E18</f>
        <v>2836</v>
      </c>
      <c r="J8" s="92" t="str">
        <f aca="false">IF(G8&lt;=$F8,"✓","✗")</f>
        <v>✗</v>
      </c>
      <c r="K8" s="92" t="str">
        <f aca="false">IF(H8&lt;=$F8,"✓","✗")</f>
        <v>✓</v>
      </c>
      <c r="L8" s="92" t="s">
        <v>417</v>
      </c>
      <c r="M8" s="29" t="s">
        <v>418</v>
      </c>
    </row>
    <row r="9" customFormat="false" ht="15" hidden="false" customHeight="false" outlineLevel="0" collapsed="false">
      <c r="A9" s="91" t="s">
        <v>419</v>
      </c>
      <c r="B9" s="14" t="s">
        <v>413</v>
      </c>
      <c r="C9" s="14" t="s">
        <v>420</v>
      </c>
      <c r="D9" s="14" t="s">
        <v>421</v>
      </c>
      <c r="E9" s="14" t="s">
        <v>416</v>
      </c>
      <c r="F9" s="39" t="n">
        <f aca="false">'LCIA (Annex 1)'!E33*(1-$F$5)</f>
        <v>89907.3</v>
      </c>
      <c r="G9" s="87" t="n">
        <f aca="false">'LCIA (Annex 1)'!C33</f>
        <v>90127</v>
      </c>
      <c r="H9" s="87" t="n">
        <f aca="false">'LCIA (Annex 1)'!D33</f>
        <v>19097</v>
      </c>
      <c r="I9" s="87" t="n">
        <f aca="false">'LCIA (Annex 1)'!E33</f>
        <v>99897</v>
      </c>
      <c r="J9" s="92" t="str">
        <f aca="false">IF(G9&lt;=$F9,"✓","✗")</f>
        <v>✗</v>
      </c>
      <c r="K9" s="92" t="str">
        <f aca="false">IF(H9&lt;=$F9,"✓","✗")</f>
        <v>✓</v>
      </c>
      <c r="L9" s="92" t="s">
        <v>417</v>
      </c>
      <c r="M9" s="29" t="s">
        <v>418</v>
      </c>
    </row>
    <row r="10" customFormat="false" ht="15" hidden="false" customHeight="false" outlineLevel="0" collapsed="false">
      <c r="A10" s="91" t="s">
        <v>422</v>
      </c>
      <c r="B10" s="14" t="s">
        <v>413</v>
      </c>
      <c r="C10" s="14" t="s">
        <v>423</v>
      </c>
      <c r="D10" s="14" t="s">
        <v>424</v>
      </c>
      <c r="E10" s="14" t="s">
        <v>416</v>
      </c>
      <c r="F10" s="39" t="n">
        <f aca="false">'LCIA (Annex 1)'!E48*(1-$F$5)</f>
        <v>11122.2</v>
      </c>
      <c r="G10" s="87" t="n">
        <f aca="false">'LCIA (Annex 1)'!C48</f>
        <v>10478</v>
      </c>
      <c r="H10" s="87" t="n">
        <f aca="false">'LCIA (Annex 1)'!D48</f>
        <v>4402</v>
      </c>
      <c r="I10" s="87" t="n">
        <f aca="false">'LCIA (Annex 1)'!E48</f>
        <v>12358</v>
      </c>
      <c r="J10" s="92" t="str">
        <f aca="false">IF(G10&lt;=$F10,"✓","✗")</f>
        <v>✓</v>
      </c>
      <c r="K10" s="92" t="str">
        <f aca="false">IF(H10&lt;=$F10,"✓","✗")</f>
        <v>✓</v>
      </c>
      <c r="L10" s="92" t="s">
        <v>417</v>
      </c>
      <c r="M10" s="29" t="s">
        <v>418</v>
      </c>
    </row>
    <row r="11" customFormat="false" ht="15" hidden="false" customHeight="false" outlineLevel="0" collapsed="false">
      <c r="A11" s="91" t="s">
        <v>425</v>
      </c>
      <c r="B11" s="14" t="s">
        <v>413</v>
      </c>
      <c r="C11" s="14" t="s">
        <v>426</v>
      </c>
      <c r="D11" s="14" t="s">
        <v>427</v>
      </c>
      <c r="E11" s="14" t="s">
        <v>416</v>
      </c>
      <c r="F11" s="67" t="n">
        <f aca="false">'LCIA (Annex 1)'!E63*(1-$F$5)</f>
        <v>40.5</v>
      </c>
      <c r="G11" s="70" t="n">
        <f aca="false">'LCIA (Annex 1)'!C63</f>
        <v>42</v>
      </c>
      <c r="H11" s="70" t="n">
        <f aca="false">'LCIA (Annex 1)'!D63</f>
        <v>6</v>
      </c>
      <c r="I11" s="70" t="n">
        <f aca="false">'LCIA (Annex 1)'!E63</f>
        <v>45</v>
      </c>
      <c r="J11" s="92" t="str">
        <f aca="false">IF(G11&lt;=$F11,"✓","✗")</f>
        <v>✗</v>
      </c>
      <c r="K11" s="92" t="str">
        <f aca="false">IF(H11&lt;=$F11,"✓","✗")</f>
        <v>✓</v>
      </c>
      <c r="L11" s="92" t="s">
        <v>417</v>
      </c>
      <c r="M11" s="29" t="s">
        <v>418</v>
      </c>
    </row>
    <row r="12" customFormat="false" ht="15" hidden="false" customHeight="false" outlineLevel="0" collapsed="false">
      <c r="A12" s="91" t="s">
        <v>428</v>
      </c>
      <c r="B12" s="14" t="s">
        <v>413</v>
      </c>
      <c r="C12" s="14" t="s">
        <v>429</v>
      </c>
      <c r="D12" s="14" t="s">
        <v>430</v>
      </c>
      <c r="E12" s="14" t="s">
        <v>416</v>
      </c>
      <c r="F12" s="67" t="n">
        <f aca="false">'LCIA (Annex 1)'!E78*(1-$F$5)</f>
        <v>54.9</v>
      </c>
      <c r="G12" s="70" t="n">
        <f aca="false">'LCIA (Annex 1)'!C78</f>
        <v>26</v>
      </c>
      <c r="H12" s="70" t="n">
        <f aca="false">'LCIA (Annex 1)'!D78</f>
        <v>2</v>
      </c>
      <c r="I12" s="70" t="n">
        <f aca="false">'LCIA (Annex 1)'!E78</f>
        <v>61</v>
      </c>
      <c r="J12" s="92" t="str">
        <f aca="false">IF(G12&lt;=$F12,"✓","✗")</f>
        <v>✓</v>
      </c>
      <c r="K12" s="92" t="str">
        <f aca="false">IF(H12&lt;=$F12,"✓","✗")</f>
        <v>✓</v>
      </c>
      <c r="L12" s="92" t="s">
        <v>417</v>
      </c>
      <c r="M12" s="29" t="s">
        <v>418</v>
      </c>
    </row>
    <row r="13" customFormat="false" ht="15" hidden="false" customHeight="false" outlineLevel="0" collapsed="false">
      <c r="A13" s="91" t="s">
        <v>431</v>
      </c>
      <c r="B13" s="14" t="s">
        <v>413</v>
      </c>
      <c r="C13" s="14" t="s">
        <v>432</v>
      </c>
      <c r="D13" s="14" t="s">
        <v>433</v>
      </c>
      <c r="E13" s="14" t="s">
        <v>416</v>
      </c>
      <c r="F13" s="39" t="n">
        <f aca="false">'LCIA (Annex 1)'!E93*(1-$F$5)</f>
        <v>2141.1</v>
      </c>
      <c r="G13" s="87" t="n">
        <f aca="false">'LCIA (Annex 1)'!C93</f>
        <v>2946</v>
      </c>
      <c r="H13" s="87" t="n">
        <f aca="false">'LCIA (Annex 1)'!D93</f>
        <v>4885</v>
      </c>
      <c r="I13" s="87" t="n">
        <f aca="false">'LCIA (Annex 1)'!E93</f>
        <v>2379</v>
      </c>
      <c r="J13" s="92" t="str">
        <f aca="false">IF(G13&lt;=$F13,"✓","✗")</f>
        <v>✗</v>
      </c>
      <c r="K13" s="92" t="str">
        <f aca="false">IF(H13&lt;=$F13,"✓","✗")</f>
        <v>✗</v>
      </c>
      <c r="L13" s="92" t="s">
        <v>417</v>
      </c>
      <c r="M13" s="29" t="s">
        <v>418</v>
      </c>
    </row>
    <row r="14" customFormat="false" ht="15" hidden="false" customHeight="false" outlineLevel="0" collapsed="false">
      <c r="A14" s="91" t="s">
        <v>434</v>
      </c>
      <c r="B14" s="14" t="s">
        <v>413</v>
      </c>
      <c r="C14" s="14" t="s">
        <v>435</v>
      </c>
      <c r="D14" s="14" t="s">
        <v>436</v>
      </c>
      <c r="E14" s="14" t="s">
        <v>416</v>
      </c>
      <c r="F14" s="39" t="n">
        <f aca="false">'LCIA (Annex 1)'!E108*(1-$F$5)</f>
        <v>353701.8</v>
      </c>
      <c r="G14" s="87" t="n">
        <f aca="false">'LCIA (Annex 1)'!C108</f>
        <v>163840</v>
      </c>
      <c r="H14" s="87" t="n">
        <f aca="false">'LCIA (Annex 1)'!D108</f>
        <v>115691</v>
      </c>
      <c r="I14" s="87" t="n">
        <f aca="false">'LCIA (Annex 1)'!E108</f>
        <v>393002</v>
      </c>
      <c r="J14" s="92" t="str">
        <f aca="false">IF(G14&lt;=$F14,"✓","✗")</f>
        <v>✓</v>
      </c>
      <c r="K14" s="92" t="str">
        <f aca="false">IF(H14&lt;=$F14,"✓","✗")</f>
        <v>✓</v>
      </c>
      <c r="L14" s="92" t="s">
        <v>417</v>
      </c>
      <c r="M14" s="29" t="s">
        <v>418</v>
      </c>
    </row>
    <row r="15" customFormat="false" ht="15" hidden="false" customHeight="false" outlineLevel="0" collapsed="false">
      <c r="A15" s="91" t="s">
        <v>437</v>
      </c>
      <c r="B15" s="14" t="s">
        <v>438</v>
      </c>
      <c r="C15" s="14" t="s">
        <v>28</v>
      </c>
      <c r="D15" s="14" t="s">
        <v>177</v>
      </c>
      <c r="E15" s="14" t="s">
        <v>439</v>
      </c>
      <c r="F15" s="93" t="n">
        <v>0.35</v>
      </c>
      <c r="G15" s="69" t="n">
        <f aca="false">'Nutrient balance'!C13</f>
        <v>0.469758878127522</v>
      </c>
      <c r="H15" s="69" t="n">
        <f aca="false">'Nutrient balance'!D13</f>
        <v>1.1060393258427</v>
      </c>
      <c r="I15" s="69" t="n">
        <f aca="false">'Nutrient balance'!E13</f>
        <v>0.201757240481614</v>
      </c>
      <c r="J15" s="92" t="str">
        <f aca="false">IF(G15&gt;=$F15,"✓","✗")</f>
        <v>✓</v>
      </c>
      <c r="K15" s="92" t="str">
        <f aca="false">IF(H15&gt;=$F15,"✓","✗")</f>
        <v>✓</v>
      </c>
      <c r="L15" s="92" t="str">
        <f aca="false">IF(I15&gt;=$F15,"✓","✗")</f>
        <v>✗</v>
      </c>
      <c r="M15" s="29" t="s">
        <v>440</v>
      </c>
    </row>
    <row r="16" customFormat="false" ht="15" hidden="false" customHeight="false" outlineLevel="0" collapsed="false">
      <c r="A16" s="91" t="s">
        <v>441</v>
      </c>
      <c r="B16" s="14" t="s">
        <v>438</v>
      </c>
      <c r="C16" s="14" t="s">
        <v>442</v>
      </c>
      <c r="D16" s="14" t="s">
        <v>177</v>
      </c>
      <c r="E16" s="14" t="s">
        <v>439</v>
      </c>
      <c r="F16" s="93" t="n">
        <v>0.3</v>
      </c>
      <c r="G16" s="69" t="n">
        <f aca="false">'Nutrient balance'!C22</f>
        <v>0.3215799031477</v>
      </c>
      <c r="H16" s="69" t="n">
        <f aca="false">'Nutrient balance'!D22</f>
        <v>0.950734658599827</v>
      </c>
      <c r="I16" s="69" t="n">
        <f aca="false">'Nutrient balance'!E22</f>
        <v>0.162707452001302</v>
      </c>
      <c r="J16" s="92" t="str">
        <f aca="false">IF(G16&gt;=$F16,"✓","✗")</f>
        <v>✓</v>
      </c>
      <c r="K16" s="92" t="str">
        <f aca="false">IF(H16&gt;=$F16,"✓","✗")</f>
        <v>✓</v>
      </c>
      <c r="L16" s="92" t="str">
        <f aca="false">IF(I16&gt;=$F16,"✓","✗")</f>
        <v>✗</v>
      </c>
      <c r="M16" s="29" t="s">
        <v>443</v>
      </c>
    </row>
    <row r="17" customFormat="false" ht="15" hidden="false" customHeight="false" outlineLevel="0" collapsed="false">
      <c r="A17" s="91" t="s">
        <v>444</v>
      </c>
      <c r="B17" s="14" t="s">
        <v>438</v>
      </c>
      <c r="C17" s="14" t="s">
        <v>445</v>
      </c>
      <c r="D17" s="14" t="s">
        <v>446</v>
      </c>
      <c r="E17" s="14" t="s">
        <v>416</v>
      </c>
      <c r="F17" s="94" t="n">
        <v>60</v>
      </c>
      <c r="G17" s="70" t="n">
        <f aca="false">'Nutrient balance'!C14</f>
        <v>54.7384865744508</v>
      </c>
      <c r="H17" s="70" t="n">
        <f aca="false">'Nutrient balance'!D14</f>
        <v>-3.79874213836478</v>
      </c>
      <c r="I17" s="70" t="n">
        <f aca="false">'Nutrient balance'!E14</f>
        <v>95.9296072999837</v>
      </c>
      <c r="J17" s="92" t="str">
        <f aca="false">IF(G17&lt;=$F17,"✓","✗")</f>
        <v>✓</v>
      </c>
      <c r="K17" s="92" t="str">
        <f aca="false">IF(H17&lt;=$F17,"✓","✗")</f>
        <v>✓</v>
      </c>
      <c r="L17" s="92" t="str">
        <f aca="false">IF(I17&lt;=$F17,"✓","✗")</f>
        <v>✗</v>
      </c>
      <c r="M17" s="29" t="s">
        <v>447</v>
      </c>
    </row>
    <row r="18" customFormat="false" ht="15" hidden="false" customHeight="false" outlineLevel="0" collapsed="false">
      <c r="A18" s="91" t="s">
        <v>448</v>
      </c>
      <c r="B18" s="14" t="s">
        <v>438</v>
      </c>
      <c r="C18" s="14" t="s">
        <v>449</v>
      </c>
      <c r="D18" s="14" t="s">
        <v>246</v>
      </c>
      <c r="E18" s="14" t="s">
        <v>416</v>
      </c>
      <c r="F18" s="94" t="n">
        <v>1.75</v>
      </c>
      <c r="G18" s="70" t="n">
        <f aca="false">Inventory!C26</f>
        <v>1.7179253867152</v>
      </c>
      <c r="H18" s="70" t="n">
        <f aca="false">Inventory!D26</f>
        <v>1.36923076923077</v>
      </c>
      <c r="I18" s="70" t="n">
        <f aca="false">Inventory!E26</f>
        <v>1.78833306175656</v>
      </c>
      <c r="J18" s="92" t="str">
        <f aca="false">IF(G18&lt;=$F18,"✓","✗")</f>
        <v>✓</v>
      </c>
      <c r="K18" s="92" t="str">
        <f aca="false">IF(H18&lt;=$F18,"✓","✗")</f>
        <v>✓</v>
      </c>
      <c r="L18" s="92" t="str">
        <f aca="false">IF(I18&lt;=$F18,"✓","✗")</f>
        <v>✗</v>
      </c>
      <c r="M18" s="29" t="s">
        <v>450</v>
      </c>
    </row>
    <row r="19" customFormat="false" ht="15" hidden="false" customHeight="false" outlineLevel="0" collapsed="false">
      <c r="A19" s="91" t="s">
        <v>451</v>
      </c>
      <c r="B19" s="14" t="s">
        <v>438</v>
      </c>
      <c r="C19" s="14" t="s">
        <v>452</v>
      </c>
      <c r="D19" s="14" t="s">
        <v>177</v>
      </c>
      <c r="E19" s="14" t="s">
        <v>439</v>
      </c>
      <c r="F19" s="93" t="n">
        <v>0.5</v>
      </c>
      <c r="G19" s="69" t="n">
        <f aca="false">(Inventory!C19+Inventory!C20)/(Inventory!C18+Inventory!C19+Inventory!C20)</f>
        <v>0.551977170811252</v>
      </c>
      <c r="H19" s="69" t="n">
        <f aca="false">(Inventory!D19+Inventory!D20)/(Inventory!D18+Inventory!D19+Inventory!D20)</f>
        <v>0.998172052082455</v>
      </c>
      <c r="I19" s="69" t="n">
        <f aca="false">(Inventory!E19+Inventory!E20)/(Inventory!E18+Inventory!E19+Inventory!E20)</f>
        <v>0</v>
      </c>
      <c r="J19" s="92" t="str">
        <f aca="false">IF(G19&gt;=$F19,"✓","✗")</f>
        <v>✓</v>
      </c>
      <c r="K19" s="92" t="str">
        <f aca="false">IF(H19&gt;=$F19,"✓","✗")</f>
        <v>✓</v>
      </c>
      <c r="L19" s="92" t="str">
        <f aca="false">IF(I19&gt;=$F19,"✓","✗")</f>
        <v>✗</v>
      </c>
      <c r="M19" s="29" t="s">
        <v>453</v>
      </c>
    </row>
    <row r="20" customFormat="false" ht="15" hidden="false" customHeight="false" outlineLevel="0" collapsed="false">
      <c r="A20" s="91" t="s">
        <v>454</v>
      </c>
      <c r="B20" s="14" t="s">
        <v>438</v>
      </c>
      <c r="C20" s="14" t="s">
        <v>455</v>
      </c>
      <c r="D20" s="14" t="s">
        <v>177</v>
      </c>
      <c r="E20" s="14" t="s">
        <v>416</v>
      </c>
      <c r="F20" s="93" t="n">
        <v>0.6</v>
      </c>
      <c r="G20" s="69" t="n">
        <f aca="false">'LCIA (Annex 1)'!C14/'LCIA (Annex 1)'!C18</f>
        <v>0.553016779721528</v>
      </c>
      <c r="H20" s="69" t="n">
        <f aca="false">'LCIA (Annex 1)'!D14/'LCIA (Annex 1)'!D18</f>
        <v>0.58406374501992</v>
      </c>
      <c r="I20" s="69" t="n">
        <f aca="false">'LCIA (Annex 1)'!E14/'LCIA (Annex 1)'!E18</f>
        <v>0.660437235543018</v>
      </c>
      <c r="J20" s="92" t="str">
        <f aca="false">IF(G20&lt;=$F20,"✓","✗")</f>
        <v>✓</v>
      </c>
      <c r="K20" s="92" t="str">
        <f aca="false">IF(H20&lt;=$F20,"✓","✗")</f>
        <v>✓</v>
      </c>
      <c r="L20" s="92" t="str">
        <f aca="false">IF(I20&lt;=$F20,"✓","✗")</f>
        <v>✗</v>
      </c>
      <c r="M20" s="29" t="s">
        <v>456</v>
      </c>
    </row>
    <row r="22" customFormat="false" ht="15" hidden="false" customHeight="false" outlineLevel="0" collapsed="false">
      <c r="A22" s="95" t="s">
        <v>457</v>
      </c>
      <c r="J22" s="95" t="str">
        <f aca="false">COUNTIF(J8:J20,"✓")&amp;" / "&amp;COUNTA(J8:J20)</f>
        <v>9 / 13</v>
      </c>
      <c r="K22" s="95" t="str">
        <f aca="false">COUNTIF(K8:K20,"✓")&amp;" / "&amp;COUNTA(K8:K20)</f>
        <v>12 / 13</v>
      </c>
      <c r="L22" s="95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458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28" t="s">
        <v>459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/>
      <c r="B4" s="8"/>
      <c r="C4" s="8" t="s">
        <v>11</v>
      </c>
      <c r="D4" s="8" t="s">
        <v>15</v>
      </c>
      <c r="E4" s="8" t="s">
        <v>19</v>
      </c>
    </row>
    <row r="5" customFormat="false" ht="15" hidden="false" customHeight="false" outlineLevel="0" collapsed="false">
      <c r="A5" s="34" t="s">
        <v>460</v>
      </c>
      <c r="C5" s="95" t="str">
        <f aca="false">'KPI framework'!J22</f>
        <v>9 / 13</v>
      </c>
      <c r="D5" s="95" t="str">
        <f aca="false">'KPI framework'!K22</f>
        <v>12 / 13</v>
      </c>
      <c r="E5" s="95" t="str">
        <f aca="false">'KPI framework'!L22</f>
        <v>0 / 13</v>
      </c>
    </row>
    <row r="6" customFormat="false" ht="15" hidden="false" customHeight="false" outlineLevel="0" collapsed="false">
      <c r="A6" s="34" t="s">
        <v>24</v>
      </c>
      <c r="C6" s="39" t="n">
        <f aca="false">Comparison!C5</f>
        <v>2801</v>
      </c>
      <c r="D6" s="39" t="n">
        <f aca="false">Comparison!D5</f>
        <v>1255</v>
      </c>
      <c r="E6" s="39" t="n">
        <f aca="false">Comparison!E5</f>
        <v>2836</v>
      </c>
    </row>
    <row r="7" customFormat="false" ht="15" hidden="false" customHeight="false" outlineLevel="0" collapsed="false">
      <c r="A7" s="34" t="s">
        <v>25</v>
      </c>
      <c r="C7" s="39" t="n">
        <f aca="false">Comparison!C9</f>
        <v>26</v>
      </c>
      <c r="D7" s="39" t="n">
        <f aca="false">Comparison!D9</f>
        <v>2</v>
      </c>
      <c r="E7" s="39" t="n">
        <f aca="false">Comparison!E9</f>
        <v>61</v>
      </c>
    </row>
    <row r="8" customFormat="false" ht="15" hidden="false" customHeight="false" outlineLevel="0" collapsed="false">
      <c r="A8" s="34" t="s">
        <v>27</v>
      </c>
      <c r="C8" s="39" t="n">
        <f aca="false">Comparison!C11</f>
        <v>163840</v>
      </c>
      <c r="D8" s="39" t="n">
        <f aca="false">Comparison!D11</f>
        <v>115691</v>
      </c>
      <c r="E8" s="39" t="n">
        <f aca="false">Comparison!E11</f>
        <v>393002</v>
      </c>
    </row>
    <row r="9" customFormat="false" ht="15" hidden="false" customHeight="false" outlineLevel="0" collapsed="false">
      <c r="A9" s="34" t="s">
        <v>26</v>
      </c>
      <c r="C9" s="39" t="n">
        <f aca="false">Comparison!C10</f>
        <v>2946</v>
      </c>
      <c r="D9" s="39" t="n">
        <f aca="false">Comparison!D10</f>
        <v>4885</v>
      </c>
      <c r="E9" s="39" t="n">
        <f aca="false">Comparison!E10</f>
        <v>2379</v>
      </c>
    </row>
    <row r="10" customFormat="false" ht="15" hidden="false" customHeight="false" outlineLevel="0" collapsed="false">
      <c r="A10" s="34" t="s">
        <v>28</v>
      </c>
      <c r="C10" s="84" t="n">
        <f aca="false">'Nutrient balance'!C13</f>
        <v>0.469758878127522</v>
      </c>
      <c r="D10" s="84" t="n">
        <f aca="false">'Nutrient balance'!D13</f>
        <v>1.1060393258427</v>
      </c>
      <c r="E10" s="84" t="n">
        <f aca="false">'Nutrient balance'!E13</f>
        <v>0.201757240481614</v>
      </c>
    </row>
    <row r="11" customFormat="false" ht="15" hidden="false" customHeight="false" outlineLevel="0" collapsed="false">
      <c r="A11" s="34" t="s">
        <v>461</v>
      </c>
      <c r="C11" s="96" t="n">
        <f aca="false">'Nutrient balance'!C14</f>
        <v>54.7384865744508</v>
      </c>
      <c r="D11" s="96" t="n">
        <f aca="false">'Nutrient balance'!D14</f>
        <v>-3.79874213836478</v>
      </c>
      <c r="E11" s="96" t="n">
        <f aca="false">'Nutrient balance'!E14</f>
        <v>95.9296072999837</v>
      </c>
    </row>
    <row r="15" customFormat="false" ht="15" hidden="false" customHeight="false" outlineLevel="0" collapsed="false">
      <c r="A15" s="63" t="s">
        <v>462</v>
      </c>
      <c r="B15" s="5"/>
      <c r="C15" s="5"/>
      <c r="D15" s="5"/>
      <c r="E15" s="5"/>
    </row>
    <row r="16" customFormat="false" ht="26.85" hidden="false" customHeight="false" outlineLevel="0" collapsed="false">
      <c r="A16" s="8" t="s">
        <v>328</v>
      </c>
      <c r="B16" s="8"/>
      <c r="C16" s="8" t="s">
        <v>11</v>
      </c>
      <c r="D16" s="8" t="s">
        <v>15</v>
      </c>
      <c r="E16" s="8" t="s">
        <v>19</v>
      </c>
    </row>
    <row r="17" customFormat="false" ht="15" hidden="false" customHeight="false" outlineLevel="0" collapsed="false">
      <c r="A17" s="38" t="s">
        <v>333</v>
      </c>
      <c r="C17" s="39" t="n">
        <f aca="false">'LCIA (Annex 1)'!C6</f>
        <v>137</v>
      </c>
      <c r="D17" s="39" t="n">
        <f aca="false">'LCIA (Annex 1)'!D6</f>
        <v>12</v>
      </c>
      <c r="E17" s="39" t="n">
        <f aca="false">'LCIA (Annex 1)'!E6</f>
        <v>13</v>
      </c>
    </row>
    <row r="18" customFormat="false" ht="15" hidden="false" customHeight="false" outlineLevel="0" collapsed="false">
      <c r="A18" s="38" t="s">
        <v>335</v>
      </c>
      <c r="C18" s="39" t="n">
        <f aca="false">'LCIA (Annex 1)'!C7</f>
        <v>330</v>
      </c>
      <c r="D18" s="39" t="n">
        <f aca="false">'LCIA (Annex 1)'!D7</f>
        <v>6</v>
      </c>
      <c r="E18" s="39" t="n">
        <f aca="false">'LCIA (Annex 1)'!E7</f>
        <v>474</v>
      </c>
    </row>
    <row r="19" customFormat="false" ht="15" hidden="false" customHeight="false" outlineLevel="0" collapsed="false">
      <c r="A19" s="38" t="s">
        <v>337</v>
      </c>
      <c r="C19" s="39" t="n">
        <f aca="false">'LCIA (Annex 1)'!C9</f>
        <v>32</v>
      </c>
      <c r="D19" s="39" t="n">
        <f aca="false">'LCIA (Annex 1)'!D9</f>
        <v>8</v>
      </c>
      <c r="E19" s="39" t="n">
        <f aca="false">'LCIA (Annex 1)'!E9</f>
        <v>80</v>
      </c>
    </row>
    <row r="20" customFormat="false" ht="15" hidden="false" customHeight="false" outlineLevel="0" collapsed="false">
      <c r="A20" s="38" t="s">
        <v>339</v>
      </c>
      <c r="C20" s="39" t="n">
        <f aca="false">'LCIA (Annex 1)'!C11</f>
        <v>0</v>
      </c>
      <c r="D20" s="39" t="n">
        <f aca="false">'LCIA (Annex 1)'!D11</f>
        <v>30</v>
      </c>
      <c r="E20" s="39" t="n">
        <f aca="false">'LCIA (Annex 1)'!E11</f>
        <v>0</v>
      </c>
    </row>
    <row r="21" customFormat="false" ht="15" hidden="false" customHeight="false" outlineLevel="0" collapsed="false">
      <c r="A21" s="38" t="s">
        <v>340</v>
      </c>
      <c r="C21" s="39" t="n">
        <f aca="false">'LCIA (Annex 1)'!C12</f>
        <v>386</v>
      </c>
      <c r="D21" s="39" t="n">
        <f aca="false">'LCIA (Annex 1)'!D12</f>
        <v>228</v>
      </c>
      <c r="E21" s="39" t="n">
        <f aca="false">'LCIA (Annex 1)'!E12</f>
        <v>15</v>
      </c>
    </row>
    <row r="22" customFormat="false" ht="15" hidden="false" customHeight="false" outlineLevel="0" collapsed="false">
      <c r="A22" s="38" t="s">
        <v>182</v>
      </c>
      <c r="C22" s="39" t="n">
        <f aca="false">'LCIA (Annex 1)'!C13</f>
        <v>43</v>
      </c>
      <c r="D22" s="39" t="n">
        <f aca="false">'LCIA (Annex 1)'!D13</f>
        <v>29</v>
      </c>
      <c r="E22" s="39" t="n">
        <f aca="false">'LCIA (Annex 1)'!E13</f>
        <v>1</v>
      </c>
    </row>
    <row r="23" customFormat="false" ht="15" hidden="false" customHeight="false" outlineLevel="0" collapsed="false">
      <c r="A23" s="38" t="s">
        <v>341</v>
      </c>
      <c r="C23" s="39" t="n">
        <f aca="false">'LCIA (Annex 1)'!C14</f>
        <v>1549</v>
      </c>
      <c r="D23" s="39" t="n">
        <f aca="false">'LCIA (Annex 1)'!D14</f>
        <v>733</v>
      </c>
      <c r="E23" s="39" t="n">
        <f aca="false">'LCIA (Annex 1)'!E14</f>
        <v>1873</v>
      </c>
    </row>
    <row r="24" customFormat="false" ht="15" hidden="false" customHeight="false" outlineLevel="0" collapsed="false">
      <c r="A24" s="38" t="s">
        <v>342</v>
      </c>
      <c r="C24" s="39" t="n">
        <f aca="false">'LCIA (Annex 1)'!C15</f>
        <v>325</v>
      </c>
      <c r="D24" s="39" t="n">
        <f aca="false">'LCIA (Annex 1)'!D15</f>
        <v>208</v>
      </c>
      <c r="E24" s="39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463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63" t="s">
        <v>464</v>
      </c>
      <c r="B4" s="5"/>
      <c r="C4" s="5"/>
      <c r="D4" s="5"/>
      <c r="E4" s="5"/>
      <c r="F4" s="5"/>
    </row>
    <row r="5" customFormat="false" ht="26.85" hidden="false" customHeight="false" outlineLevel="0" collapsed="false">
      <c r="A5" s="8" t="s">
        <v>379</v>
      </c>
      <c r="B5" s="8"/>
      <c r="C5" s="8" t="s">
        <v>11</v>
      </c>
      <c r="D5" s="8" t="s">
        <v>15</v>
      </c>
      <c r="E5" s="8" t="s">
        <v>19</v>
      </c>
    </row>
    <row r="6" customFormat="false" ht="15" hidden="false" customHeight="false" outlineLevel="0" collapsed="false">
      <c r="A6" s="38" t="s">
        <v>414</v>
      </c>
      <c r="C6" s="84" t="n">
        <f aca="false">Comparison!C5/Comparison!$E5</f>
        <v>0.987658674188999</v>
      </c>
      <c r="D6" s="84" t="n">
        <f aca="false">Comparison!D5/Comparison!$E5</f>
        <v>0.442524682651622</v>
      </c>
      <c r="E6" s="84" t="n">
        <f aca="false">Comparison!E5/Comparison!$E5</f>
        <v>1</v>
      </c>
    </row>
    <row r="7" customFormat="false" ht="15" hidden="false" customHeight="false" outlineLevel="0" collapsed="false">
      <c r="A7" s="38" t="s">
        <v>420</v>
      </c>
      <c r="C7" s="84" t="n">
        <f aca="false">Comparison!C6/Comparison!$E6</f>
        <v>0.902199265243201</v>
      </c>
      <c r="D7" s="84" t="n">
        <f aca="false">Comparison!D6/Comparison!$E6</f>
        <v>0.191166901908966</v>
      </c>
      <c r="E7" s="84" t="n">
        <f aca="false">Comparison!E6/Comparison!$E6</f>
        <v>1</v>
      </c>
    </row>
    <row r="8" customFormat="false" ht="15" hidden="false" customHeight="false" outlineLevel="0" collapsed="false">
      <c r="A8" s="38" t="s">
        <v>423</v>
      </c>
      <c r="C8" s="84" t="n">
        <f aca="false">Comparison!C7/Comparison!$E7</f>
        <v>0.847871823919728</v>
      </c>
      <c r="D8" s="84" t="n">
        <f aca="false">Comparison!D7/Comparison!$E7</f>
        <v>0.356206505907105</v>
      </c>
      <c r="E8" s="84" t="n">
        <f aca="false">Comparison!E7/Comparison!$E7</f>
        <v>1</v>
      </c>
    </row>
    <row r="9" customFormat="false" ht="15" hidden="false" customHeight="false" outlineLevel="0" collapsed="false">
      <c r="A9" s="38" t="s">
        <v>426</v>
      </c>
      <c r="C9" s="84" t="n">
        <f aca="false">Comparison!C8/Comparison!$E8</f>
        <v>0.933333333333333</v>
      </c>
      <c r="D9" s="84" t="n">
        <f aca="false">Comparison!D8/Comparison!$E8</f>
        <v>0.133333333333333</v>
      </c>
      <c r="E9" s="84" t="n">
        <f aca="false">Comparison!E8/Comparison!$E8</f>
        <v>1</v>
      </c>
    </row>
    <row r="10" customFormat="false" ht="15" hidden="false" customHeight="false" outlineLevel="0" collapsed="false">
      <c r="A10" s="38" t="s">
        <v>429</v>
      </c>
      <c r="C10" s="84" t="n">
        <f aca="false">Comparison!C9/Comparison!$E9</f>
        <v>0.426229508196721</v>
      </c>
      <c r="D10" s="84" t="n">
        <f aca="false">Comparison!D9/Comparison!$E9</f>
        <v>0.0327868852459016</v>
      </c>
      <c r="E10" s="84" t="n">
        <f aca="false">Comparison!E9/Comparison!$E9</f>
        <v>1</v>
      </c>
    </row>
    <row r="11" customFormat="false" ht="15" hidden="false" customHeight="false" outlineLevel="0" collapsed="false">
      <c r="A11" s="38" t="s">
        <v>432</v>
      </c>
      <c r="C11" s="84" t="n">
        <f aca="false">Comparison!C10/Comparison!$E10</f>
        <v>1.23833543505675</v>
      </c>
      <c r="D11" s="84" t="n">
        <f aca="false">Comparison!D10/Comparison!$E10</f>
        <v>2.05338377469525</v>
      </c>
      <c r="E11" s="84" t="n">
        <f aca="false">Comparison!E10/Comparison!$E10</f>
        <v>1</v>
      </c>
    </row>
    <row r="12" customFormat="false" ht="15" hidden="false" customHeight="false" outlineLevel="0" collapsed="false">
      <c r="A12" s="38" t="s">
        <v>435</v>
      </c>
      <c r="C12" s="84" t="n">
        <f aca="false">Comparison!C11/Comparison!$E11</f>
        <v>0.416893552704566</v>
      </c>
      <c r="D12" s="84" t="n">
        <f aca="false">Comparison!D11/Comparison!$E11</f>
        <v>0.294377636755029</v>
      </c>
      <c r="E12" s="84" t="n">
        <f aca="false">Comparison!E11/Comparison!$E11</f>
        <v>1</v>
      </c>
    </row>
    <row r="25" customFormat="false" ht="15" hidden="false" customHeight="false" outlineLevel="0" collapsed="false">
      <c r="A25" s="63" t="s">
        <v>465</v>
      </c>
      <c r="B25" s="5"/>
      <c r="C25" s="5"/>
      <c r="D25" s="5"/>
      <c r="E25" s="5"/>
      <c r="F25" s="5"/>
    </row>
    <row r="26" customFormat="false" ht="26.85" hidden="false" customHeight="false" outlineLevel="0" collapsed="false">
      <c r="A26" s="8" t="s">
        <v>379</v>
      </c>
      <c r="B26" s="8"/>
      <c r="C26" s="8" t="s">
        <v>380</v>
      </c>
      <c r="D26" s="8" t="s">
        <v>381</v>
      </c>
    </row>
    <row r="27" customFormat="false" ht="15" hidden="false" customHeight="false" outlineLevel="0" collapsed="false">
      <c r="A27" s="38" t="s">
        <v>414</v>
      </c>
      <c r="C27" s="88" t="n">
        <f aca="false">Comparison!F5</f>
        <v>-0.0123413258110014</v>
      </c>
      <c r="D27" s="88" t="n">
        <f aca="false">Comparison!G5</f>
        <v>-0.557475317348378</v>
      </c>
    </row>
    <row r="28" customFormat="false" ht="15" hidden="false" customHeight="false" outlineLevel="0" collapsed="false">
      <c r="A28" s="38" t="s">
        <v>420</v>
      </c>
      <c r="C28" s="88" t="n">
        <f aca="false">Comparison!F6</f>
        <v>-0.0978007347567995</v>
      </c>
      <c r="D28" s="88" t="n">
        <f aca="false">Comparison!G6</f>
        <v>-0.808833098091034</v>
      </c>
    </row>
    <row r="29" customFormat="false" ht="15" hidden="false" customHeight="false" outlineLevel="0" collapsed="false">
      <c r="A29" s="38" t="s">
        <v>423</v>
      </c>
      <c r="C29" s="88" t="n">
        <f aca="false">Comparison!F7</f>
        <v>-0.152128176080272</v>
      </c>
      <c r="D29" s="88" t="n">
        <f aca="false">Comparison!G7</f>
        <v>-0.643793494092895</v>
      </c>
    </row>
    <row r="30" customFormat="false" ht="15" hidden="false" customHeight="false" outlineLevel="0" collapsed="false">
      <c r="A30" s="38" t="s">
        <v>426</v>
      </c>
      <c r="C30" s="88" t="n">
        <f aca="false">Comparison!F8</f>
        <v>-0.0666666666666667</v>
      </c>
      <c r="D30" s="88" t="n">
        <f aca="false">Comparison!G8</f>
        <v>-0.866666666666667</v>
      </c>
    </row>
    <row r="31" customFormat="false" ht="15" hidden="false" customHeight="false" outlineLevel="0" collapsed="false">
      <c r="A31" s="38" t="s">
        <v>429</v>
      </c>
      <c r="C31" s="88" t="n">
        <f aca="false">Comparison!F9</f>
        <v>-0.573770491803279</v>
      </c>
      <c r="D31" s="88" t="n">
        <f aca="false">Comparison!G9</f>
        <v>-0.967213114754098</v>
      </c>
    </row>
    <row r="32" customFormat="false" ht="15" hidden="false" customHeight="false" outlineLevel="0" collapsed="false">
      <c r="A32" s="38" t="s">
        <v>432</v>
      </c>
      <c r="C32" s="88" t="n">
        <f aca="false">Comparison!F10</f>
        <v>0.238335435056747</v>
      </c>
      <c r="D32" s="88" t="n">
        <f aca="false">Comparison!G10</f>
        <v>1.05338377469525</v>
      </c>
    </row>
    <row r="33" customFormat="false" ht="15" hidden="false" customHeight="false" outlineLevel="0" collapsed="false">
      <c r="A33" s="38" t="s">
        <v>435</v>
      </c>
      <c r="C33" s="88" t="n">
        <f aca="false">Comparison!F11</f>
        <v>-0.583106447295434</v>
      </c>
      <c r="D33" s="88" t="n">
        <f aca="false">Comparison!G11</f>
        <v>-0.705622363244971</v>
      </c>
    </row>
    <row r="46" customFormat="false" ht="15" hidden="false" customHeight="false" outlineLevel="0" collapsed="false">
      <c r="A46" s="63" t="s">
        <v>466</v>
      </c>
      <c r="B46" s="5"/>
      <c r="C46" s="5"/>
      <c r="D46" s="5"/>
      <c r="E46" s="5"/>
      <c r="F46" s="5"/>
    </row>
    <row r="47" customFormat="false" ht="26.85" hidden="false" customHeight="false" outlineLevel="0" collapsed="false">
      <c r="A47" s="8" t="s">
        <v>7</v>
      </c>
      <c r="B47" s="8"/>
      <c r="C47" s="8" t="s">
        <v>467</v>
      </c>
      <c r="D47" s="8" t="s">
        <v>468</v>
      </c>
      <c r="E47" s="8" t="s">
        <v>469</v>
      </c>
    </row>
    <row r="48" customFormat="false" ht="15" hidden="false" customHeight="false" outlineLevel="0" collapsed="false">
      <c r="A48" s="38" t="s">
        <v>11</v>
      </c>
      <c r="C48" s="44" t="n">
        <f aca="false">'Nutrient balance'!C9*Inventory!C25</f>
        <v>23.5964198535395</v>
      </c>
      <c r="D48" s="44" t="n">
        <f aca="false">'Nutrient balance'!C10*Inventory!C25</f>
        <v>24.8982912937347</v>
      </c>
      <c r="E48" s="44" t="n">
        <f aca="false">'Nutrient balance'!C11*Inventory!C25</f>
        <v>54.7384865744508</v>
      </c>
    </row>
    <row r="49" customFormat="false" ht="15" hidden="false" customHeight="false" outlineLevel="0" collapsed="false">
      <c r="A49" s="38" t="s">
        <v>15</v>
      </c>
      <c r="C49" s="44" t="n">
        <f aca="false">'Nutrient balance'!D9*Inventory!D25</f>
        <v>28.3018867924528</v>
      </c>
      <c r="D49" s="44" t="n">
        <f aca="false">'Nutrient balance'!D10*Inventory!D25</f>
        <v>11.3207547169811</v>
      </c>
      <c r="E49" s="44" t="n">
        <f aca="false">'Nutrient balance'!D11*Inventory!D25</f>
        <v>-3.79874213836478</v>
      </c>
    </row>
    <row r="50" customFormat="false" ht="15" hidden="false" customHeight="false" outlineLevel="0" collapsed="false">
      <c r="A50" s="38" t="s">
        <v>19</v>
      </c>
      <c r="C50" s="44" t="n">
        <f aca="false">'Nutrient balance'!E9*Inventory!E25</f>
        <v>24.246374450057</v>
      </c>
      <c r="D50" s="44" t="n">
        <f aca="false">'Nutrient balance'!E10*Inventory!E25</f>
        <v>0</v>
      </c>
      <c r="E50" s="44" t="n">
        <f aca="false">'Nutrient balance'!E11*Inventory!E25</f>
        <v>95.9296072999837</v>
      </c>
    </row>
    <row r="64" customFormat="false" ht="15" hidden="false" customHeight="false" outlineLevel="0" collapsed="false">
      <c r="A64" s="63" t="s">
        <v>470</v>
      </c>
      <c r="B64" s="5"/>
      <c r="C64" s="5"/>
      <c r="D64" s="5"/>
      <c r="E64" s="5"/>
      <c r="F64" s="5"/>
    </row>
    <row r="65" customFormat="false" ht="26.85" hidden="false" customHeight="false" outlineLevel="0" collapsed="false">
      <c r="A65" s="8" t="s">
        <v>7</v>
      </c>
      <c r="B65" s="8"/>
      <c r="C65" s="8" t="s">
        <v>467</v>
      </c>
      <c r="D65" s="8" t="s">
        <v>468</v>
      </c>
      <c r="E65" s="8" t="s">
        <v>469</v>
      </c>
    </row>
    <row r="66" customFormat="false" ht="15" hidden="false" customHeight="false" outlineLevel="0" collapsed="false">
      <c r="A66" s="38" t="s">
        <v>11</v>
      </c>
      <c r="C66" s="44" t="n">
        <f aca="false">'Nutrient balance'!C18*Inventory!C25</f>
        <v>4.8006509357201</v>
      </c>
      <c r="D66" s="44" t="n">
        <f aca="false">'Nutrient balance'!C19*Inventory!C25</f>
        <v>2.11554109031733</v>
      </c>
      <c r="E66" s="44" t="n">
        <f aca="false">'Nutrient balance'!C20*Inventory!C25</f>
        <v>14.5907241659886</v>
      </c>
    </row>
    <row r="67" customFormat="false" ht="15" hidden="false" customHeight="false" outlineLevel="0" collapsed="false">
      <c r="A67" s="38" t="s">
        <v>15</v>
      </c>
      <c r="C67" s="44" t="n">
        <f aca="false">'Nutrient balance'!D18*Inventory!D25</f>
        <v>6.28930817610063</v>
      </c>
      <c r="D67" s="44" t="n">
        <f aca="false">'Nutrient balance'!D19*Inventory!D25</f>
        <v>0.628930817610063</v>
      </c>
      <c r="E67" s="44" t="n">
        <f aca="false">'Nutrient balance'!D20*Inventory!D25</f>
        <v>0.358490566037736</v>
      </c>
    </row>
    <row r="68" customFormat="false" ht="15" hidden="false" customHeight="false" outlineLevel="0" collapsed="false">
      <c r="A68" s="38" t="s">
        <v>19</v>
      </c>
      <c r="C68" s="44" t="n">
        <f aca="false">'Nutrient balance'!E18*Inventory!E25</f>
        <v>4.07365162131335</v>
      </c>
      <c r="D68" s="44" t="n">
        <f aca="false">'Nutrient balance'!E19*Inventory!E25</f>
        <v>0</v>
      </c>
      <c r="E68" s="44" t="n">
        <f aca="false">'Nutrient balance'!E20*Inventory!E25</f>
        <v>20.9630112432785</v>
      </c>
    </row>
    <row r="82" customFormat="false" ht="15" hidden="false" customHeight="false" outlineLevel="0" collapsed="false">
      <c r="A82" s="63" t="s">
        <v>471</v>
      </c>
      <c r="B82" s="5"/>
      <c r="C82" s="5"/>
      <c r="D82" s="5"/>
      <c r="E82" s="5"/>
      <c r="F82" s="5"/>
    </row>
    <row r="83" customFormat="false" ht="26.85" hidden="false" customHeight="false" outlineLevel="0" collapsed="false">
      <c r="A83" s="8" t="s">
        <v>7</v>
      </c>
      <c r="B83" s="8"/>
      <c r="C83" s="8" t="s">
        <v>472</v>
      </c>
      <c r="D83" s="8" t="s">
        <v>473</v>
      </c>
      <c r="E83" s="8" t="s">
        <v>474</v>
      </c>
    </row>
    <row r="84" customFormat="false" ht="15" hidden="false" customHeight="false" outlineLevel="0" collapsed="false">
      <c r="A84" s="38" t="s">
        <v>11</v>
      </c>
      <c r="C84" s="97" t="n">
        <f aca="false">COUNTIF('KPI framework'!J8:J14,"✓")</f>
        <v>3</v>
      </c>
      <c r="D84" s="97" t="n">
        <f aca="false">COUNTIF('KPI framework'!J15:J20,"✓")</f>
        <v>6</v>
      </c>
      <c r="E84" s="98" t="n">
        <f aca="false">C84+D84</f>
        <v>9</v>
      </c>
    </row>
    <row r="85" customFormat="false" ht="15" hidden="false" customHeight="false" outlineLevel="0" collapsed="false">
      <c r="A85" s="38" t="s">
        <v>15</v>
      </c>
      <c r="C85" s="97" t="n">
        <f aca="false">COUNTIF('KPI framework'!K8:K14,"✓")</f>
        <v>6</v>
      </c>
      <c r="D85" s="97" t="n">
        <f aca="false">COUNTIF('KPI framework'!K15:K20,"✓")</f>
        <v>6</v>
      </c>
      <c r="E85" s="98" t="n">
        <f aca="false">C85+D85</f>
        <v>12</v>
      </c>
    </row>
    <row r="86" customFormat="false" ht="15" hidden="false" customHeight="false" outlineLevel="0" collapsed="false">
      <c r="A86" s="38" t="s">
        <v>19</v>
      </c>
      <c r="C86" s="97" t="n">
        <f aca="false">COUNTIF('KPI framework'!L8:L14,"✓")</f>
        <v>0</v>
      </c>
      <c r="D86" s="97" t="n">
        <f aca="false">COUNTIF('KPI framework'!L15:L20,"✓")</f>
        <v>0</v>
      </c>
      <c r="E86" s="98" t="n">
        <f aca="false">C86+D86</f>
        <v>0</v>
      </c>
    </row>
    <row r="101" customFormat="false" ht="15" hidden="false" customHeight="false" outlineLevel="0" collapsed="false">
      <c r="A101" s="63" t="s">
        <v>475</v>
      </c>
      <c r="B101" s="5"/>
      <c r="C101" s="5"/>
      <c r="D101" s="5"/>
      <c r="E101" s="5"/>
      <c r="F101" s="5"/>
    </row>
    <row r="102" customFormat="false" ht="26.85" hidden="false" customHeight="false" outlineLevel="0" collapsed="false">
      <c r="A102" s="8" t="s">
        <v>402</v>
      </c>
      <c r="B102" s="8"/>
      <c r="C102" s="8" t="s">
        <v>11</v>
      </c>
      <c r="D102" s="8" t="s">
        <v>15</v>
      </c>
      <c r="E102" s="8" t="s">
        <v>19</v>
      </c>
    </row>
    <row r="103" customFormat="false" ht="15" hidden="false" customHeight="false" outlineLevel="0" collapsed="false">
      <c r="A103" s="38" t="s">
        <v>476</v>
      </c>
      <c r="C103" s="88" t="n">
        <f aca="false">MAX(-1,MIN(1.5,('KPI framework'!$F8-'KPI framework'!G8)/ABS('KPI framework'!$F8)))</f>
        <v>-0.0973985268766651</v>
      </c>
      <c r="D103" s="88" t="n">
        <f aca="false">MAX(-1,MIN(1.5,('KPI framework'!$F8-'KPI framework'!H8)/ABS('KPI framework'!$F8)))</f>
        <v>0.508305908164864</v>
      </c>
      <c r="E103" s="88" t="e">
        <f aca="false">NA()</f>
        <v>#N/A</v>
      </c>
    </row>
    <row r="104" customFormat="false" ht="15" hidden="false" customHeight="false" outlineLevel="0" collapsed="false">
      <c r="A104" s="38" t="s">
        <v>477</v>
      </c>
      <c r="C104" s="88" t="n">
        <f aca="false">MAX(-1,MIN(1.5,('KPI framework'!$F9-'KPI framework'!G9)/ABS('KPI framework'!$F9)))</f>
        <v>-0.00244362804800052</v>
      </c>
      <c r="D104" s="88" t="n">
        <f aca="false">MAX(-1,MIN(1.5,('KPI framework'!$F9-'KPI framework'!H9)/ABS('KPI framework'!$F9)))</f>
        <v>0.78759233121226</v>
      </c>
      <c r="E104" s="88" t="e">
        <f aca="false">NA()</f>
        <v>#N/A</v>
      </c>
    </row>
    <row r="105" customFormat="false" ht="15" hidden="false" customHeight="false" outlineLevel="0" collapsed="false">
      <c r="A105" s="38" t="s">
        <v>478</v>
      </c>
      <c r="C105" s="88" t="n">
        <f aca="false">MAX(-1,MIN(1.5,('KPI framework'!$F10-'KPI framework'!G10)/ABS('KPI framework'!$F10)))</f>
        <v>0.0579201956447466</v>
      </c>
      <c r="D105" s="88" t="n">
        <f aca="false">MAX(-1,MIN(1.5,('KPI framework'!$F10-'KPI framework'!H10)/ABS('KPI framework'!$F10)))</f>
        <v>0.60421499343655</v>
      </c>
      <c r="E105" s="88" t="e">
        <f aca="false">NA()</f>
        <v>#N/A</v>
      </c>
    </row>
    <row r="106" customFormat="false" ht="15" hidden="false" customHeight="false" outlineLevel="0" collapsed="false">
      <c r="A106" s="38" t="s">
        <v>479</v>
      </c>
      <c r="C106" s="88" t="n">
        <f aca="false">MAX(-1,MIN(1.5,('KPI framework'!$F11-'KPI framework'!G11)/ABS('KPI framework'!$F11)))</f>
        <v>-0.037037037037037</v>
      </c>
      <c r="D106" s="88" t="n">
        <f aca="false">MAX(-1,MIN(1.5,('KPI framework'!$F11-'KPI framework'!H11)/ABS('KPI framework'!$F11)))</f>
        <v>0.851851851851852</v>
      </c>
      <c r="E106" s="88" t="e">
        <f aca="false">NA()</f>
        <v>#N/A</v>
      </c>
    </row>
    <row r="107" customFormat="false" ht="15" hidden="false" customHeight="false" outlineLevel="0" collapsed="false">
      <c r="A107" s="38" t="s">
        <v>480</v>
      </c>
      <c r="C107" s="88" t="n">
        <f aca="false">MAX(-1,MIN(1.5,('KPI framework'!$F12-'KPI framework'!G12)/ABS('KPI framework'!$F12)))</f>
        <v>0.526411657559199</v>
      </c>
      <c r="D107" s="88" t="n">
        <f aca="false">MAX(-1,MIN(1.5,('KPI framework'!$F12-'KPI framework'!H12)/ABS('KPI framework'!$F12)))</f>
        <v>0.963570127504554</v>
      </c>
      <c r="E107" s="88" t="e">
        <f aca="false">NA()</f>
        <v>#N/A</v>
      </c>
    </row>
    <row r="108" customFormat="false" ht="15" hidden="false" customHeight="false" outlineLevel="0" collapsed="false">
      <c r="A108" s="38" t="s">
        <v>481</v>
      </c>
      <c r="C108" s="88" t="n">
        <f aca="false">MAX(-1,MIN(1.5,('KPI framework'!$F13-'KPI framework'!G13)/ABS('KPI framework'!$F13)))</f>
        <v>-0.375928261174163</v>
      </c>
      <c r="D108" s="88" t="n">
        <f aca="false">MAX(-1,MIN(1.5,('KPI framework'!$F13-'KPI framework'!H13)/ABS('KPI framework'!$F13)))</f>
        <v>-1</v>
      </c>
      <c r="E108" s="88" t="e">
        <f aca="false">NA()</f>
        <v>#N/A</v>
      </c>
    </row>
    <row r="109" customFormat="false" ht="15" hidden="false" customHeight="false" outlineLevel="0" collapsed="false">
      <c r="A109" s="38" t="s">
        <v>482</v>
      </c>
      <c r="C109" s="88" t="n">
        <f aca="false">MAX(-1,MIN(1.5,('KPI framework'!$F14-'KPI framework'!G14)/ABS('KPI framework'!$F14)))</f>
        <v>0.536784941439371</v>
      </c>
      <c r="D109" s="88" t="n">
        <f aca="false">MAX(-1,MIN(1.5,('KPI framework'!$F14-'KPI framework'!H14)/ABS('KPI framework'!$F14)))</f>
        <v>0.672913736938856</v>
      </c>
      <c r="E109" s="88" t="e">
        <f aca="false">NA()</f>
        <v>#N/A</v>
      </c>
    </row>
    <row r="110" customFormat="false" ht="15" hidden="false" customHeight="false" outlineLevel="0" collapsed="false">
      <c r="A110" s="38" t="s">
        <v>483</v>
      </c>
      <c r="C110" s="88" t="n">
        <f aca="false">MAX(-1,MIN(1.5,('KPI framework'!G15-'KPI framework'!$F15)/ABS('KPI framework'!$F15)))</f>
        <v>0.342168223221492</v>
      </c>
      <c r="D110" s="88" t="n">
        <f aca="false">MAX(-1,MIN(1.5,('KPI framework'!H15-'KPI framework'!$F15)/ABS('KPI framework'!$F15)))</f>
        <v>1.5</v>
      </c>
      <c r="E110" s="88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38" t="s">
        <v>484</v>
      </c>
      <c r="C111" s="88" t="n">
        <f aca="false">MAX(-1,MIN(1.5,('KPI framework'!G16-'KPI framework'!$F16)/ABS('KPI framework'!$F16)))</f>
        <v>0.0719330104923327</v>
      </c>
      <c r="D111" s="88" t="n">
        <f aca="false">MAX(-1,MIN(1.5,('KPI framework'!H16-'KPI framework'!$F16)/ABS('KPI framework'!$F16)))</f>
        <v>1.5</v>
      </c>
      <c r="E111" s="88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38" t="s">
        <v>485</v>
      </c>
      <c r="C112" s="88" t="n">
        <f aca="false">MAX(-1,MIN(1.5,('KPI framework'!$F17-'KPI framework'!G17)/ABS('KPI framework'!$F17)))</f>
        <v>0.0876918904258202</v>
      </c>
      <c r="D112" s="88" t="n">
        <f aca="false">MAX(-1,MIN(1.5,('KPI framework'!$F17-'KPI framework'!H17)/ABS('KPI framework'!$F17)))</f>
        <v>1.06331236897275</v>
      </c>
      <c r="E112" s="88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38" t="s">
        <v>486</v>
      </c>
      <c r="C113" s="88" t="n">
        <f aca="false">MAX(-1,MIN(1.5,('KPI framework'!$F18-'KPI framework'!G18)/ABS('KPI framework'!$F18)))</f>
        <v>0.0183283504484597</v>
      </c>
      <c r="D113" s="88" t="n">
        <f aca="false">MAX(-1,MIN(1.5,('KPI framework'!$F18-'KPI framework'!H18)/ABS('KPI framework'!$F18)))</f>
        <v>0.217582417582418</v>
      </c>
      <c r="E113" s="88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38" t="s">
        <v>487</v>
      </c>
      <c r="C114" s="88" t="n">
        <f aca="false">MAX(-1,MIN(1.5,('KPI framework'!G19-'KPI framework'!$F19)/ABS('KPI framework'!$F19)))</f>
        <v>0.103954341622503</v>
      </c>
      <c r="D114" s="88" t="n">
        <f aca="false">MAX(-1,MIN(1.5,('KPI framework'!H19-'KPI framework'!$F19)/ABS('KPI framework'!$F19)))</f>
        <v>0.996344104164909</v>
      </c>
      <c r="E114" s="88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38" t="s">
        <v>488</v>
      </c>
      <c r="C115" s="88" t="n">
        <f aca="false">MAX(-1,MIN(1.5,('KPI framework'!$F20-'KPI framework'!G20)/ABS('KPI framework'!$F20)))</f>
        <v>0.0783053671307865</v>
      </c>
      <c r="D115" s="88" t="n">
        <f aca="false">MAX(-1,MIN(1.5,('KPI framework'!$F20-'KPI framework'!H20)/ABS('KPI framework'!$F20)))</f>
        <v>0.0265604249667994</v>
      </c>
      <c r="E115" s="88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489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490</v>
      </c>
    </row>
    <row r="5" customFormat="false" ht="15" hidden="false" customHeight="false" outlineLevel="0" collapsed="false">
      <c r="A5" s="29" t="s">
        <v>491</v>
      </c>
    </row>
    <row r="6" customFormat="false" ht="15" hidden="false" customHeight="false" outlineLevel="0" collapsed="false">
      <c r="P6" s="34" t="s">
        <v>492</v>
      </c>
    </row>
    <row r="7" customFormat="false" ht="39.55" hidden="false" customHeight="false" outlineLevel="0" collapsed="false">
      <c r="P7" s="8" t="s">
        <v>22</v>
      </c>
      <c r="Q7" s="8" t="s">
        <v>11</v>
      </c>
      <c r="R7" s="8" t="s">
        <v>15</v>
      </c>
      <c r="S7" s="8" t="s">
        <v>19</v>
      </c>
    </row>
    <row r="8" customFormat="false" ht="15" hidden="false" customHeight="false" outlineLevel="0" collapsed="false">
      <c r="P8" s="14" t="s">
        <v>25</v>
      </c>
      <c r="Q8" s="39" t="n">
        <f aca="false">Comparison!C9</f>
        <v>26</v>
      </c>
      <c r="R8" s="39" t="n">
        <f aca="false">Comparison!D9</f>
        <v>2</v>
      </c>
      <c r="S8" s="39" t="n">
        <f aca="false">Comparison!E9</f>
        <v>61</v>
      </c>
    </row>
    <row r="9" customFormat="false" ht="15" hidden="false" customHeight="false" outlineLevel="0" collapsed="false">
      <c r="P9" s="14" t="s">
        <v>493</v>
      </c>
      <c r="Q9" s="84" t="n">
        <f aca="false">Comparison!C9/Comparison!$E9-1</f>
        <v>-0.573770491803279</v>
      </c>
      <c r="R9" s="84" t="n">
        <f aca="false">Comparison!D9/Comparison!$E9-1</f>
        <v>-0.967213114754098</v>
      </c>
      <c r="S9" s="84" t="n">
        <f aca="false">Comparison!E9/Comparison!$E9-1</f>
        <v>0</v>
      </c>
    </row>
    <row r="10" customFormat="false" ht="15" hidden="false" customHeight="false" outlineLevel="0" collapsed="false">
      <c r="P10" s="14" t="s">
        <v>494</v>
      </c>
      <c r="Q10" s="84" t="n">
        <f aca="false">'Nutrient balance'!C13</f>
        <v>0.469758878127522</v>
      </c>
      <c r="R10" s="84" t="n">
        <f aca="false">'Nutrient balance'!D13</f>
        <v>1.1060393258427</v>
      </c>
      <c r="S10" s="84" t="n">
        <f aca="false">'Nutrient balance'!E13</f>
        <v>0.201757240481614</v>
      </c>
    </row>
    <row r="11" customFormat="false" ht="15" hidden="false" customHeight="false" outlineLevel="0" collapsed="false">
      <c r="P11" s="14" t="s">
        <v>24</v>
      </c>
      <c r="Q11" s="39" t="n">
        <f aca="false">Comparison!C5</f>
        <v>2801</v>
      </c>
      <c r="R11" s="39" t="n">
        <f aca="false">Comparison!D5</f>
        <v>1255</v>
      </c>
      <c r="S11" s="39" t="n">
        <f aca="false">Comparison!E5</f>
        <v>2836</v>
      </c>
    </row>
    <row r="12" customFormat="false" ht="15" hidden="false" customHeight="false" outlineLevel="0" collapsed="false">
      <c r="P12" s="14" t="s">
        <v>495</v>
      </c>
      <c r="Q12" s="84" t="n">
        <f aca="false">Comparison!C5/Comparison!$E5-1</f>
        <v>-0.0123413258110014</v>
      </c>
      <c r="R12" s="84" t="n">
        <f aca="false">Comparison!D5/Comparison!$E5-1</f>
        <v>-0.557475317348378</v>
      </c>
      <c r="S12" s="84" t="n">
        <f aca="false">Comparison!E5/Comparison!$E5-1</f>
        <v>0</v>
      </c>
    </row>
    <row r="13" customFormat="false" ht="15" hidden="false" customHeight="false" outlineLevel="0" collapsed="false">
      <c r="P13" s="14" t="s">
        <v>496</v>
      </c>
      <c r="Q13" s="84" t="n">
        <f aca="false">'LCIA (Annex 1)'!C14/'LCIA (Annex 1)'!C18</f>
        <v>0.553016779721528</v>
      </c>
      <c r="R13" s="84" t="n">
        <f aca="false">'LCIA (Annex 1)'!D14/'LCIA (Annex 1)'!D18</f>
        <v>0.58406374501992</v>
      </c>
      <c r="S13" s="84" t="n">
        <f aca="false">'LCIA (Annex 1)'!E14/'LCIA (Annex 1)'!E18</f>
        <v>0.660437235543018</v>
      </c>
    </row>
    <row r="14" customFormat="false" ht="15" hidden="false" customHeight="false" outlineLevel="0" collapsed="false">
      <c r="P14" s="14" t="s">
        <v>26</v>
      </c>
      <c r="Q14" s="39" t="n">
        <f aca="false">Comparison!C10</f>
        <v>2946</v>
      </c>
      <c r="R14" s="39" t="n">
        <f aca="false">Comparison!D10</f>
        <v>4885</v>
      </c>
      <c r="S14" s="39" t="n">
        <f aca="false">Comparison!E10</f>
        <v>2379</v>
      </c>
    </row>
    <row r="15" customFormat="false" ht="15" hidden="false" customHeight="false" outlineLevel="0" collapsed="false">
      <c r="P15" s="14" t="s">
        <v>497</v>
      </c>
      <c r="Q15" s="84" t="n">
        <f aca="false">Comparison!C10/Comparison!$E10-1</f>
        <v>0.238335435056747</v>
      </c>
      <c r="R15" s="84" t="n">
        <f aca="false">Comparison!D10/Comparison!$E10-1</f>
        <v>1.05338377469525</v>
      </c>
      <c r="S15" s="84" t="n">
        <f aca="false">Comparison!E10/Comparison!$E10-1</f>
        <v>0</v>
      </c>
    </row>
    <row r="27" customFormat="false" ht="15" hidden="false" customHeight="false" outlineLevel="0" collapsed="false">
      <c r="A27" s="29" t="s">
        <v>498</v>
      </c>
    </row>
    <row r="28" customFormat="false" ht="15" hidden="false" customHeight="false" outlineLevel="0" collapsed="false">
      <c r="P28" s="34" t="s">
        <v>499</v>
      </c>
    </row>
    <row r="29" customFormat="false" ht="26.85" hidden="false" customHeight="false" outlineLevel="0" collapsed="false">
      <c r="P29" s="8" t="s">
        <v>379</v>
      </c>
      <c r="Q29" s="8" t="s">
        <v>380</v>
      </c>
      <c r="R29" s="8" t="s">
        <v>381</v>
      </c>
    </row>
    <row r="30" customFormat="false" ht="15" hidden="false" customHeight="false" outlineLevel="0" collapsed="false">
      <c r="P30" s="14" t="s">
        <v>414</v>
      </c>
      <c r="Q30" s="88" t="n">
        <f aca="false">Comparison!F5</f>
        <v>-0.0123413258110014</v>
      </c>
      <c r="R30" s="88" t="n">
        <f aca="false">Comparison!G5</f>
        <v>-0.557475317348378</v>
      </c>
    </row>
    <row r="31" customFormat="false" ht="15" hidden="false" customHeight="false" outlineLevel="0" collapsed="false">
      <c r="P31" s="14" t="s">
        <v>420</v>
      </c>
      <c r="Q31" s="88" t="n">
        <f aca="false">Comparison!F6</f>
        <v>-0.0978007347567995</v>
      </c>
      <c r="R31" s="88" t="n">
        <f aca="false">Comparison!G6</f>
        <v>-0.808833098091034</v>
      </c>
    </row>
    <row r="32" customFormat="false" ht="15" hidden="false" customHeight="false" outlineLevel="0" collapsed="false">
      <c r="P32" s="14" t="s">
        <v>423</v>
      </c>
      <c r="Q32" s="88" t="n">
        <f aca="false">Comparison!F7</f>
        <v>-0.152128176080272</v>
      </c>
      <c r="R32" s="88" t="n">
        <f aca="false">Comparison!G7</f>
        <v>-0.643793494092895</v>
      </c>
    </row>
    <row r="33" customFormat="false" ht="15" hidden="false" customHeight="false" outlineLevel="0" collapsed="false">
      <c r="P33" s="14" t="s">
        <v>426</v>
      </c>
      <c r="Q33" s="88" t="n">
        <f aca="false">Comparison!F8</f>
        <v>-0.0666666666666667</v>
      </c>
      <c r="R33" s="88" t="n">
        <f aca="false">Comparison!G8</f>
        <v>-0.866666666666667</v>
      </c>
    </row>
    <row r="34" customFormat="false" ht="15" hidden="false" customHeight="false" outlineLevel="0" collapsed="false">
      <c r="P34" s="14" t="s">
        <v>429</v>
      </c>
      <c r="Q34" s="88" t="n">
        <f aca="false">Comparison!F9</f>
        <v>-0.573770491803279</v>
      </c>
      <c r="R34" s="88" t="n">
        <f aca="false">Comparison!G9</f>
        <v>-0.967213114754098</v>
      </c>
    </row>
    <row r="35" customFormat="false" ht="15" hidden="false" customHeight="false" outlineLevel="0" collapsed="false">
      <c r="P35" s="14" t="s">
        <v>432</v>
      </c>
      <c r="Q35" s="88" t="n">
        <f aca="false">Comparison!F10</f>
        <v>0.238335435056747</v>
      </c>
      <c r="R35" s="88" t="n">
        <f aca="false">Comparison!G10</f>
        <v>1.05338377469525</v>
      </c>
    </row>
    <row r="36" customFormat="false" ht="15" hidden="false" customHeight="false" outlineLevel="0" collapsed="false">
      <c r="P36" s="14" t="s">
        <v>435</v>
      </c>
      <c r="Q36" s="88" t="n">
        <f aca="false">Comparison!F11</f>
        <v>-0.583106447295434</v>
      </c>
      <c r="R36" s="88" t="n">
        <f aca="false">Comparison!G11</f>
        <v>-0.705622363244971</v>
      </c>
    </row>
    <row r="55" customFormat="false" ht="15" hidden="false" customHeight="false" outlineLevel="0" collapsed="false">
      <c r="A55" s="29" t="s">
        <v>500</v>
      </c>
    </row>
    <row r="56" customFormat="false" ht="15" hidden="false" customHeight="false" outlineLevel="0" collapsed="false">
      <c r="P56" s="34" t="s">
        <v>501</v>
      </c>
    </row>
    <row r="57" customFormat="false" ht="39.55" hidden="false" customHeight="false" outlineLevel="0" collapsed="false">
      <c r="P57" s="8" t="s">
        <v>328</v>
      </c>
      <c r="Q57" s="8" t="s">
        <v>11</v>
      </c>
      <c r="R57" s="8" t="s">
        <v>15</v>
      </c>
      <c r="S57" s="8" t="s">
        <v>19</v>
      </c>
    </row>
    <row r="58" customFormat="false" ht="15" hidden="false" customHeight="false" outlineLevel="0" collapsed="false">
      <c r="P58" s="14" t="s">
        <v>341</v>
      </c>
      <c r="Q58" s="39" t="n">
        <f aca="false">'LCIA (Annex 1)'!C14</f>
        <v>1549</v>
      </c>
      <c r="R58" s="39" t="n">
        <f aca="false">'LCIA (Annex 1)'!D14</f>
        <v>733</v>
      </c>
      <c r="S58" s="39" t="n">
        <f aca="false">'LCIA (Annex 1)'!E14</f>
        <v>1873</v>
      </c>
    </row>
    <row r="59" customFormat="false" ht="15" hidden="false" customHeight="false" outlineLevel="0" collapsed="false">
      <c r="P59" s="14" t="s">
        <v>502</v>
      </c>
      <c r="Q59" s="39" t="n">
        <f aca="false">'LCIA (Annex 1)'!C15</f>
        <v>325</v>
      </c>
      <c r="R59" s="39" t="n">
        <f aca="false">'LCIA (Annex 1)'!D15</f>
        <v>208</v>
      </c>
      <c r="S59" s="39" t="n">
        <f aca="false">'LCIA (Annex 1)'!E15</f>
        <v>379</v>
      </c>
    </row>
    <row r="60" customFormat="false" ht="15" hidden="false" customHeight="false" outlineLevel="0" collapsed="false">
      <c r="P60" s="14" t="s">
        <v>503</v>
      </c>
      <c r="Q60" s="39" t="n">
        <f aca="false">'LCIA (Annex 1)'!C7</f>
        <v>330</v>
      </c>
      <c r="R60" s="39" t="n">
        <f aca="false">'LCIA (Annex 1)'!D7</f>
        <v>6</v>
      </c>
      <c r="S60" s="39" t="n">
        <f aca="false">'LCIA (Annex 1)'!E7</f>
        <v>474</v>
      </c>
    </row>
    <row r="61" customFormat="false" ht="15" hidden="false" customHeight="false" outlineLevel="0" collapsed="false">
      <c r="P61" s="14" t="s">
        <v>340</v>
      </c>
      <c r="Q61" s="39" t="n">
        <f aca="false">'LCIA (Annex 1)'!C12</f>
        <v>386</v>
      </c>
      <c r="R61" s="39" t="n">
        <f aca="false">'LCIA (Annex 1)'!D12</f>
        <v>228</v>
      </c>
      <c r="S61" s="39" t="n">
        <f aca="false">'LCIA (Annex 1)'!E12</f>
        <v>15</v>
      </c>
    </row>
    <row r="62" customFormat="false" ht="15" hidden="false" customHeight="false" outlineLevel="0" collapsed="false">
      <c r="P62" s="14" t="s">
        <v>369</v>
      </c>
      <c r="Q62" s="39" t="n">
        <f aca="false">'LCIA (Annex 1)'!C6+'LCIA (Annex 1)'!C9+'LCIA (Annex 1)'!C11+'LCIA (Annex 1)'!C13</f>
        <v>212</v>
      </c>
      <c r="R62" s="39" t="n">
        <f aca="false">'LCIA (Annex 1)'!D6+'LCIA (Annex 1)'!D9+'LCIA (Annex 1)'!D11+'LCIA (Annex 1)'!D13</f>
        <v>79</v>
      </c>
      <c r="S62" s="39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14" t="s">
        <v>345</v>
      </c>
      <c r="Q63" s="39" t="n">
        <f aca="false">'LCIA (Annex 1)'!C18</f>
        <v>2801</v>
      </c>
      <c r="R63" s="39" t="n">
        <f aca="false">'LCIA (Annex 1)'!D18</f>
        <v>1255</v>
      </c>
      <c r="S63" s="39" t="n">
        <f aca="false">'LCIA (Annex 1)'!E18</f>
        <v>2836</v>
      </c>
    </row>
    <row r="64" customFormat="false" ht="15" hidden="false" customHeight="false" outlineLevel="0" collapsed="false">
      <c r="P64" s="14" t="s">
        <v>504</v>
      </c>
      <c r="Q64" s="84" t="n">
        <f aca="false">'LCIA (Annex 1)'!C14/'LCIA (Annex 1)'!C18</f>
        <v>0.553016779721528</v>
      </c>
      <c r="R64" s="84" t="n">
        <f aca="false">'LCIA (Annex 1)'!D14/'LCIA (Annex 1)'!D18</f>
        <v>0.58406374501992</v>
      </c>
      <c r="S64" s="84" t="n">
        <f aca="false">'LCIA (Annex 1)'!E14/'LCIA (Annex 1)'!E18</f>
        <v>0.660437235543018</v>
      </c>
    </row>
    <row r="84" customFormat="false" ht="15" hidden="false" customHeight="false" outlineLevel="0" collapsed="false">
      <c r="A84" s="29" t="s">
        <v>505</v>
      </c>
    </row>
    <row r="85" customFormat="false" ht="15" hidden="false" customHeight="false" outlineLevel="0" collapsed="false">
      <c r="P85" s="34" t="s">
        <v>506</v>
      </c>
    </row>
    <row r="86" customFormat="false" ht="39.55" hidden="false" customHeight="false" outlineLevel="0" collapsed="false">
      <c r="P86" s="8" t="s">
        <v>109</v>
      </c>
      <c r="Q86" s="8" t="s">
        <v>11</v>
      </c>
      <c r="R86" s="8" t="s">
        <v>15</v>
      </c>
      <c r="S86" s="8" t="s">
        <v>19</v>
      </c>
    </row>
    <row r="87" customFormat="false" ht="15" hidden="false" customHeight="false" outlineLevel="0" collapsed="false">
      <c r="P87" s="14" t="s">
        <v>157</v>
      </c>
      <c r="Q87" s="44" t="n">
        <f aca="false">'Nutrient balance'!C8*Inventory!C25</f>
        <v>103.233197721725</v>
      </c>
      <c r="R87" s="44" t="n">
        <f aca="false">'Nutrient balance'!D8*Inventory!D25</f>
        <v>35.8238993710692</v>
      </c>
      <c r="S87" s="44" t="n">
        <f aca="false">'Nutrient balance'!E8*Inventory!E25</f>
        <v>120.175981750041</v>
      </c>
    </row>
    <row r="88" customFormat="false" ht="15" hidden="false" customHeight="false" outlineLevel="0" collapsed="false">
      <c r="P88" s="14" t="s">
        <v>467</v>
      </c>
      <c r="Q88" s="44" t="n">
        <f aca="false">'Nutrient balance'!C9*Inventory!C25</f>
        <v>23.5964198535395</v>
      </c>
      <c r="R88" s="44" t="n">
        <f aca="false">'Nutrient balance'!D9*Inventory!D25</f>
        <v>28.3018867924528</v>
      </c>
      <c r="S88" s="44" t="n">
        <f aca="false">'Nutrient balance'!E9*Inventory!E25</f>
        <v>24.246374450057</v>
      </c>
    </row>
    <row r="89" customFormat="false" ht="15" hidden="false" customHeight="false" outlineLevel="0" collapsed="false">
      <c r="P89" s="14" t="s">
        <v>468</v>
      </c>
      <c r="Q89" s="44" t="n">
        <f aca="false">'Nutrient balance'!C10*Inventory!C25</f>
        <v>24.8982912937347</v>
      </c>
      <c r="R89" s="44" t="n">
        <f aca="false">'Nutrient balance'!D10*Inventory!D25</f>
        <v>11.3207547169811</v>
      </c>
      <c r="S89" s="44" t="n">
        <f aca="false">'Nutrient balance'!E10*Inventory!E25</f>
        <v>0</v>
      </c>
    </row>
    <row r="90" customFormat="false" ht="15" hidden="false" customHeight="false" outlineLevel="0" collapsed="false">
      <c r="P90" s="14" t="s">
        <v>507</v>
      </c>
      <c r="Q90" s="44" t="n">
        <f aca="false">'Nutrient balance'!C11*Inventory!C25</f>
        <v>54.7384865744508</v>
      </c>
      <c r="R90" s="44" t="n">
        <f aca="false">'Nutrient balance'!D11*Inventory!D25</f>
        <v>-3.79874213836478</v>
      </c>
      <c r="S90" s="44" t="n">
        <f aca="false">'Nutrient balance'!E11*Inventory!E25</f>
        <v>95.9296072999837</v>
      </c>
    </row>
    <row r="91" customFormat="false" ht="15" hidden="false" customHeight="false" outlineLevel="0" collapsed="false">
      <c r="P91" s="14" t="s">
        <v>508</v>
      </c>
      <c r="Q91" s="84" t="n">
        <f aca="false">'Nutrient balance'!C13</f>
        <v>0.469758878127522</v>
      </c>
      <c r="R91" s="84" t="n">
        <f aca="false">'Nutrient balance'!D13</f>
        <v>1.1060393258427</v>
      </c>
      <c r="S91" s="84" t="n">
        <f aca="false">'Nutrient balance'!E13</f>
        <v>0.201757240481614</v>
      </c>
    </row>
    <row r="109" customFormat="false" ht="15" hidden="false" customHeight="false" outlineLevel="0" collapsed="false">
      <c r="A109" s="29" t="s">
        <v>509</v>
      </c>
    </row>
    <row r="110" customFormat="false" ht="15" hidden="false" customHeight="false" outlineLevel="0" collapsed="false">
      <c r="P110" s="34" t="s">
        <v>510</v>
      </c>
    </row>
    <row r="111" customFormat="false" ht="15" hidden="false" customHeight="false" outlineLevel="0" collapsed="false">
      <c r="P111" s="8" t="s">
        <v>359</v>
      </c>
      <c r="Q111" s="8" t="s">
        <v>360</v>
      </c>
      <c r="R111" s="8" t="s">
        <v>361</v>
      </c>
      <c r="S111" s="8" t="s">
        <v>362</v>
      </c>
      <c r="T111" s="8" t="s">
        <v>363</v>
      </c>
      <c r="U111" s="8" t="s">
        <v>364</v>
      </c>
      <c r="V111" s="8" t="s">
        <v>365</v>
      </c>
      <c r="W111" s="8" t="s">
        <v>366</v>
      </c>
    </row>
    <row r="112" customFormat="false" ht="15" hidden="false" customHeight="false" outlineLevel="0" collapsed="false">
      <c r="P112" s="14" t="s">
        <v>341</v>
      </c>
      <c r="Q112" s="84" t="n">
        <f aca="false">IF(SUMPRODUCT(ABS('LCIA (Annex 1)'!C6:C16))=0,0,('LCIA (Annex 1)'!C14)/SUMPRODUCT(ABS('LCIA (Annex 1)'!C6:C16)))</f>
        <v>0.552819414703783</v>
      </c>
      <c r="R112" s="84" t="n">
        <f aca="false">IF(SUMPRODUCT(ABS('LCIA (Annex 1)'!C21:C31))=0,0,('LCIA (Annex 1)'!C29)/SUMPRODUCT(ABS('LCIA (Annex 1)'!C21:C31)))</f>
        <v>0.233312622048642</v>
      </c>
      <c r="S112" s="84" t="n">
        <f aca="false">IF(SUMPRODUCT(ABS('LCIA (Annex 1)'!C36:C46))=0,0,('LCIA (Annex 1)'!C44)/SUMPRODUCT(ABS('LCIA (Annex 1)'!C36:C46)))</f>
        <v>0.994750906661577</v>
      </c>
      <c r="T112" s="84" t="n">
        <f aca="false">IF(SUMPRODUCT(ABS('LCIA (Annex 1)'!C51:C61))=0,0,('LCIA (Annex 1)'!C59)/SUMPRODUCT(ABS('LCIA (Annex 1)'!C51:C61)))</f>
        <v>0.19047619047619</v>
      </c>
      <c r="U112" s="84" t="n">
        <f aca="false">IF(SUMPRODUCT(ABS('LCIA (Annex 1)'!C66:C76))=0,0,('LCIA (Annex 1)'!C74)/SUMPRODUCT(ABS('LCIA (Annex 1)'!C66:C76)))</f>
        <v>0.307692307692308</v>
      </c>
      <c r="V112" s="84" t="n">
        <f aca="false">IF(SUMPRODUCT(ABS('LCIA (Annex 1)'!C81:C91))=0,0,('LCIA (Annex 1)'!C89)/SUMPRODUCT(ABS('LCIA (Annex 1)'!C81:C91)))</f>
        <v>0.659198913781399</v>
      </c>
      <c r="W112" s="84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14" t="s">
        <v>367</v>
      </c>
      <c r="Q113" s="84" t="n">
        <f aca="false">IF(SUMPRODUCT(ABS('LCIA (Annex 1)'!C6:C16))=0,0,('LCIA (Annex 1)'!C10)/SUMPRODUCT(ABS('LCIA (Annex 1)'!C6:C16)))</f>
        <v>0</v>
      </c>
      <c r="R113" s="84" t="n">
        <f aca="false">IF(SUMPRODUCT(ABS('LCIA (Annex 1)'!C21:C31))=0,0,('LCIA (Annex 1)'!C25)/SUMPRODUCT(ABS('LCIA (Annex 1)'!C21:C31)))</f>
        <v>0</v>
      </c>
      <c r="S113" s="84" t="n">
        <f aca="false">IF(SUMPRODUCT(ABS('LCIA (Annex 1)'!C36:C46))=0,0,('LCIA (Annex 1)'!C40)/SUMPRODUCT(ABS('LCIA (Annex 1)'!C36:C46)))</f>
        <v>0</v>
      </c>
      <c r="T113" s="84" t="n">
        <f aca="false">IF(SUMPRODUCT(ABS('LCIA (Annex 1)'!C51:C61))=0,0,('LCIA (Annex 1)'!C55)/SUMPRODUCT(ABS('LCIA (Annex 1)'!C51:C61)))</f>
        <v>0.595238095238095</v>
      </c>
      <c r="U113" s="84" t="n">
        <f aca="false">IF(SUMPRODUCT(ABS('LCIA (Annex 1)'!C66:C76))=0,0,('LCIA (Annex 1)'!C70)/SUMPRODUCT(ABS('LCIA (Annex 1)'!C66:C76)))</f>
        <v>0.615384615384615</v>
      </c>
      <c r="V113" s="84" t="n">
        <f aca="false">IF(SUMPRODUCT(ABS('LCIA (Annex 1)'!C81:C91))=0,0,('LCIA (Annex 1)'!C85)/SUMPRODUCT(ABS('LCIA (Annex 1)'!C81:C91)))</f>
        <v>0</v>
      </c>
      <c r="W113" s="84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14" t="s">
        <v>335</v>
      </c>
      <c r="Q114" s="84" t="n">
        <f aca="false">IF(SUMPRODUCT(ABS('LCIA (Annex 1)'!C6:C16))=0,0,('LCIA (Annex 1)'!C7)/SUMPRODUCT(ABS('LCIA (Annex 1)'!C6:C16)))</f>
        <v>0.117773019271949</v>
      </c>
      <c r="R114" s="84" t="n">
        <f aca="false">IF(SUMPRODUCT(ABS('LCIA (Annex 1)'!C21:C31))=0,0,('LCIA (Annex 1)'!C22)/SUMPRODUCT(ABS('LCIA (Annex 1)'!C21:C31)))</f>
        <v>0.507322918515889</v>
      </c>
      <c r="S114" s="84" t="n">
        <f aca="false">IF(SUMPRODUCT(ABS('LCIA (Annex 1)'!C36:C46))=0,0,('LCIA (Annex 1)'!C37)/SUMPRODUCT(ABS('LCIA (Annex 1)'!C36:C46)))</f>
        <v>0</v>
      </c>
      <c r="T114" s="84" t="n">
        <f aca="false">IF(SUMPRODUCT(ABS('LCIA (Annex 1)'!C51:C61))=0,0,('LCIA (Annex 1)'!C52)/SUMPRODUCT(ABS('LCIA (Annex 1)'!C51:C61)))</f>
        <v>0.0476190476190476</v>
      </c>
      <c r="U114" s="84" t="n">
        <f aca="false">IF(SUMPRODUCT(ABS('LCIA (Annex 1)'!C66:C76))=0,0,('LCIA (Annex 1)'!C67)/SUMPRODUCT(ABS('LCIA (Annex 1)'!C66:C76)))</f>
        <v>0.0384615384615385</v>
      </c>
      <c r="V114" s="84" t="n">
        <f aca="false">IF(SUMPRODUCT(ABS('LCIA (Annex 1)'!C81:C91))=0,0,('LCIA (Annex 1)'!C82)/SUMPRODUCT(ABS('LCIA (Annex 1)'!C81:C91)))</f>
        <v>0.00271554650373388</v>
      </c>
      <c r="W114" s="84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14" t="s">
        <v>342</v>
      </c>
      <c r="Q115" s="84" t="n">
        <f aca="false">IF(SUMPRODUCT(ABS('LCIA (Annex 1)'!C6:C16))=0,0,('LCIA (Annex 1)'!C15)/SUMPRODUCT(ABS('LCIA (Annex 1)'!C6:C16)))</f>
        <v>0.11598857958601</v>
      </c>
      <c r="R115" s="84" t="n">
        <f aca="false">IF(SUMPRODUCT(ABS('LCIA (Annex 1)'!C21:C31))=0,0,('LCIA (Annex 1)'!C30)/SUMPRODUCT(ABS('LCIA (Annex 1)'!C21:C31)))</f>
        <v>0.0608357003372981</v>
      </c>
      <c r="S115" s="84" t="n">
        <f aca="false">IF(SUMPRODUCT(ABS('LCIA (Annex 1)'!C36:C46))=0,0,('LCIA (Annex 1)'!C45)/SUMPRODUCT(ABS('LCIA (Annex 1)'!C36:C46)))</f>
        <v>0</v>
      </c>
      <c r="T115" s="84" t="n">
        <f aca="false">IF(SUMPRODUCT(ABS('LCIA (Annex 1)'!C51:C61))=0,0,('LCIA (Annex 1)'!C60)/SUMPRODUCT(ABS('LCIA (Annex 1)'!C51:C61)))</f>
        <v>0.0476190476190476</v>
      </c>
      <c r="U115" s="84" t="n">
        <f aca="false">IF(SUMPRODUCT(ABS('LCIA (Annex 1)'!C66:C76))=0,0,('LCIA (Annex 1)'!C75)/SUMPRODUCT(ABS('LCIA (Annex 1)'!C66:C76)))</f>
        <v>0</v>
      </c>
      <c r="V115" s="84" t="n">
        <f aca="false">IF(SUMPRODUCT(ABS('LCIA (Annex 1)'!C81:C91))=0,0,('LCIA (Annex 1)'!C90)/SUMPRODUCT(ABS('LCIA (Annex 1)'!C81:C91)))</f>
        <v>0.00135777325186694</v>
      </c>
      <c r="W115" s="84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14" t="s">
        <v>340</v>
      </c>
      <c r="Q116" s="84" t="n">
        <f aca="false">IF(SUMPRODUCT(ABS('LCIA (Annex 1)'!C6:C16))=0,0,('LCIA (Annex 1)'!C12)/SUMPRODUCT(ABS('LCIA (Annex 1)'!C6:C16)))</f>
        <v>0.137758743754461</v>
      </c>
      <c r="R116" s="84" t="n">
        <f aca="false">IF(SUMPRODUCT(ABS('LCIA (Annex 1)'!C21:C31))=0,0,('LCIA (Annex 1)'!C27)/SUMPRODUCT(ABS('LCIA (Annex 1)'!C21:C31)))</f>
        <v>0.155589827800462</v>
      </c>
      <c r="S116" s="84" t="n">
        <f aca="false">IF(SUMPRODUCT(ABS('LCIA (Annex 1)'!C36:C46))=0,0,('LCIA (Annex 1)'!C42)/SUMPRODUCT(ABS('LCIA (Annex 1)'!C36:C46)))</f>
        <v>0</v>
      </c>
      <c r="T116" s="84" t="n">
        <f aca="false">IF(SUMPRODUCT(ABS('LCIA (Annex 1)'!C51:C61))=0,0,('LCIA (Annex 1)'!C57)/SUMPRODUCT(ABS('LCIA (Annex 1)'!C51:C61)))</f>
        <v>0.0714285714285714</v>
      </c>
      <c r="U116" s="84" t="n">
        <f aca="false">IF(SUMPRODUCT(ABS('LCIA (Annex 1)'!C66:C76))=0,0,('LCIA (Annex 1)'!C72)/SUMPRODUCT(ABS('LCIA (Annex 1)'!C66:C76)))</f>
        <v>0.0384615384615385</v>
      </c>
      <c r="V116" s="84" t="n">
        <f aca="false">IF(SUMPRODUCT(ABS('LCIA (Annex 1)'!C81:C91))=0,0,('LCIA (Annex 1)'!C87)/SUMPRODUCT(ABS('LCIA (Annex 1)'!C81:C91)))</f>
        <v>0.00203665987780041</v>
      </c>
      <c r="W116" s="84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14" t="s">
        <v>368</v>
      </c>
      <c r="Q117" s="84" t="n">
        <f aca="false">IF(SUMPRODUCT(ABS('LCIA (Annex 1)'!C6:C16))=0,0,('LCIA (Annex 1)'!C16)/SUMPRODUCT(ABS('LCIA (Annex 1)'!C6:C16)))</f>
        <v>0</v>
      </c>
      <c r="R117" s="84" t="n">
        <f aca="false">IF(SUMPRODUCT(ABS('LCIA (Annex 1)'!C21:C31))=0,0,('LCIA (Annex 1)'!C31)/SUMPRODUCT(ABS('LCIA (Annex 1)'!C21:C31)))</f>
        <v>0</v>
      </c>
      <c r="S117" s="84" t="n">
        <f aca="false">IF(SUMPRODUCT(ABS('LCIA (Annex 1)'!C36:C46))=0,0,('LCIA (Annex 1)'!C46)/SUMPRODUCT(ABS('LCIA (Annex 1)'!C36:C46)))</f>
        <v>0</v>
      </c>
      <c r="T117" s="84" t="n">
        <f aca="false">IF(SUMPRODUCT(ABS('LCIA (Annex 1)'!C51:C61))=0,0,('LCIA (Annex 1)'!C61)/SUMPRODUCT(ABS('LCIA (Annex 1)'!C51:C61)))</f>
        <v>0</v>
      </c>
      <c r="U117" s="84" t="n">
        <f aca="false">IF(SUMPRODUCT(ABS('LCIA (Annex 1)'!C66:C76))=0,0,('LCIA (Annex 1)'!C76)/SUMPRODUCT(ABS('LCIA (Annex 1)'!C66:C76)))</f>
        <v>0</v>
      </c>
      <c r="V117" s="84" t="n">
        <f aca="false">IF(SUMPRODUCT(ABS('LCIA (Annex 1)'!C81:C91))=0,0,('LCIA (Annex 1)'!C91)/SUMPRODUCT(ABS('LCIA (Annex 1)'!C81:C91)))</f>
        <v>0.319416157501697</v>
      </c>
      <c r="W117" s="84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14" t="s">
        <v>336</v>
      </c>
      <c r="Q118" s="84" t="n">
        <f aca="false">IF(SUMPRODUCT(ABS('LCIA (Annex 1)'!C6:C16))=0,0,('LCIA (Annex 1)'!C8)/SUMPRODUCT(ABS('LCIA (Annex 1)'!C6:C16)))</f>
        <v>0</v>
      </c>
      <c r="R118" s="84" t="n">
        <f aca="false">IF(SUMPRODUCT(ABS('LCIA (Annex 1)'!C21:C31))=0,0,('LCIA (Annex 1)'!C23)/SUMPRODUCT(ABS('LCIA (Annex 1)'!C21:C31)))</f>
        <v>0</v>
      </c>
      <c r="S118" s="84" t="n">
        <f aca="false">IF(SUMPRODUCT(ABS('LCIA (Annex 1)'!C36:C46))=0,0,('LCIA (Annex 1)'!C38)/SUMPRODUCT(ABS('LCIA (Annex 1)'!C36:C46)))</f>
        <v>0</v>
      </c>
      <c r="T118" s="84" t="n">
        <f aca="false">IF(SUMPRODUCT(ABS('LCIA (Annex 1)'!C51:C61))=0,0,('LCIA (Annex 1)'!C53)/SUMPRODUCT(ABS('LCIA (Annex 1)'!C51:C61)))</f>
        <v>0</v>
      </c>
      <c r="U118" s="84" t="n">
        <f aca="false">IF(SUMPRODUCT(ABS('LCIA (Annex 1)'!C66:C76))=0,0,('LCIA (Annex 1)'!C68)/SUMPRODUCT(ABS('LCIA (Annex 1)'!C66:C76)))</f>
        <v>0</v>
      </c>
      <c r="V118" s="84" t="n">
        <f aca="false">IF(SUMPRODUCT(ABS('LCIA (Annex 1)'!C81:C91))=0,0,('LCIA (Annex 1)'!C83)/SUMPRODUCT(ABS('LCIA (Annex 1)'!C81:C91)))</f>
        <v>0</v>
      </c>
      <c r="W118" s="84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14" t="s">
        <v>369</v>
      </c>
      <c r="Q119" s="84" t="n">
        <f aca="false">IF(SUMPRODUCT(ABS('LCIA (Annex 1)'!C6:C16))=0,0,('LCIA (Annex 1)'!C6+'LCIA (Annex 1)'!C9+'LCIA (Annex 1)'!C11+'LCIA (Annex 1)'!C13)/SUMPRODUCT(ABS('LCIA (Annex 1)'!C6:C16)))</f>
        <v>0.0756602426837973</v>
      </c>
      <c r="R119" s="84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84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84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84" t="n">
        <f aca="false">IF(SUMPRODUCT(ABS('LCIA (Annex 1)'!C66:C76))=0,0,('LCIA (Annex 1)'!C66+'LCIA (Annex 1)'!C69+'LCIA (Annex 1)'!C71+'LCIA (Annex 1)'!C73)/SUMPRODUCT(ABS('LCIA (Annex 1)'!C66:C76)))</f>
        <v>0</v>
      </c>
      <c r="V119" s="84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4" t="s">
        <v>511</v>
      </c>
    </row>
    <row r="122" customFormat="false" ht="15" hidden="false" customHeight="false" outlineLevel="0" collapsed="false">
      <c r="P122" s="8" t="s">
        <v>359</v>
      </c>
      <c r="Q122" s="8" t="s">
        <v>360</v>
      </c>
      <c r="R122" s="8" t="s">
        <v>361</v>
      </c>
      <c r="S122" s="8" t="s">
        <v>362</v>
      </c>
      <c r="T122" s="8" t="s">
        <v>363</v>
      </c>
      <c r="U122" s="8" t="s">
        <v>364</v>
      </c>
      <c r="V122" s="8" t="s">
        <v>365</v>
      </c>
      <c r="W122" s="8" t="s">
        <v>366</v>
      </c>
    </row>
    <row r="123" customFormat="false" ht="15" hidden="false" customHeight="false" outlineLevel="0" collapsed="false">
      <c r="P123" s="14" t="s">
        <v>341</v>
      </c>
      <c r="Q123" s="84" t="n">
        <f aca="false">IF(SUMPRODUCT(ABS('LCIA (Annex 1)'!D6:D16))=0,0,('LCIA (Annex 1)'!D14)/SUMPRODUCT(ABS('LCIA (Annex 1)'!D6:D16)))</f>
        <v>0.584529505582137</v>
      </c>
      <c r="R123" s="84" t="n">
        <f aca="false">IF(SUMPRODUCT(ABS('LCIA (Annex 1)'!D21:D31))=0,0,('LCIA (Annex 1)'!D29)/SUMPRODUCT(ABS('LCIA (Annex 1)'!D21:D31)))</f>
        <v>0.413677540975022</v>
      </c>
      <c r="S123" s="84" t="n">
        <f aca="false">IF(SUMPRODUCT(ABS('LCIA (Annex 1)'!D36:D46))=0,0,('LCIA (Annex 1)'!D44)/SUMPRODUCT(ABS('LCIA (Annex 1)'!D36:D46)))</f>
        <v>0.991594729668333</v>
      </c>
      <c r="T123" s="84" t="n">
        <f aca="false">IF(SUMPRODUCT(ABS('LCIA (Annex 1)'!D51:D61))=0,0,('LCIA (Annex 1)'!D59)/SUMPRODUCT(ABS('LCIA (Annex 1)'!D51:D61)))</f>
        <v>0.6</v>
      </c>
      <c r="U123" s="84" t="n">
        <f aca="false">IF(SUMPRODUCT(ABS('LCIA (Annex 1)'!D66:D76))=0,0,('LCIA (Annex 1)'!D74)/SUMPRODUCT(ABS('LCIA (Annex 1)'!D66:D76)))</f>
        <v>0.75</v>
      </c>
      <c r="V123" s="84" t="n">
        <f aca="false">IF(SUMPRODUCT(ABS('LCIA (Annex 1)'!D81:D91))=0,0,('LCIA (Annex 1)'!D89)/SUMPRODUCT(ABS('LCIA (Annex 1)'!D81:D91)))</f>
        <v>0.135135135135135</v>
      </c>
      <c r="W123" s="84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14" t="s">
        <v>367</v>
      </c>
      <c r="Q124" s="84" t="n">
        <f aca="false">IF(SUMPRODUCT(ABS('LCIA (Annex 1)'!D6:D16))=0,0,('LCIA (Annex 1)'!D10)/SUMPRODUCT(ABS('LCIA (Annex 1)'!D6:D16)))</f>
        <v>0</v>
      </c>
      <c r="R124" s="84" t="n">
        <f aca="false">IF(SUMPRODUCT(ABS('LCIA (Annex 1)'!D21:D31))=0,0,('LCIA (Annex 1)'!D25)/SUMPRODUCT(ABS('LCIA (Annex 1)'!D21:D31)))</f>
        <v>0</v>
      </c>
      <c r="S124" s="84" t="n">
        <f aca="false">IF(SUMPRODUCT(ABS('LCIA (Annex 1)'!D36:D46))=0,0,('LCIA (Annex 1)'!D40)/SUMPRODUCT(ABS('LCIA (Annex 1)'!D36:D46)))</f>
        <v>0</v>
      </c>
      <c r="T124" s="84" t="n">
        <f aca="false">IF(SUMPRODUCT(ABS('LCIA (Annex 1)'!D51:D61))=0,0,('LCIA (Annex 1)'!D55)/SUMPRODUCT(ABS('LCIA (Annex 1)'!D51:D61)))</f>
        <v>0</v>
      </c>
      <c r="U124" s="84" t="n">
        <f aca="false">IF(SUMPRODUCT(ABS('LCIA (Annex 1)'!D66:D76))=0,0,('LCIA (Annex 1)'!D70)/SUMPRODUCT(ABS('LCIA (Annex 1)'!D66:D76)))</f>
        <v>-0.25</v>
      </c>
      <c r="V124" s="84" t="n">
        <f aca="false">IF(SUMPRODUCT(ABS('LCIA (Annex 1)'!D81:D91))=0,0,('LCIA (Annex 1)'!D85)/SUMPRODUCT(ABS('LCIA (Annex 1)'!D81:D91)))</f>
        <v>0</v>
      </c>
      <c r="W124" s="84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14" t="s">
        <v>335</v>
      </c>
      <c r="Q125" s="84" t="n">
        <f aca="false">IF(SUMPRODUCT(ABS('LCIA (Annex 1)'!D6:D16))=0,0,('LCIA (Annex 1)'!D7)/SUMPRODUCT(ABS('LCIA (Annex 1)'!D6:D16)))</f>
        <v>0.00478468899521531</v>
      </c>
      <c r="R125" s="84" t="n">
        <f aca="false">IF(SUMPRODUCT(ABS('LCIA (Annex 1)'!D21:D31))=0,0,('LCIA (Annex 1)'!D22)/SUMPRODUCT(ABS('LCIA (Annex 1)'!D21:D31)))</f>
        <v>0.00429386814682935</v>
      </c>
      <c r="S125" s="84" t="n">
        <f aca="false">IF(SUMPRODUCT(ABS('LCIA (Annex 1)'!D36:D46))=0,0,('LCIA (Annex 1)'!D37)/SUMPRODUCT(ABS('LCIA (Annex 1)'!D36:D46)))</f>
        <v>0</v>
      </c>
      <c r="T125" s="84" t="n">
        <f aca="false">IF(SUMPRODUCT(ABS('LCIA (Annex 1)'!D51:D61))=0,0,('LCIA (Annex 1)'!D52)/SUMPRODUCT(ABS('LCIA (Annex 1)'!D51:D61)))</f>
        <v>0</v>
      </c>
      <c r="U125" s="84" t="n">
        <f aca="false">IF(SUMPRODUCT(ABS('LCIA (Annex 1)'!D66:D76))=0,0,('LCIA (Annex 1)'!D67)/SUMPRODUCT(ABS('LCIA (Annex 1)'!D66:D76)))</f>
        <v>0</v>
      </c>
      <c r="V125" s="84" t="n">
        <f aca="false">IF(SUMPRODUCT(ABS('LCIA (Annex 1)'!D81:D91))=0,0,('LCIA (Annex 1)'!D82)/SUMPRODUCT(ABS('LCIA (Annex 1)'!D81:D91)))</f>
        <v>0</v>
      </c>
      <c r="W125" s="84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14" t="s">
        <v>342</v>
      </c>
      <c r="Q126" s="84" t="n">
        <f aca="false">IF(SUMPRODUCT(ABS('LCIA (Annex 1)'!D6:D16))=0,0,('LCIA (Annex 1)'!D15)/SUMPRODUCT(ABS('LCIA (Annex 1)'!D6:D16)))</f>
        <v>0.165869218500797</v>
      </c>
      <c r="R126" s="84" t="n">
        <f aca="false">IF(SUMPRODUCT(ABS('LCIA (Annex 1)'!D21:D31))=0,0,('LCIA (Annex 1)'!D30)/SUMPRODUCT(ABS('LCIA (Annex 1)'!D21:D31)))</f>
        <v>0.183117767188564</v>
      </c>
      <c r="S126" s="84" t="n">
        <f aca="false">IF(SUMPRODUCT(ABS('LCIA (Annex 1)'!D36:D46))=0,0,('LCIA (Annex 1)'!D45)/SUMPRODUCT(ABS('LCIA (Annex 1)'!D36:D46)))</f>
        <v>0</v>
      </c>
      <c r="T126" s="84" t="n">
        <f aca="false">IF(SUMPRODUCT(ABS('LCIA (Annex 1)'!D51:D61))=0,0,('LCIA (Annex 1)'!D60)/SUMPRODUCT(ABS('LCIA (Annex 1)'!D51:D61)))</f>
        <v>0.2</v>
      </c>
      <c r="U126" s="84" t="n">
        <f aca="false">IF(SUMPRODUCT(ABS('LCIA (Annex 1)'!D66:D76))=0,0,('LCIA (Annex 1)'!D75)/SUMPRODUCT(ABS('LCIA (Annex 1)'!D66:D76)))</f>
        <v>0</v>
      </c>
      <c r="V126" s="84" t="n">
        <f aca="false">IF(SUMPRODUCT(ABS('LCIA (Annex 1)'!D81:D91))=0,0,('LCIA (Annex 1)'!D90)/SUMPRODUCT(ABS('LCIA (Annex 1)'!D81:D91)))</f>
        <v>0.000614250614250614</v>
      </c>
      <c r="W126" s="84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14" t="s">
        <v>340</v>
      </c>
      <c r="Q127" s="84" t="n">
        <f aca="false">IF(SUMPRODUCT(ABS('LCIA (Annex 1)'!D6:D16))=0,0,('LCIA (Annex 1)'!D12)/SUMPRODUCT(ABS('LCIA (Annex 1)'!D6:D16)))</f>
        <v>0.181818181818182</v>
      </c>
      <c r="R127" s="84" t="n">
        <f aca="false">IF(SUMPRODUCT(ABS('LCIA (Annex 1)'!D21:D31))=0,0,('LCIA (Annex 1)'!D27)/SUMPRODUCT(ABS('LCIA (Annex 1)'!D21:D31)))</f>
        <v>0.327171807090119</v>
      </c>
      <c r="S127" s="84" t="n">
        <f aca="false">IF(SUMPRODUCT(ABS('LCIA (Annex 1)'!D36:D46))=0,0,('LCIA (Annex 1)'!D42)/SUMPRODUCT(ABS('LCIA (Annex 1)'!D36:D46)))</f>
        <v>0</v>
      </c>
      <c r="T127" s="84" t="n">
        <f aca="false">IF(SUMPRODUCT(ABS('LCIA (Annex 1)'!D51:D61))=0,0,('LCIA (Annex 1)'!D57)/SUMPRODUCT(ABS('LCIA (Annex 1)'!D51:D61)))</f>
        <v>0.2</v>
      </c>
      <c r="U127" s="84" t="n">
        <f aca="false">IF(SUMPRODUCT(ABS('LCIA (Annex 1)'!D66:D76))=0,0,('LCIA (Annex 1)'!D72)/SUMPRODUCT(ABS('LCIA (Annex 1)'!D66:D76)))</f>
        <v>0</v>
      </c>
      <c r="V127" s="84" t="n">
        <f aca="false">IF(SUMPRODUCT(ABS('LCIA (Annex 1)'!D81:D91))=0,0,('LCIA (Annex 1)'!D87)/SUMPRODUCT(ABS('LCIA (Annex 1)'!D81:D91)))</f>
        <v>0</v>
      </c>
      <c r="W127" s="84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14" t="s">
        <v>368</v>
      </c>
      <c r="Q128" s="84" t="n">
        <f aca="false">IF(SUMPRODUCT(ABS('LCIA (Annex 1)'!D6:D16))=0,0,('LCIA (Annex 1)'!D16)/SUMPRODUCT(ABS('LCIA (Annex 1)'!D6:D16)))</f>
        <v>0</v>
      </c>
      <c r="R128" s="84" t="n">
        <f aca="false">IF(SUMPRODUCT(ABS('LCIA (Annex 1)'!D21:D31))=0,0,('LCIA (Annex 1)'!D31)/SUMPRODUCT(ABS('LCIA (Annex 1)'!D21:D31)))</f>
        <v>0</v>
      </c>
      <c r="S128" s="84" t="n">
        <f aca="false">IF(SUMPRODUCT(ABS('LCIA (Annex 1)'!D36:D46))=0,0,('LCIA (Annex 1)'!D46)/SUMPRODUCT(ABS('LCIA (Annex 1)'!D36:D46)))</f>
        <v>0</v>
      </c>
      <c r="T128" s="84" t="n">
        <f aca="false">IF(SUMPRODUCT(ABS('LCIA (Annex 1)'!D51:D61))=0,0,('LCIA (Annex 1)'!D61)/SUMPRODUCT(ABS('LCIA (Annex 1)'!D51:D61)))</f>
        <v>0</v>
      </c>
      <c r="U128" s="84" t="n">
        <f aca="false">IF(SUMPRODUCT(ABS('LCIA (Annex 1)'!D66:D76))=0,0,('LCIA (Annex 1)'!D76)/SUMPRODUCT(ABS('LCIA (Annex 1)'!D66:D76)))</f>
        <v>0</v>
      </c>
      <c r="V128" s="84" t="n">
        <f aca="false">IF(SUMPRODUCT(ABS('LCIA (Annex 1)'!D81:D91))=0,0,('LCIA (Annex 1)'!D91)/SUMPRODUCT(ABS('LCIA (Annex 1)'!D81:D91)))</f>
        <v>0.858722358722359</v>
      </c>
      <c r="W128" s="84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14" t="s">
        <v>336</v>
      </c>
      <c r="Q129" s="84" t="n">
        <f aca="false">IF(SUMPRODUCT(ABS('LCIA (Annex 1)'!D6:D16))=0,0,('LCIA (Annex 1)'!D8)/SUMPRODUCT(ABS('LCIA (Annex 1)'!D6:D16)))</f>
        <v>0</v>
      </c>
      <c r="R129" s="84" t="n">
        <f aca="false">IF(SUMPRODUCT(ABS('LCIA (Annex 1)'!D21:D31))=0,0,('LCIA (Annex 1)'!D23)/SUMPRODUCT(ABS('LCIA (Annex 1)'!D21:D31)))</f>
        <v>0</v>
      </c>
      <c r="S129" s="84" t="n">
        <f aca="false">IF(SUMPRODUCT(ABS('LCIA (Annex 1)'!D36:D46))=0,0,('LCIA (Annex 1)'!D38)/SUMPRODUCT(ABS('LCIA (Annex 1)'!D36:D46)))</f>
        <v>0</v>
      </c>
      <c r="T129" s="84" t="n">
        <f aca="false">IF(SUMPRODUCT(ABS('LCIA (Annex 1)'!D51:D61))=0,0,('LCIA (Annex 1)'!D53)/SUMPRODUCT(ABS('LCIA (Annex 1)'!D51:D61)))</f>
        <v>0</v>
      </c>
      <c r="U129" s="84" t="n">
        <f aca="false">IF(SUMPRODUCT(ABS('LCIA (Annex 1)'!D66:D76))=0,0,('LCIA (Annex 1)'!D68)/SUMPRODUCT(ABS('LCIA (Annex 1)'!D66:D76)))</f>
        <v>0</v>
      </c>
      <c r="V129" s="84" t="n">
        <f aca="false">IF(SUMPRODUCT(ABS('LCIA (Annex 1)'!D81:D91))=0,0,('LCIA (Annex 1)'!D83)/SUMPRODUCT(ABS('LCIA (Annex 1)'!D81:D91)))</f>
        <v>0</v>
      </c>
      <c r="W129" s="84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14" t="s">
        <v>369</v>
      </c>
      <c r="Q130" s="84" t="n">
        <f aca="false">IF(SUMPRODUCT(ABS('LCIA (Annex 1)'!D6:D16))=0,0,('LCIA (Annex 1)'!D6+'LCIA (Annex 1)'!D9+'LCIA (Annex 1)'!D11+'LCIA (Annex 1)'!D13)/SUMPRODUCT(ABS('LCIA (Annex 1)'!D6:D16)))</f>
        <v>0.0629984051036683</v>
      </c>
      <c r="R130" s="84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84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84" t="n">
        <f aca="false">IF(SUMPRODUCT(ABS('LCIA (Annex 1)'!D51:D61))=0,0,('LCIA (Annex 1)'!D51+'LCIA (Annex 1)'!D54+'LCIA (Annex 1)'!D56+'LCIA (Annex 1)'!D58)/SUMPRODUCT(ABS('LCIA (Annex 1)'!D51:D61)))</f>
        <v>0</v>
      </c>
      <c r="U130" s="84" t="n">
        <f aca="false">IF(SUMPRODUCT(ABS('LCIA (Annex 1)'!D66:D76))=0,0,('LCIA (Annex 1)'!D66+'LCIA (Annex 1)'!D69+'LCIA (Annex 1)'!D71+'LCIA (Annex 1)'!D73)/SUMPRODUCT(ABS('LCIA (Annex 1)'!D66:D76)))</f>
        <v>0</v>
      </c>
      <c r="V130" s="84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4" t="s">
        <v>512</v>
      </c>
    </row>
    <row r="133" customFormat="false" ht="15" hidden="false" customHeight="false" outlineLevel="0" collapsed="false">
      <c r="P133" s="8" t="s">
        <v>359</v>
      </c>
      <c r="Q133" s="8" t="s">
        <v>360</v>
      </c>
      <c r="R133" s="8" t="s">
        <v>361</v>
      </c>
      <c r="S133" s="8" t="s">
        <v>362</v>
      </c>
      <c r="T133" s="8" t="s">
        <v>363</v>
      </c>
      <c r="U133" s="8" t="s">
        <v>364</v>
      </c>
      <c r="V133" s="8" t="s">
        <v>365</v>
      </c>
      <c r="W133" s="8" t="s">
        <v>366</v>
      </c>
    </row>
    <row r="134" customFormat="false" ht="15" hidden="false" customHeight="false" outlineLevel="0" collapsed="false">
      <c r="P134" s="14" t="s">
        <v>341</v>
      </c>
      <c r="Q134" s="84" t="n">
        <f aca="false">IF(SUMPRODUCT(ABS('LCIA (Annex 1)'!E6:E16))=0,0,('LCIA (Annex 1)'!E14)/SUMPRODUCT(ABS('LCIA (Annex 1)'!E6:E16)))</f>
        <v>0.660670194003527</v>
      </c>
      <c r="R134" s="84" t="n">
        <f aca="false">IF(SUMPRODUCT(ABS('LCIA (Annex 1)'!E21:E31))=0,0,('LCIA (Annex 1)'!E29)/SUMPRODUCT(ABS('LCIA (Annex 1)'!E21:E31)))</f>
        <v>0.252109672963152</v>
      </c>
      <c r="S134" s="84" t="n">
        <f aca="false">IF(SUMPRODUCT(ABS('LCIA (Annex 1)'!E36:E46))=0,0,('LCIA (Annex 1)'!E44)/SUMPRODUCT(ABS('LCIA (Annex 1)'!E36:E46)))</f>
        <v>0.999919080757404</v>
      </c>
      <c r="T134" s="84" t="n">
        <f aca="false">IF(SUMPRODUCT(ABS('LCIA (Annex 1)'!E51:E61))=0,0,('LCIA (Annex 1)'!E59)/SUMPRODUCT(ABS('LCIA (Annex 1)'!E51:E61)))</f>
        <v>0.227272727272727</v>
      </c>
      <c r="U134" s="84" t="n">
        <f aca="false">IF(SUMPRODUCT(ABS('LCIA (Annex 1)'!E66:E76))=0,0,('LCIA (Annex 1)'!E74)/SUMPRODUCT(ABS('LCIA (Annex 1)'!E66:E76)))</f>
        <v>0.133333333333333</v>
      </c>
      <c r="V134" s="84" t="n">
        <f aca="false">IF(SUMPRODUCT(ABS('LCIA (Annex 1)'!E81:E91))=0,0,('LCIA (Annex 1)'!E89)/SUMPRODUCT(ABS('LCIA (Annex 1)'!E81:E91)))</f>
        <v>0.798064787547329</v>
      </c>
      <c r="W134" s="84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14" t="s">
        <v>367</v>
      </c>
      <c r="Q135" s="84" t="n">
        <f aca="false">IF(SUMPRODUCT(ABS('LCIA (Annex 1)'!E6:E16))=0,0,('LCIA (Annex 1)'!E10)/SUMPRODUCT(ABS('LCIA (Annex 1)'!E6:E16)))</f>
        <v>0</v>
      </c>
      <c r="R135" s="84" t="n">
        <f aca="false">IF(SUMPRODUCT(ABS('LCIA (Annex 1)'!E21:E31))=0,0,('LCIA (Annex 1)'!E25)/SUMPRODUCT(ABS('LCIA (Annex 1)'!E21:E31)))</f>
        <v>0</v>
      </c>
      <c r="S135" s="84" t="n">
        <f aca="false">IF(SUMPRODUCT(ABS('LCIA (Annex 1)'!E36:E46))=0,0,('LCIA (Annex 1)'!E40)/SUMPRODUCT(ABS('LCIA (Annex 1)'!E36:E46)))</f>
        <v>0</v>
      </c>
      <c r="T135" s="84" t="n">
        <f aca="false">IF(SUMPRODUCT(ABS('LCIA (Annex 1)'!E51:E61))=0,0,('LCIA (Annex 1)'!E55)/SUMPRODUCT(ABS('LCIA (Annex 1)'!E51:E61)))</f>
        <v>0.659090909090909</v>
      </c>
      <c r="U135" s="84" t="n">
        <f aca="false">IF(SUMPRODUCT(ABS('LCIA (Annex 1)'!E66:E76))=0,0,('LCIA (Annex 1)'!E70)/SUMPRODUCT(ABS('LCIA (Annex 1)'!E66:E76)))</f>
        <v>0.85</v>
      </c>
      <c r="V135" s="84" t="n">
        <f aca="false">IF(SUMPRODUCT(ABS('LCIA (Annex 1)'!E81:E91))=0,0,('LCIA (Annex 1)'!E85)/SUMPRODUCT(ABS('LCIA (Annex 1)'!E81:E91)))</f>
        <v>0</v>
      </c>
      <c r="W135" s="84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14" t="s">
        <v>335</v>
      </c>
      <c r="Q136" s="84" t="n">
        <f aca="false">IF(SUMPRODUCT(ABS('LCIA (Annex 1)'!E6:E16))=0,0,('LCIA (Annex 1)'!E7)/SUMPRODUCT(ABS('LCIA (Annex 1)'!E6:E16)))</f>
        <v>0.167195767195767</v>
      </c>
      <c r="R136" s="84" t="n">
        <f aca="false">IF(SUMPRODUCT(ABS('LCIA (Annex 1)'!E21:E31))=0,0,('LCIA (Annex 1)'!E22)/SUMPRODUCT(ABS('LCIA (Annex 1)'!E21:E31)))</f>
        <v>0.65791765518484</v>
      </c>
      <c r="S136" s="84" t="n">
        <f aca="false">IF(SUMPRODUCT(ABS('LCIA (Annex 1)'!E36:E46))=0,0,('LCIA (Annex 1)'!E37)/SUMPRODUCT(ABS('LCIA (Annex 1)'!E36:E46)))</f>
        <v>0</v>
      </c>
      <c r="T136" s="84" t="n">
        <f aca="false">IF(SUMPRODUCT(ABS('LCIA (Annex 1)'!E51:E61))=0,0,('LCIA (Annex 1)'!E52)/SUMPRODUCT(ABS('LCIA (Annex 1)'!E51:E61)))</f>
        <v>0.0681818181818182</v>
      </c>
      <c r="U136" s="84" t="n">
        <f aca="false">IF(SUMPRODUCT(ABS('LCIA (Annex 1)'!E66:E76))=0,0,('LCIA (Annex 1)'!E67)/SUMPRODUCT(ABS('LCIA (Annex 1)'!E66:E76)))</f>
        <v>0.0166666666666667</v>
      </c>
      <c r="V136" s="84" t="n">
        <f aca="false">IF(SUMPRODUCT(ABS('LCIA (Annex 1)'!E81:E91))=0,0,('LCIA (Annex 1)'!E82)/SUMPRODUCT(ABS('LCIA (Annex 1)'!E81:E91)))</f>
        <v>0.00504838031131679</v>
      </c>
      <c r="W136" s="84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14" t="s">
        <v>342</v>
      </c>
      <c r="Q137" s="84" t="n">
        <f aca="false">IF(SUMPRODUCT(ABS('LCIA (Annex 1)'!E6:E16))=0,0,('LCIA (Annex 1)'!E15)/SUMPRODUCT(ABS('LCIA (Annex 1)'!E6:E16)))</f>
        <v>0.1336860670194</v>
      </c>
      <c r="R137" s="84" t="n">
        <f aca="false">IF(SUMPRODUCT(ABS('LCIA (Annex 1)'!E21:E31))=0,0,('LCIA (Annex 1)'!E30)/SUMPRODUCT(ABS('LCIA (Annex 1)'!E21:E31)))</f>
        <v>0.0641560807631861</v>
      </c>
      <c r="S137" s="84" t="n">
        <f aca="false">IF(SUMPRODUCT(ABS('LCIA (Annex 1)'!E36:E46))=0,0,('LCIA (Annex 1)'!E45)/SUMPRODUCT(ABS('LCIA (Annex 1)'!E36:E46)))</f>
        <v>0</v>
      </c>
      <c r="T137" s="84" t="n">
        <f aca="false">IF(SUMPRODUCT(ABS('LCIA (Annex 1)'!E51:E61))=0,0,('LCIA (Annex 1)'!E60)/SUMPRODUCT(ABS('LCIA (Annex 1)'!E51:E61)))</f>
        <v>0.0454545454545455</v>
      </c>
      <c r="U137" s="84" t="n">
        <f aca="false">IF(SUMPRODUCT(ABS('LCIA (Annex 1)'!E66:E76))=0,0,('LCIA (Annex 1)'!E75)/SUMPRODUCT(ABS('LCIA (Annex 1)'!E66:E76)))</f>
        <v>0</v>
      </c>
      <c r="V137" s="84" t="n">
        <f aca="false">IF(SUMPRODUCT(ABS('LCIA (Annex 1)'!E81:E91))=0,0,('LCIA (Annex 1)'!E90)/SUMPRODUCT(ABS('LCIA (Annex 1)'!E81:E91)))</f>
        <v>0.00210349179638199</v>
      </c>
      <c r="W137" s="84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14" t="s">
        <v>340</v>
      </c>
      <c r="Q138" s="84" t="n">
        <f aca="false">IF(SUMPRODUCT(ABS('LCIA (Annex 1)'!E6:E16))=0,0,('LCIA (Annex 1)'!E12)/SUMPRODUCT(ABS('LCIA (Annex 1)'!E6:E16)))</f>
        <v>0.00529100529100529</v>
      </c>
      <c r="R138" s="84" t="n">
        <f aca="false">IF(SUMPRODUCT(ABS('LCIA (Annex 1)'!E21:E31))=0,0,('LCIA (Annex 1)'!E27)/SUMPRODUCT(ABS('LCIA (Annex 1)'!E21:E31)))</f>
        <v>0.00555572239406589</v>
      </c>
      <c r="S138" s="84" t="n">
        <f aca="false">IF(SUMPRODUCT(ABS('LCIA (Annex 1)'!E36:E46))=0,0,('LCIA (Annex 1)'!E42)/SUMPRODUCT(ABS('LCIA (Annex 1)'!E36:E46)))</f>
        <v>0</v>
      </c>
      <c r="T138" s="84" t="n">
        <f aca="false">IF(SUMPRODUCT(ABS('LCIA (Annex 1)'!E51:E61))=0,0,('LCIA (Annex 1)'!E57)/SUMPRODUCT(ABS('LCIA (Annex 1)'!E51:E61)))</f>
        <v>0</v>
      </c>
      <c r="U138" s="84" t="n">
        <f aca="false">IF(SUMPRODUCT(ABS('LCIA (Annex 1)'!E66:E76))=0,0,('LCIA (Annex 1)'!E72)/SUMPRODUCT(ABS('LCIA (Annex 1)'!E66:E76)))</f>
        <v>0</v>
      </c>
      <c r="V138" s="84" t="n">
        <f aca="false">IF(SUMPRODUCT(ABS('LCIA (Annex 1)'!E81:E91))=0,0,('LCIA (Annex 1)'!E87)/SUMPRODUCT(ABS('LCIA (Annex 1)'!E81:E91)))</f>
        <v>0</v>
      </c>
      <c r="W138" s="84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14" t="s">
        <v>368</v>
      </c>
      <c r="Q139" s="84" t="n">
        <f aca="false">IF(SUMPRODUCT(ABS('LCIA (Annex 1)'!E6:E16))=0,0,('LCIA (Annex 1)'!E16)/SUMPRODUCT(ABS('LCIA (Annex 1)'!E6:E16)))</f>
        <v>0</v>
      </c>
      <c r="R139" s="84" t="n">
        <f aca="false">IF(SUMPRODUCT(ABS('LCIA (Annex 1)'!E21:E31))=0,0,('LCIA (Annex 1)'!E31)/SUMPRODUCT(ABS('LCIA (Annex 1)'!E21:E31)))</f>
        <v>0</v>
      </c>
      <c r="S139" s="84" t="n">
        <f aca="false">IF(SUMPRODUCT(ABS('LCIA (Annex 1)'!E36:E46))=0,0,('LCIA (Annex 1)'!E46)/SUMPRODUCT(ABS('LCIA (Annex 1)'!E36:E46)))</f>
        <v>0</v>
      </c>
      <c r="T139" s="84" t="n">
        <f aca="false">IF(SUMPRODUCT(ABS('LCIA (Annex 1)'!E51:E61))=0,0,('LCIA (Annex 1)'!E61)/SUMPRODUCT(ABS('LCIA (Annex 1)'!E51:E61)))</f>
        <v>0</v>
      </c>
      <c r="U139" s="84" t="n">
        <f aca="false">IF(SUMPRODUCT(ABS('LCIA (Annex 1)'!E66:E76))=0,0,('LCIA (Annex 1)'!E76)/SUMPRODUCT(ABS('LCIA (Annex 1)'!E66:E76)))</f>
        <v>0</v>
      </c>
      <c r="V139" s="84" t="n">
        <f aca="false">IF(SUMPRODUCT(ABS('LCIA (Annex 1)'!E81:E91))=0,0,('LCIA (Annex 1)'!E91)/SUMPRODUCT(ABS('LCIA (Annex 1)'!E81:E91)))</f>
        <v>0.193521245267143</v>
      </c>
      <c r="W139" s="84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14" t="s">
        <v>336</v>
      </c>
      <c r="Q140" s="84" t="n">
        <f aca="false">IF(SUMPRODUCT(ABS('LCIA (Annex 1)'!E6:E16))=0,0,('LCIA (Annex 1)'!E8)/SUMPRODUCT(ABS('LCIA (Annex 1)'!E6:E16)))</f>
        <v>0</v>
      </c>
      <c r="R140" s="84" t="n">
        <f aca="false">IF(SUMPRODUCT(ABS('LCIA (Annex 1)'!E21:E31))=0,0,('LCIA (Annex 1)'!E23)/SUMPRODUCT(ABS('LCIA (Annex 1)'!E21:E31)))</f>
        <v>0</v>
      </c>
      <c r="S140" s="84" t="n">
        <f aca="false">IF(SUMPRODUCT(ABS('LCIA (Annex 1)'!E36:E46))=0,0,('LCIA (Annex 1)'!E38)/SUMPRODUCT(ABS('LCIA (Annex 1)'!E36:E46)))</f>
        <v>0</v>
      </c>
      <c r="T140" s="84" t="n">
        <f aca="false">IF(SUMPRODUCT(ABS('LCIA (Annex 1)'!E51:E61))=0,0,('LCIA (Annex 1)'!E53)/SUMPRODUCT(ABS('LCIA (Annex 1)'!E51:E61)))</f>
        <v>0</v>
      </c>
      <c r="U140" s="84" t="n">
        <f aca="false">IF(SUMPRODUCT(ABS('LCIA (Annex 1)'!E66:E76))=0,0,('LCIA (Annex 1)'!E68)/SUMPRODUCT(ABS('LCIA (Annex 1)'!E66:E76)))</f>
        <v>0</v>
      </c>
      <c r="V140" s="84" t="n">
        <f aca="false">IF(SUMPRODUCT(ABS('LCIA (Annex 1)'!E81:E91))=0,0,('LCIA (Annex 1)'!E83)/SUMPRODUCT(ABS('LCIA (Annex 1)'!E81:E91)))</f>
        <v>0</v>
      </c>
      <c r="W140" s="84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14" t="s">
        <v>369</v>
      </c>
      <c r="Q141" s="84" t="n">
        <f aca="false">IF(SUMPRODUCT(ABS('LCIA (Annex 1)'!E6:E16))=0,0,('LCIA (Annex 1)'!E6+'LCIA (Annex 1)'!E9+'LCIA (Annex 1)'!E11+'LCIA (Annex 1)'!E13)/SUMPRODUCT(ABS('LCIA (Annex 1)'!E6:E16)))</f>
        <v>0.0331569664902998</v>
      </c>
      <c r="R141" s="84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84" t="n">
        <f aca="false">IF(SUMPRODUCT(ABS('LCIA (Annex 1)'!E51:E61))=0,0,('LCIA (Annex 1)'!E51+'LCIA (Annex 1)'!E54+'LCIA (Annex 1)'!E56+'LCIA (Annex 1)'!E58)/SUMPRODUCT(ABS('LCIA (Annex 1)'!E51:E61)))</f>
        <v>0</v>
      </c>
      <c r="U141" s="84" t="n">
        <f aca="false">IF(SUMPRODUCT(ABS('LCIA (Annex 1)'!E66:E76))=0,0,('LCIA (Annex 1)'!E66+'LCIA (Annex 1)'!E69+'LCIA (Annex 1)'!E71+'LCIA (Annex 1)'!E73)/SUMPRODUCT(ABS('LCIA (Annex 1)'!E66:E76)))</f>
        <v>0</v>
      </c>
      <c r="V141" s="84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9" t="s">
        <v>513</v>
      </c>
    </row>
    <row r="147" customFormat="false" ht="15" hidden="false" customHeight="false" outlineLevel="0" collapsed="false">
      <c r="P147" s="34" t="s">
        <v>514</v>
      </c>
    </row>
    <row r="148" customFormat="false" ht="26.85" hidden="false" customHeight="false" outlineLevel="0" collapsed="false">
      <c r="P148" s="8" t="s">
        <v>402</v>
      </c>
      <c r="Q148" s="8" t="s">
        <v>404</v>
      </c>
      <c r="R148" s="8" t="s">
        <v>405</v>
      </c>
      <c r="S148" s="8" t="s">
        <v>406</v>
      </c>
      <c r="T148" s="8" t="s">
        <v>407</v>
      </c>
      <c r="U148" s="8" t="s">
        <v>408</v>
      </c>
      <c r="V148" s="8" t="s">
        <v>409</v>
      </c>
      <c r="W148" s="8" t="s">
        <v>410</v>
      </c>
    </row>
    <row r="149" customFormat="false" ht="15" hidden="false" customHeight="false" outlineLevel="0" collapsed="false">
      <c r="P149" s="14" t="s">
        <v>515</v>
      </c>
      <c r="Q149" s="67" t="n">
        <f aca="false">'KPI framework'!F8</f>
        <v>2552.4</v>
      </c>
      <c r="R149" s="67" t="n">
        <f aca="false">'KPI framework'!G8</f>
        <v>2801</v>
      </c>
      <c r="S149" s="67" t="n">
        <f aca="false">'KPI framework'!H8</f>
        <v>1255</v>
      </c>
      <c r="T149" s="67" t="n">
        <f aca="false">'KPI framework'!I8</f>
        <v>2836</v>
      </c>
      <c r="U149" s="67" t="str">
        <f aca="false">'KPI framework'!J8</f>
        <v>✗</v>
      </c>
      <c r="V149" s="67" t="str">
        <f aca="false">'KPI framework'!K8</f>
        <v>✓</v>
      </c>
      <c r="W149" s="67" t="str">
        <f aca="false">'KPI framework'!L8</f>
        <v>baseline</v>
      </c>
    </row>
    <row r="150" customFormat="false" ht="15" hidden="false" customHeight="false" outlineLevel="0" collapsed="false">
      <c r="P150" s="14" t="s">
        <v>516</v>
      </c>
      <c r="Q150" s="67" t="n">
        <f aca="false">'KPI framework'!F9</f>
        <v>89907.3</v>
      </c>
      <c r="R150" s="67" t="n">
        <f aca="false">'KPI framework'!G9</f>
        <v>90127</v>
      </c>
      <c r="S150" s="67" t="n">
        <f aca="false">'KPI framework'!H9</f>
        <v>19097</v>
      </c>
      <c r="T150" s="67" t="n">
        <f aca="false">'KPI framework'!I9</f>
        <v>99897</v>
      </c>
      <c r="U150" s="67" t="str">
        <f aca="false">'KPI framework'!J9</f>
        <v>✗</v>
      </c>
      <c r="V150" s="67" t="str">
        <f aca="false">'KPI framework'!K9</f>
        <v>✓</v>
      </c>
      <c r="W150" s="67" t="str">
        <f aca="false">'KPI framework'!L9</f>
        <v>baseline</v>
      </c>
    </row>
    <row r="151" customFormat="false" ht="15" hidden="false" customHeight="false" outlineLevel="0" collapsed="false">
      <c r="P151" s="14" t="s">
        <v>517</v>
      </c>
      <c r="Q151" s="67" t="n">
        <f aca="false">'KPI framework'!F10</f>
        <v>11122.2</v>
      </c>
      <c r="R151" s="67" t="n">
        <f aca="false">'KPI framework'!G10</f>
        <v>10478</v>
      </c>
      <c r="S151" s="67" t="n">
        <f aca="false">'KPI framework'!H10</f>
        <v>4402</v>
      </c>
      <c r="T151" s="67" t="n">
        <f aca="false">'KPI framework'!I10</f>
        <v>12358</v>
      </c>
      <c r="U151" s="67" t="str">
        <f aca="false">'KPI framework'!J10</f>
        <v>✓</v>
      </c>
      <c r="V151" s="67" t="str">
        <f aca="false">'KPI framework'!K10</f>
        <v>✓</v>
      </c>
      <c r="W151" s="67" t="str">
        <f aca="false">'KPI framework'!L10</f>
        <v>baseline</v>
      </c>
    </row>
    <row r="152" customFormat="false" ht="15" hidden="false" customHeight="false" outlineLevel="0" collapsed="false">
      <c r="P152" s="14" t="s">
        <v>518</v>
      </c>
      <c r="Q152" s="67" t="n">
        <f aca="false">'KPI framework'!F11</f>
        <v>40.5</v>
      </c>
      <c r="R152" s="67" t="n">
        <f aca="false">'KPI framework'!G11</f>
        <v>42</v>
      </c>
      <c r="S152" s="67" t="n">
        <f aca="false">'KPI framework'!H11</f>
        <v>6</v>
      </c>
      <c r="T152" s="67" t="n">
        <f aca="false">'KPI framework'!I11</f>
        <v>45</v>
      </c>
      <c r="U152" s="67" t="str">
        <f aca="false">'KPI framework'!J11</f>
        <v>✗</v>
      </c>
      <c r="V152" s="67" t="str">
        <f aca="false">'KPI framework'!K11</f>
        <v>✓</v>
      </c>
      <c r="W152" s="67" t="str">
        <f aca="false">'KPI framework'!L11</f>
        <v>baseline</v>
      </c>
    </row>
    <row r="153" customFormat="false" ht="15" hidden="false" customHeight="false" outlineLevel="0" collapsed="false">
      <c r="P153" s="14" t="s">
        <v>519</v>
      </c>
      <c r="Q153" s="67" t="n">
        <f aca="false">'KPI framework'!F12</f>
        <v>54.9</v>
      </c>
      <c r="R153" s="67" t="n">
        <f aca="false">'KPI framework'!G12</f>
        <v>26</v>
      </c>
      <c r="S153" s="67" t="n">
        <f aca="false">'KPI framework'!H12</f>
        <v>2</v>
      </c>
      <c r="T153" s="67" t="n">
        <f aca="false">'KPI framework'!I12</f>
        <v>61</v>
      </c>
      <c r="U153" s="67" t="str">
        <f aca="false">'KPI framework'!J12</f>
        <v>✓</v>
      </c>
      <c r="V153" s="67" t="str">
        <f aca="false">'KPI framework'!K12</f>
        <v>✓</v>
      </c>
      <c r="W153" s="67" t="str">
        <f aca="false">'KPI framework'!L12</f>
        <v>baseline</v>
      </c>
    </row>
    <row r="154" customFormat="false" ht="15" hidden="false" customHeight="false" outlineLevel="0" collapsed="false">
      <c r="P154" s="14" t="s">
        <v>520</v>
      </c>
      <c r="Q154" s="67" t="n">
        <f aca="false">'KPI framework'!F13</f>
        <v>2141.1</v>
      </c>
      <c r="R154" s="67" t="n">
        <f aca="false">'KPI framework'!G13</f>
        <v>2946</v>
      </c>
      <c r="S154" s="67" t="n">
        <f aca="false">'KPI framework'!H13</f>
        <v>4885</v>
      </c>
      <c r="T154" s="67" t="n">
        <f aca="false">'KPI framework'!I13</f>
        <v>2379</v>
      </c>
      <c r="U154" s="67" t="str">
        <f aca="false">'KPI framework'!J13</f>
        <v>✗</v>
      </c>
      <c r="V154" s="67" t="str">
        <f aca="false">'KPI framework'!K13</f>
        <v>✗</v>
      </c>
      <c r="W154" s="67" t="str">
        <f aca="false">'KPI framework'!L13</f>
        <v>baseline</v>
      </c>
    </row>
    <row r="155" customFormat="false" ht="15" hidden="false" customHeight="false" outlineLevel="0" collapsed="false">
      <c r="P155" s="14" t="s">
        <v>521</v>
      </c>
      <c r="Q155" s="67" t="n">
        <f aca="false">'KPI framework'!F14</f>
        <v>353701.8</v>
      </c>
      <c r="R155" s="67" t="n">
        <f aca="false">'KPI framework'!G14</f>
        <v>163840</v>
      </c>
      <c r="S155" s="67" t="n">
        <f aca="false">'KPI framework'!H14</f>
        <v>115691</v>
      </c>
      <c r="T155" s="67" t="n">
        <f aca="false">'KPI framework'!I14</f>
        <v>393002</v>
      </c>
      <c r="U155" s="67" t="str">
        <f aca="false">'KPI framework'!J14</f>
        <v>✓</v>
      </c>
      <c r="V155" s="67" t="str">
        <f aca="false">'KPI framework'!K14</f>
        <v>✓</v>
      </c>
      <c r="W155" s="67" t="str">
        <f aca="false">'KPI framework'!L14</f>
        <v>baseline</v>
      </c>
    </row>
    <row r="156" customFormat="false" ht="15" hidden="false" customHeight="false" outlineLevel="0" collapsed="false">
      <c r="P156" s="14" t="s">
        <v>522</v>
      </c>
      <c r="Q156" s="82" t="n">
        <f aca="false">'KPI framework'!F15</f>
        <v>0.35</v>
      </c>
      <c r="R156" s="82" t="n">
        <f aca="false">'KPI framework'!G15</f>
        <v>0.469758878127522</v>
      </c>
      <c r="S156" s="82" t="n">
        <f aca="false">'KPI framework'!H15</f>
        <v>1.1060393258427</v>
      </c>
      <c r="T156" s="82" t="n">
        <f aca="false">'KPI framework'!I15</f>
        <v>0.201757240481614</v>
      </c>
      <c r="U156" s="82" t="str">
        <f aca="false">'KPI framework'!J15</f>
        <v>✓</v>
      </c>
      <c r="V156" s="82" t="str">
        <f aca="false">'KPI framework'!K15</f>
        <v>✓</v>
      </c>
      <c r="W156" s="82" t="str">
        <f aca="false">'KPI framework'!L15</f>
        <v>✗</v>
      </c>
    </row>
    <row r="157" customFormat="false" ht="15" hidden="false" customHeight="false" outlineLevel="0" collapsed="false">
      <c r="P157" s="14" t="s">
        <v>523</v>
      </c>
      <c r="Q157" s="82" t="n">
        <f aca="false">'KPI framework'!F16</f>
        <v>0.3</v>
      </c>
      <c r="R157" s="82" t="n">
        <f aca="false">'KPI framework'!G16</f>
        <v>0.3215799031477</v>
      </c>
      <c r="S157" s="82" t="n">
        <f aca="false">'KPI framework'!H16</f>
        <v>0.950734658599827</v>
      </c>
      <c r="T157" s="82" t="n">
        <f aca="false">'KPI framework'!I16</f>
        <v>0.162707452001302</v>
      </c>
      <c r="U157" s="82" t="str">
        <f aca="false">'KPI framework'!J16</f>
        <v>✓</v>
      </c>
      <c r="V157" s="82" t="str">
        <f aca="false">'KPI framework'!K16</f>
        <v>✓</v>
      </c>
      <c r="W157" s="82" t="str">
        <f aca="false">'KPI framework'!L16</f>
        <v>✗</v>
      </c>
    </row>
    <row r="158" customFormat="false" ht="15" hidden="false" customHeight="false" outlineLevel="0" collapsed="false">
      <c r="P158" s="14" t="s">
        <v>524</v>
      </c>
      <c r="Q158" s="67" t="n">
        <f aca="false">'KPI framework'!F17</f>
        <v>60</v>
      </c>
      <c r="R158" s="67" t="n">
        <f aca="false">'KPI framework'!G17</f>
        <v>54.7384865744508</v>
      </c>
      <c r="S158" s="67" t="n">
        <f aca="false">'KPI framework'!H17</f>
        <v>-3.79874213836478</v>
      </c>
      <c r="T158" s="67" t="n">
        <f aca="false">'KPI framework'!I17</f>
        <v>95.9296072999837</v>
      </c>
      <c r="U158" s="67" t="str">
        <f aca="false">'KPI framework'!J17</f>
        <v>✓</v>
      </c>
      <c r="V158" s="67" t="str">
        <f aca="false">'KPI framework'!K17</f>
        <v>✓</v>
      </c>
      <c r="W158" s="67" t="str">
        <f aca="false">'KPI framework'!L17</f>
        <v>✗</v>
      </c>
    </row>
    <row r="159" customFormat="false" ht="15" hidden="false" customHeight="false" outlineLevel="0" collapsed="false">
      <c r="P159" s="14" t="s">
        <v>525</v>
      </c>
      <c r="Q159" s="67" t="n">
        <f aca="false">'KPI framework'!F18</f>
        <v>1.75</v>
      </c>
      <c r="R159" s="67" t="n">
        <f aca="false">'KPI framework'!G18</f>
        <v>1.7179253867152</v>
      </c>
      <c r="S159" s="67" t="n">
        <f aca="false">'KPI framework'!H18</f>
        <v>1.36923076923077</v>
      </c>
      <c r="T159" s="67" t="n">
        <f aca="false">'KPI framework'!I18</f>
        <v>1.78833306175656</v>
      </c>
      <c r="U159" s="67" t="str">
        <f aca="false">'KPI framework'!J18</f>
        <v>✓</v>
      </c>
      <c r="V159" s="67" t="str">
        <f aca="false">'KPI framework'!K18</f>
        <v>✓</v>
      </c>
      <c r="W159" s="67" t="str">
        <f aca="false">'KPI framework'!L18</f>
        <v>✗</v>
      </c>
    </row>
    <row r="160" customFormat="false" ht="15" hidden="false" customHeight="false" outlineLevel="0" collapsed="false">
      <c r="P160" s="14" t="s">
        <v>526</v>
      </c>
      <c r="Q160" s="82" t="n">
        <f aca="false">'KPI framework'!F19</f>
        <v>0.5</v>
      </c>
      <c r="R160" s="82" t="n">
        <f aca="false">'KPI framework'!G19</f>
        <v>0.551977170811252</v>
      </c>
      <c r="S160" s="82" t="n">
        <f aca="false">'KPI framework'!H19</f>
        <v>0.998172052082455</v>
      </c>
      <c r="T160" s="82" t="n">
        <f aca="false">'KPI framework'!I19</f>
        <v>0</v>
      </c>
      <c r="U160" s="82" t="str">
        <f aca="false">'KPI framework'!J19</f>
        <v>✓</v>
      </c>
      <c r="V160" s="82" t="str">
        <f aca="false">'KPI framework'!K19</f>
        <v>✓</v>
      </c>
      <c r="W160" s="82" t="str">
        <f aca="false">'KPI framework'!L19</f>
        <v>✗</v>
      </c>
    </row>
    <row r="161" customFormat="false" ht="15" hidden="false" customHeight="false" outlineLevel="0" collapsed="false">
      <c r="P161" s="14" t="s">
        <v>527</v>
      </c>
      <c r="Q161" s="82" t="n">
        <f aca="false">'KPI framework'!F20</f>
        <v>0.6</v>
      </c>
      <c r="R161" s="82" t="n">
        <f aca="false">'KPI framework'!G20</f>
        <v>0.553016779721528</v>
      </c>
      <c r="S161" s="82" t="n">
        <f aca="false">'KPI framework'!H20</f>
        <v>0.58406374501992</v>
      </c>
      <c r="T161" s="82" t="n">
        <f aca="false">'KPI framework'!I20</f>
        <v>0.660437235543018</v>
      </c>
      <c r="U161" s="82" t="str">
        <f aca="false">'KPI framework'!J20</f>
        <v>✓</v>
      </c>
      <c r="V161" s="82" t="str">
        <f aca="false">'KPI framework'!K20</f>
        <v>✓</v>
      </c>
      <c r="W161" s="82" t="str">
        <f aca="false">'KPI framework'!L20</f>
        <v>✗</v>
      </c>
    </row>
    <row r="162" customFormat="false" ht="15" hidden="false" customHeight="false" outlineLevel="0" collapsed="false">
      <c r="P162" s="14" t="s">
        <v>457</v>
      </c>
      <c r="Q162" s="65"/>
      <c r="R162" s="65"/>
      <c r="S162" s="65"/>
      <c r="T162" s="65"/>
      <c r="U162" s="65" t="str">
        <f aca="false">'KPI framework'!J22</f>
        <v>9 / 13</v>
      </c>
      <c r="V162" s="65" t="str">
        <f aca="false">'KPI framework'!K22</f>
        <v>12 / 13</v>
      </c>
      <c r="W162" s="65" t="str">
        <f aca="false">'KPI framework'!L22</f>
        <v>0 / 13</v>
      </c>
    </row>
    <row r="181" customFormat="false" ht="15" hidden="false" customHeight="false" outlineLevel="0" collapsed="false">
      <c r="A181" s="29" t="s">
        <v>528</v>
      </c>
    </row>
    <row r="182" customFormat="false" ht="15" hidden="false" customHeight="false" outlineLevel="0" collapsed="false">
      <c r="P182" s="34" t="s">
        <v>529</v>
      </c>
    </row>
    <row r="183" customFormat="false" ht="39.55" hidden="false" customHeight="false" outlineLevel="0" collapsed="false">
      <c r="P183" s="8" t="s">
        <v>379</v>
      </c>
      <c r="Q183" s="8" t="s">
        <v>11</v>
      </c>
      <c r="R183" s="8" t="s">
        <v>15</v>
      </c>
      <c r="S183" s="8" t="s">
        <v>19</v>
      </c>
    </row>
    <row r="184" customFormat="false" ht="15" hidden="false" customHeight="false" outlineLevel="0" collapsed="false">
      <c r="P184" s="14" t="s">
        <v>414</v>
      </c>
      <c r="Q184" s="84" t="n">
        <f aca="false">Comparison!C5/Comparison!$E5</f>
        <v>0.987658674188999</v>
      </c>
      <c r="R184" s="84" t="n">
        <f aca="false">Comparison!D5/Comparison!$E5</f>
        <v>0.442524682651622</v>
      </c>
      <c r="S184" s="84" t="n">
        <f aca="false">Comparison!E5/Comparison!$E5</f>
        <v>1</v>
      </c>
    </row>
    <row r="185" customFormat="false" ht="15" hidden="false" customHeight="false" outlineLevel="0" collapsed="false">
      <c r="P185" s="14" t="s">
        <v>420</v>
      </c>
      <c r="Q185" s="84" t="n">
        <f aca="false">Comparison!C6/Comparison!$E6</f>
        <v>0.902199265243201</v>
      </c>
      <c r="R185" s="84" t="n">
        <f aca="false">Comparison!D6/Comparison!$E6</f>
        <v>0.191166901908966</v>
      </c>
      <c r="S185" s="84" t="n">
        <f aca="false">Comparison!E6/Comparison!$E6</f>
        <v>1</v>
      </c>
    </row>
    <row r="186" customFormat="false" ht="15" hidden="false" customHeight="false" outlineLevel="0" collapsed="false">
      <c r="P186" s="14" t="s">
        <v>423</v>
      </c>
      <c r="Q186" s="84" t="n">
        <f aca="false">Comparison!C7/Comparison!$E7</f>
        <v>0.847871823919728</v>
      </c>
      <c r="R186" s="84" t="n">
        <f aca="false">Comparison!D7/Comparison!$E7</f>
        <v>0.356206505907105</v>
      </c>
      <c r="S186" s="84" t="n">
        <f aca="false">Comparison!E7/Comparison!$E7</f>
        <v>1</v>
      </c>
    </row>
    <row r="187" customFormat="false" ht="15" hidden="false" customHeight="false" outlineLevel="0" collapsed="false">
      <c r="P187" s="14" t="s">
        <v>426</v>
      </c>
      <c r="Q187" s="84" t="n">
        <f aca="false">Comparison!C8/Comparison!$E8</f>
        <v>0.933333333333333</v>
      </c>
      <c r="R187" s="84" t="n">
        <f aca="false">Comparison!D8/Comparison!$E8</f>
        <v>0.133333333333333</v>
      </c>
      <c r="S187" s="84" t="n">
        <f aca="false">Comparison!E8/Comparison!$E8</f>
        <v>1</v>
      </c>
    </row>
    <row r="188" customFormat="false" ht="15" hidden="false" customHeight="false" outlineLevel="0" collapsed="false">
      <c r="P188" s="14" t="s">
        <v>429</v>
      </c>
      <c r="Q188" s="84" t="n">
        <f aca="false">Comparison!C9/Comparison!$E9</f>
        <v>0.426229508196721</v>
      </c>
      <c r="R188" s="84" t="n">
        <f aca="false">Comparison!D9/Comparison!$E9</f>
        <v>0.0327868852459016</v>
      </c>
      <c r="S188" s="84" t="n">
        <f aca="false">Comparison!E9/Comparison!$E9</f>
        <v>1</v>
      </c>
    </row>
    <row r="189" customFormat="false" ht="15" hidden="false" customHeight="false" outlineLevel="0" collapsed="false">
      <c r="P189" s="14" t="s">
        <v>432</v>
      </c>
      <c r="Q189" s="84" t="n">
        <f aca="false">Comparison!C10/Comparison!$E10</f>
        <v>1.23833543505675</v>
      </c>
      <c r="R189" s="84" t="n">
        <f aca="false">Comparison!D10/Comparison!$E10</f>
        <v>2.05338377469525</v>
      </c>
      <c r="S189" s="84" t="n">
        <f aca="false">Comparison!E10/Comparison!$E10</f>
        <v>1</v>
      </c>
    </row>
    <row r="190" customFormat="false" ht="15" hidden="false" customHeight="false" outlineLevel="0" collapsed="false">
      <c r="P190" s="14" t="s">
        <v>435</v>
      </c>
      <c r="Q190" s="84" t="n">
        <f aca="false">Comparison!C11/Comparison!$E11</f>
        <v>0.416893552704566</v>
      </c>
      <c r="R190" s="84" t="n">
        <f aca="false">Comparison!D11/Comparison!$E11</f>
        <v>0.294377636755029</v>
      </c>
      <c r="S190" s="84" t="n">
        <f aca="false">Comparison!E11/Comparison!$E11</f>
        <v>1</v>
      </c>
    </row>
    <row r="222" customFormat="false" ht="15" hidden="false" customHeight="false" outlineLevel="0" collapsed="false">
      <c r="A222" s="29" t="s">
        <v>530</v>
      </c>
    </row>
    <row r="223" customFormat="false" ht="15" hidden="false" customHeight="false" outlineLevel="0" collapsed="false">
      <c r="P223" s="34" t="s">
        <v>531</v>
      </c>
    </row>
    <row r="224" customFormat="false" ht="39.55" hidden="false" customHeight="false" outlineLevel="0" collapsed="false">
      <c r="P224" s="8" t="s">
        <v>83</v>
      </c>
      <c r="Q224" s="8" t="s">
        <v>11</v>
      </c>
      <c r="R224" s="8" t="s">
        <v>15</v>
      </c>
      <c r="S224" s="8" t="s">
        <v>19</v>
      </c>
    </row>
    <row r="225" customFormat="false" ht="15" hidden="false" customHeight="false" outlineLevel="0" collapsed="false">
      <c r="P225" s="14" t="s">
        <v>532</v>
      </c>
      <c r="Q225" s="39" t="n">
        <f aca="false">Inventory!C24</f>
        <v>1229</v>
      </c>
      <c r="R225" s="39" t="n">
        <f aca="false">Inventory!D24</f>
        <v>159</v>
      </c>
      <c r="S225" s="39" t="n">
        <f aca="false">Inventory!E24</f>
        <v>6137</v>
      </c>
    </row>
    <row r="226" customFormat="false" ht="15" hidden="false" customHeight="false" outlineLevel="0" collapsed="false">
      <c r="P226" s="14" t="s">
        <v>533</v>
      </c>
      <c r="Q226" s="99" t="n">
        <f aca="false">Inventory!C25</f>
        <v>0.813669650122051</v>
      </c>
      <c r="R226" s="99" t="n">
        <f aca="false">Inventory!D25</f>
        <v>6.28930817610063</v>
      </c>
      <c r="S226" s="99" t="n">
        <f aca="false">Inventory!E25</f>
        <v>0.162946064852534</v>
      </c>
    </row>
    <row r="227" customFormat="false" ht="15" hidden="false" customHeight="false" outlineLevel="0" collapsed="false">
      <c r="P227" s="14" t="s">
        <v>534</v>
      </c>
      <c r="Q227" s="44" t="n">
        <f aca="false">'Nutrient balance'!C8</f>
        <v>126.8736</v>
      </c>
      <c r="R227" s="44" t="n">
        <f aca="false">'Nutrient balance'!D8</f>
        <v>5.696</v>
      </c>
      <c r="S227" s="44" t="n">
        <f aca="false">'Nutrient balance'!E8</f>
        <v>737.52</v>
      </c>
    </row>
    <row r="228" customFormat="false" ht="15" hidden="false" customHeight="false" outlineLevel="0" collapsed="false">
      <c r="P228" s="14" t="s">
        <v>535</v>
      </c>
      <c r="Q228" s="84" t="n">
        <f aca="false">'Nutrient balance'!C13</f>
        <v>0.469758878127522</v>
      </c>
      <c r="R228" s="84" t="n">
        <f aca="false">'Nutrient balance'!D13</f>
        <v>1.1060393258427</v>
      </c>
      <c r="S228" s="84" t="n">
        <f aca="false">'Nutrient balance'!E13</f>
        <v>0.201757240481614</v>
      </c>
    </row>
    <row r="229" customFormat="false" ht="15" hidden="false" customHeight="false" outlineLevel="0" collapsed="false">
      <c r="P229" s="14" t="s">
        <v>536</v>
      </c>
      <c r="Q229" s="84" t="n">
        <f aca="false">'KPI framework'!$F$5</f>
        <v>0.1</v>
      </c>
      <c r="R229" s="84" t="n">
        <f aca="false">'KPI framework'!$F$5</f>
        <v>0.1</v>
      </c>
      <c r="S229" s="84" t="n">
        <f aca="false">'KPI framework'!$F$5</f>
        <v>0.1</v>
      </c>
    </row>
    <row r="230" customFormat="false" ht="15" hidden="false" customHeight="false" outlineLevel="0" collapsed="false">
      <c r="P230" s="14" t="s">
        <v>537</v>
      </c>
      <c r="Q230" s="65" t="str">
        <f aca="false">'KPI framework'!J22</f>
        <v>9 / 13</v>
      </c>
      <c r="R230" s="65" t="str">
        <f aca="false">'KPI framework'!K22</f>
        <v>12 / 13</v>
      </c>
      <c r="S230" s="65" t="str">
        <f aca="false">'KPI framework'!L22</f>
        <v>0 / 13</v>
      </c>
    </row>
    <row r="244" customFormat="false" ht="15" hidden="false" customHeight="false" outlineLevel="0" collapsed="false">
      <c r="A244" s="29" t="s">
        <v>538</v>
      </c>
    </row>
    <row r="245" customFormat="false" ht="15" hidden="false" customHeight="false" outlineLevel="0" collapsed="false">
      <c r="P245" s="34" t="s">
        <v>539</v>
      </c>
    </row>
    <row r="246" customFormat="false" ht="39.55" hidden="false" customHeight="false" outlineLevel="0" collapsed="false">
      <c r="P246" s="8" t="s">
        <v>402</v>
      </c>
      <c r="Q246" s="8" t="s">
        <v>11</v>
      </c>
      <c r="R246" s="8" t="s">
        <v>15</v>
      </c>
      <c r="S246" s="8" t="s">
        <v>19</v>
      </c>
    </row>
    <row r="247" customFormat="false" ht="15" hidden="false" customHeight="false" outlineLevel="0" collapsed="false">
      <c r="P247" s="14" t="s">
        <v>476</v>
      </c>
      <c r="Q247" s="88" t="n">
        <f aca="false">('KPI framework'!$F8-'KPI framework'!G8)/ABS('KPI framework'!$F8)</f>
        <v>-0.0973985268766651</v>
      </c>
      <c r="R247" s="88" t="n">
        <f aca="false">('KPI framework'!$F8-'KPI framework'!H8)/ABS('KPI framework'!$F8)</f>
        <v>0.508305908164864</v>
      </c>
      <c r="S247" s="88" t="str">
        <f aca="false">"baseline"</f>
        <v>baseline</v>
      </c>
    </row>
    <row r="248" customFormat="false" ht="15" hidden="false" customHeight="false" outlineLevel="0" collapsed="false">
      <c r="P248" s="14" t="s">
        <v>477</v>
      </c>
      <c r="Q248" s="88" t="n">
        <f aca="false">('KPI framework'!$F9-'KPI framework'!G9)/ABS('KPI framework'!$F9)</f>
        <v>-0.00244362804800052</v>
      </c>
      <c r="R248" s="88" t="n">
        <f aca="false">('KPI framework'!$F9-'KPI framework'!H9)/ABS('KPI framework'!$F9)</f>
        <v>0.78759233121226</v>
      </c>
      <c r="S248" s="88" t="str">
        <f aca="false">"baseline"</f>
        <v>baseline</v>
      </c>
    </row>
    <row r="249" customFormat="false" ht="15" hidden="false" customHeight="false" outlineLevel="0" collapsed="false">
      <c r="P249" s="14" t="s">
        <v>478</v>
      </c>
      <c r="Q249" s="88" t="n">
        <f aca="false">('KPI framework'!$F10-'KPI framework'!G10)/ABS('KPI framework'!$F10)</f>
        <v>0.0579201956447466</v>
      </c>
      <c r="R249" s="88" t="n">
        <f aca="false">('KPI framework'!$F10-'KPI framework'!H10)/ABS('KPI framework'!$F10)</f>
        <v>0.60421499343655</v>
      </c>
      <c r="S249" s="88" t="str">
        <f aca="false">"baseline"</f>
        <v>baseline</v>
      </c>
    </row>
    <row r="250" customFormat="false" ht="15" hidden="false" customHeight="false" outlineLevel="0" collapsed="false">
      <c r="P250" s="14" t="s">
        <v>479</v>
      </c>
      <c r="Q250" s="88" t="n">
        <f aca="false">('KPI framework'!$F11-'KPI framework'!G11)/ABS('KPI framework'!$F11)</f>
        <v>-0.037037037037037</v>
      </c>
      <c r="R250" s="88" t="n">
        <f aca="false">('KPI framework'!$F11-'KPI framework'!H11)/ABS('KPI framework'!$F11)</f>
        <v>0.851851851851852</v>
      </c>
      <c r="S250" s="88" t="str">
        <f aca="false">"baseline"</f>
        <v>baseline</v>
      </c>
    </row>
    <row r="251" customFormat="false" ht="15" hidden="false" customHeight="false" outlineLevel="0" collapsed="false">
      <c r="P251" s="14" t="s">
        <v>480</v>
      </c>
      <c r="Q251" s="88" t="n">
        <f aca="false">('KPI framework'!$F12-'KPI framework'!G12)/ABS('KPI framework'!$F12)</f>
        <v>0.526411657559199</v>
      </c>
      <c r="R251" s="88" t="n">
        <f aca="false">('KPI framework'!$F12-'KPI framework'!H12)/ABS('KPI framework'!$F12)</f>
        <v>0.963570127504554</v>
      </c>
      <c r="S251" s="88" t="str">
        <f aca="false">"baseline"</f>
        <v>baseline</v>
      </c>
    </row>
    <row r="252" customFormat="false" ht="15" hidden="false" customHeight="false" outlineLevel="0" collapsed="false">
      <c r="P252" s="14" t="s">
        <v>481</v>
      </c>
      <c r="Q252" s="88" t="n">
        <f aca="false">('KPI framework'!$F13-'KPI framework'!G13)/ABS('KPI framework'!$F13)</f>
        <v>-0.375928261174163</v>
      </c>
      <c r="R252" s="88" t="n">
        <f aca="false">('KPI framework'!$F13-'KPI framework'!H13)/ABS('KPI framework'!$F13)</f>
        <v>-1.28153752743917</v>
      </c>
      <c r="S252" s="88" t="str">
        <f aca="false">"baseline"</f>
        <v>baseline</v>
      </c>
    </row>
    <row r="253" customFormat="false" ht="15" hidden="false" customHeight="false" outlineLevel="0" collapsed="false">
      <c r="P253" s="14" t="s">
        <v>482</v>
      </c>
      <c r="Q253" s="88" t="n">
        <f aca="false">('KPI framework'!$F14-'KPI framework'!G14)/ABS('KPI framework'!$F14)</f>
        <v>0.536784941439371</v>
      </c>
      <c r="R253" s="88" t="n">
        <f aca="false">('KPI framework'!$F14-'KPI framework'!H14)/ABS('KPI framework'!$F14)</f>
        <v>0.672913736938856</v>
      </c>
      <c r="S253" s="88" t="str">
        <f aca="false">"baseline"</f>
        <v>baseline</v>
      </c>
    </row>
    <row r="254" customFormat="false" ht="15" hidden="false" customHeight="false" outlineLevel="0" collapsed="false">
      <c r="P254" s="14" t="s">
        <v>483</v>
      </c>
      <c r="Q254" s="88" t="n">
        <f aca="false">('KPI framework'!G15-'KPI framework'!$F15)/ABS('KPI framework'!$F15)</f>
        <v>0.342168223221492</v>
      </c>
      <c r="R254" s="88" t="n">
        <f aca="false">('KPI framework'!H15-'KPI framework'!$F15)/ABS('KPI framework'!$F15)</f>
        <v>2.16011235955056</v>
      </c>
      <c r="S254" s="88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14" t="s">
        <v>484</v>
      </c>
      <c r="Q255" s="88" t="n">
        <f aca="false">('KPI framework'!G16-'KPI framework'!$F16)/ABS('KPI framework'!$F16)</f>
        <v>0.0719330104923327</v>
      </c>
      <c r="R255" s="88" t="n">
        <f aca="false">('KPI framework'!H16-'KPI framework'!$F16)/ABS('KPI framework'!$F16)</f>
        <v>2.16911552866609</v>
      </c>
      <c r="S255" s="88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14" t="s">
        <v>485</v>
      </c>
      <c r="Q256" s="88" t="n">
        <f aca="false">('KPI framework'!$F17-'KPI framework'!G17)/ABS('KPI framework'!$F17)</f>
        <v>0.0876918904258202</v>
      </c>
      <c r="R256" s="88" t="n">
        <f aca="false">('KPI framework'!$F17-'KPI framework'!H17)/ABS('KPI framework'!$F17)</f>
        <v>1.06331236897275</v>
      </c>
      <c r="S256" s="88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14" t="s">
        <v>486</v>
      </c>
      <c r="Q257" s="88" t="n">
        <f aca="false">('KPI framework'!$F18-'KPI framework'!G18)/ABS('KPI framework'!$F18)</f>
        <v>0.0183283504484597</v>
      </c>
      <c r="R257" s="88" t="n">
        <f aca="false">('KPI framework'!$F18-'KPI framework'!H18)/ABS('KPI framework'!$F18)</f>
        <v>0.217582417582418</v>
      </c>
      <c r="S257" s="88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14" t="s">
        <v>487</v>
      </c>
      <c r="Q258" s="88" t="n">
        <f aca="false">('KPI framework'!G19-'KPI framework'!$F19)/ABS('KPI framework'!$F19)</f>
        <v>0.103954341622503</v>
      </c>
      <c r="R258" s="88" t="n">
        <f aca="false">('KPI framework'!H19-'KPI framework'!$F19)/ABS('KPI framework'!$F19)</f>
        <v>0.996344104164909</v>
      </c>
      <c r="S258" s="88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14" t="s">
        <v>488</v>
      </c>
      <c r="Q259" s="88" t="n">
        <f aca="false">('KPI framework'!$F20-'KPI framework'!G20)/ABS('KPI framework'!$F20)</f>
        <v>0.0783053671307865</v>
      </c>
      <c r="R259" s="88" t="n">
        <f aca="false">('KPI framework'!$F20-'KPI framework'!H20)/ABS('KPI framework'!$F20)</f>
        <v>0.0265604249667994</v>
      </c>
      <c r="S259" s="88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540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541</v>
      </c>
      <c r="B4" s="8" t="s">
        <v>7</v>
      </c>
      <c r="C4" s="8" t="s">
        <v>542</v>
      </c>
      <c r="D4" s="8" t="s">
        <v>543</v>
      </c>
      <c r="E4" s="8" t="s">
        <v>544</v>
      </c>
      <c r="F4" s="8" t="s">
        <v>545</v>
      </c>
      <c r="G4" s="8" t="s">
        <v>546</v>
      </c>
    </row>
    <row r="5" customFormat="false" ht="15" hidden="false" customHeight="false" outlineLevel="0" collapsed="false">
      <c r="A5" s="38" t="s">
        <v>547</v>
      </c>
      <c r="B5" s="38" t="s">
        <v>10</v>
      </c>
      <c r="C5" s="94" t="n">
        <v>126.9</v>
      </c>
      <c r="D5" s="67" t="n">
        <f aca="false">'Nutrient balance'!C8</f>
        <v>126.8736</v>
      </c>
      <c r="E5" s="67" t="n">
        <f aca="false">D5-C5</f>
        <v>-0.0263999999999953</v>
      </c>
      <c r="F5" s="92" t="str">
        <f aca="false">IF(ABS(E5)&lt;=0.1,"✓","check")</f>
        <v>✓</v>
      </c>
      <c r="G5" s="29" t="s">
        <v>548</v>
      </c>
    </row>
    <row r="6" customFormat="false" ht="15" hidden="false" customHeight="false" outlineLevel="0" collapsed="false">
      <c r="A6" s="38" t="s">
        <v>549</v>
      </c>
      <c r="B6" s="38" t="s">
        <v>10</v>
      </c>
      <c r="C6" s="67" t="n">
        <f aca="false">'Nutrient balance'!C12</f>
        <v>67.2</v>
      </c>
      <c r="D6" s="67" t="n">
        <f aca="false">'Nutrient balance'!C11</f>
        <v>67.2736</v>
      </c>
      <c r="E6" s="67" t="n">
        <f aca="false">D6-C6</f>
        <v>0.0736000000000132</v>
      </c>
      <c r="F6" s="92" t="str">
        <f aca="false">IF(ABS(E6)&lt;=0.2,"✓","check")</f>
        <v>✓</v>
      </c>
      <c r="G6" s="29" t="s">
        <v>550</v>
      </c>
    </row>
    <row r="7" customFormat="false" ht="15" hidden="false" customHeight="false" outlineLevel="0" collapsed="false">
      <c r="A7" s="38" t="s">
        <v>551</v>
      </c>
      <c r="B7" s="38" t="s">
        <v>10</v>
      </c>
      <c r="C7" s="67" t="n">
        <f aca="false">'LCIA (Annex 1)'!C98</f>
        <v>82261</v>
      </c>
      <c r="D7" s="67" t="n">
        <f aca="false">'LCI per tonne'!C12</f>
        <v>82270.1383238405</v>
      </c>
      <c r="E7" s="67" t="n">
        <f aca="false">D7-C7</f>
        <v>9.13832384052512</v>
      </c>
      <c r="F7" s="92" t="str">
        <f aca="false">IF(ABS(E7)&lt;=0.01*ABS(C7),"✓","check")</f>
        <v>✓</v>
      </c>
      <c r="G7" s="29" t="s">
        <v>552</v>
      </c>
    </row>
    <row r="8" customFormat="false" ht="15" hidden="false" customHeight="false" outlineLevel="0" collapsed="false">
      <c r="A8" s="38" t="s">
        <v>553</v>
      </c>
      <c r="B8" s="38" t="s">
        <v>10</v>
      </c>
      <c r="C8" s="67" t="n">
        <f aca="false">Inventory!C21</f>
        <v>1.72</v>
      </c>
      <c r="D8" s="67" t="n">
        <f aca="false">Inventory!C26</f>
        <v>1.7179253867152</v>
      </c>
      <c r="E8" s="67" t="n">
        <f aca="false">D8-C8</f>
        <v>-0.00207461328480441</v>
      </c>
      <c r="F8" s="92" t="str">
        <f aca="false">IF(ABS(E8)&lt;=0.02,"✓","check")</f>
        <v>✓</v>
      </c>
      <c r="G8" s="29" t="s">
        <v>554</v>
      </c>
    </row>
    <row r="9" customFormat="false" ht="15" hidden="false" customHeight="false" outlineLevel="0" collapsed="false">
      <c r="A9" s="38" t="s">
        <v>555</v>
      </c>
      <c r="B9" s="38" t="s">
        <v>10</v>
      </c>
      <c r="C9" s="67" t="n">
        <f aca="false">'LCIA (Annex 1)'!C91</f>
        <v>941</v>
      </c>
      <c r="D9" s="67" t="n">
        <f aca="false">'LCI per tonne'!C13</f>
        <v>959.337204010426</v>
      </c>
      <c r="E9" s="67" t="n">
        <f aca="false">D9-C9</f>
        <v>18.3372040104262</v>
      </c>
      <c r="F9" s="92" t="str">
        <f aca="false">IF(ABS(E9)&lt;=0.05*ABS(C9),"✓","check")</f>
        <v>✓</v>
      </c>
      <c r="G9" s="29" t="s">
        <v>556</v>
      </c>
    </row>
    <row r="10" customFormat="false" ht="15" hidden="false" customHeight="false" outlineLevel="0" collapsed="false">
      <c r="A10" s="38" t="s">
        <v>547</v>
      </c>
      <c r="B10" s="38" t="s">
        <v>14</v>
      </c>
      <c r="C10" s="94" t="n">
        <v>5.7</v>
      </c>
      <c r="D10" s="67" t="n">
        <f aca="false">'Nutrient balance'!D8</f>
        <v>5.696</v>
      </c>
      <c r="E10" s="67" t="n">
        <f aca="false">D10-C10</f>
        <v>-0.00399999999999956</v>
      </c>
      <c r="F10" s="92" t="str">
        <f aca="false">IF(ABS(E10)&lt;=0.1,"✓","check")</f>
        <v>✓</v>
      </c>
      <c r="G10" s="29" t="s">
        <v>548</v>
      </c>
    </row>
    <row r="11" customFormat="false" ht="15" hidden="false" customHeight="false" outlineLevel="0" collapsed="false">
      <c r="A11" s="38" t="s">
        <v>549</v>
      </c>
      <c r="B11" s="38" t="s">
        <v>14</v>
      </c>
      <c r="C11" s="67" t="n">
        <f aca="false">'Nutrient balance'!D12</f>
        <v>-0.5</v>
      </c>
      <c r="D11" s="67" t="n">
        <f aca="false">'Nutrient balance'!D11</f>
        <v>-0.603999999999999</v>
      </c>
      <c r="E11" s="67" t="n">
        <f aca="false">D11-C11</f>
        <v>-0.103999999999999</v>
      </c>
      <c r="F11" s="92" t="str">
        <f aca="false">IF(ABS(E11)&lt;=0.2,"✓","check")</f>
        <v>✓</v>
      </c>
      <c r="G11" s="29" t="s">
        <v>550</v>
      </c>
    </row>
    <row r="12" customFormat="false" ht="15" hidden="false" customHeight="false" outlineLevel="0" collapsed="false">
      <c r="A12" s="38" t="s">
        <v>551</v>
      </c>
      <c r="B12" s="38" t="s">
        <v>14</v>
      </c>
      <c r="C12" s="67" t="n">
        <f aca="false">'LCIA (Annex 1)'!D98</f>
        <v>45273</v>
      </c>
      <c r="D12" s="67" t="n">
        <f aca="false">'LCI per tonne'!D12</f>
        <v>45188.679245283</v>
      </c>
      <c r="E12" s="67" t="n">
        <f aca="false">D12-C12</f>
        <v>-84.3207547169805</v>
      </c>
      <c r="F12" s="92" t="str">
        <f aca="false">IF(ABS(E12)&lt;=0.01*ABS(C12),"✓","check")</f>
        <v>✓</v>
      </c>
      <c r="G12" s="29" t="s">
        <v>552</v>
      </c>
    </row>
    <row r="13" customFormat="false" ht="15" hidden="false" customHeight="false" outlineLevel="0" collapsed="false">
      <c r="A13" s="38" t="s">
        <v>553</v>
      </c>
      <c r="B13" s="38" t="s">
        <v>14</v>
      </c>
      <c r="C13" s="67" t="n">
        <f aca="false">Inventory!D21</f>
        <v>0.56</v>
      </c>
      <c r="D13" s="67" t="n">
        <f aca="false">Inventory!D26</f>
        <v>1.36923076923077</v>
      </c>
      <c r="E13" s="67" t="n">
        <f aca="false">D13-C13</f>
        <v>0.809230769230769</v>
      </c>
      <c r="F13" s="92" t="str">
        <f aca="false">IF(ABS(E13)&lt;=0.02,"✓","check")</f>
        <v>check</v>
      </c>
      <c r="G13" s="29" t="s">
        <v>557</v>
      </c>
    </row>
    <row r="14" customFormat="false" ht="15" hidden="false" customHeight="false" outlineLevel="0" collapsed="false">
      <c r="A14" s="38" t="s">
        <v>555</v>
      </c>
      <c r="B14" s="38" t="s">
        <v>14</v>
      </c>
      <c r="C14" s="67" t="n">
        <f aca="false">'LCIA (Annex 1)'!D91</f>
        <v>4194</v>
      </c>
      <c r="D14" s="67" t="n">
        <f aca="false">'LCI per tonne'!D13</f>
        <v>4221.5998427673</v>
      </c>
      <c r="E14" s="67" t="n">
        <f aca="false">D14-C14</f>
        <v>27.5998427672957</v>
      </c>
      <c r="F14" s="92" t="str">
        <f aca="false">IF(ABS(E14)&lt;=0.05*ABS(C14),"✓","check")</f>
        <v>✓</v>
      </c>
      <c r="G14" s="29" t="s">
        <v>556</v>
      </c>
    </row>
    <row r="15" customFormat="false" ht="15" hidden="false" customHeight="false" outlineLevel="0" collapsed="false">
      <c r="A15" s="38" t="s">
        <v>547</v>
      </c>
      <c r="B15" s="38" t="s">
        <v>18</v>
      </c>
      <c r="C15" s="94" t="n">
        <v>737.5</v>
      </c>
      <c r="D15" s="67" t="n">
        <f aca="false">'Nutrient balance'!E8</f>
        <v>737.52</v>
      </c>
      <c r="E15" s="67" t="n">
        <f aca="false">D15-C15</f>
        <v>0.0199999999999818</v>
      </c>
      <c r="F15" s="92" t="str">
        <f aca="false">IF(ABS(E15)&lt;=0.1,"✓","check")</f>
        <v>✓</v>
      </c>
      <c r="G15" s="29" t="s">
        <v>548</v>
      </c>
    </row>
    <row r="16" customFormat="false" ht="15" hidden="false" customHeight="false" outlineLevel="0" collapsed="false">
      <c r="A16" s="38" t="s">
        <v>549</v>
      </c>
      <c r="B16" s="38" t="s">
        <v>18</v>
      </c>
      <c r="C16" s="67" t="n">
        <f aca="false">'Nutrient balance'!E12</f>
        <v>588.7</v>
      </c>
      <c r="D16" s="67" t="n">
        <f aca="false">'Nutrient balance'!E11</f>
        <v>588.72</v>
      </c>
      <c r="E16" s="67" t="n">
        <f aca="false">D16-C16</f>
        <v>0.0199999999999818</v>
      </c>
      <c r="F16" s="92" t="str">
        <f aca="false">IF(ABS(E16)&lt;=0.2,"✓","check")</f>
        <v>✓</v>
      </c>
      <c r="G16" s="29" t="s">
        <v>550</v>
      </c>
    </row>
    <row r="17" customFormat="false" ht="15" hidden="false" customHeight="false" outlineLevel="0" collapsed="false">
      <c r="A17" s="38" t="s">
        <v>551</v>
      </c>
      <c r="B17" s="38" t="s">
        <v>18</v>
      </c>
      <c r="C17" s="67" t="n">
        <f aca="false">'LCIA (Annex 1)'!E98</f>
        <v>195829</v>
      </c>
      <c r="D17" s="67" t="n">
        <f aca="false">'LCI per tonne'!E12</f>
        <v>195822.71468144</v>
      </c>
      <c r="E17" s="67" t="n">
        <f aca="false">D17-C17</f>
        <v>-6.28531855953042</v>
      </c>
      <c r="F17" s="92" t="str">
        <f aca="false">IF(ABS(E17)&lt;=0.01*ABS(C17),"✓","check")</f>
        <v>✓</v>
      </c>
      <c r="G17" s="29" t="s">
        <v>552</v>
      </c>
    </row>
    <row r="18" customFormat="false" ht="15" hidden="false" customHeight="false" outlineLevel="0" collapsed="false">
      <c r="A18" s="38" t="s">
        <v>553</v>
      </c>
      <c r="B18" s="38" t="s">
        <v>18</v>
      </c>
      <c r="C18" s="67" t="n">
        <f aca="false">Inventory!E21</f>
        <v>1.79</v>
      </c>
      <c r="D18" s="67" t="n">
        <f aca="false">Inventory!E26</f>
        <v>1.78833306175656</v>
      </c>
      <c r="E18" s="67" t="n">
        <f aca="false">D18-C18</f>
        <v>-0.00166693824344155</v>
      </c>
      <c r="F18" s="92" t="str">
        <f aca="false">IF(ABS(E18)&lt;=0.02,"✓","check")</f>
        <v>✓</v>
      </c>
      <c r="G18" s="29" t="s">
        <v>554</v>
      </c>
    </row>
    <row r="19" customFormat="false" ht="15" hidden="false" customHeight="false" outlineLevel="0" collapsed="false">
      <c r="A19" s="38" t="s">
        <v>555</v>
      </c>
      <c r="B19" s="38" t="s">
        <v>18</v>
      </c>
      <c r="C19" s="67" t="n">
        <f aca="false">'LCIA (Annex 1)'!E91</f>
        <v>460</v>
      </c>
      <c r="D19" s="67" t="n">
        <f aca="false">'LCI per tonne'!E13</f>
        <v>2288.83985163623</v>
      </c>
      <c r="E19" s="67" t="n">
        <f aca="false">D19-C19</f>
        <v>1828.83985163623</v>
      </c>
      <c r="F19" s="92" t="str">
        <f aca="false">IF(ABS(E19)&lt;=0.05*ABS(C19),"✓","check")</f>
        <v>check</v>
      </c>
      <c r="G19" s="29" t="s">
        <v>558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73</v>
      </c>
    </row>
    <row r="2" customFormat="false" ht="15" hidden="false" customHeight="false" outlineLevel="0" collapsed="false">
      <c r="A2" s="29" t="s">
        <v>108</v>
      </c>
    </row>
    <row r="4" customFormat="false" ht="39.55" hidden="false" customHeight="false" outlineLevel="0" collapsed="false">
      <c r="A4" s="34" t="s">
        <v>559</v>
      </c>
      <c r="B4" s="100" t="s">
        <v>560</v>
      </c>
    </row>
    <row r="5" customFormat="false" ht="26.85" hidden="false" customHeight="false" outlineLevel="0" collapsed="false">
      <c r="A5" s="34" t="s">
        <v>561</v>
      </c>
      <c r="B5" s="100" t="s">
        <v>562</v>
      </c>
    </row>
    <row r="6" customFormat="false" ht="15" hidden="false" customHeight="false" outlineLevel="0" collapsed="false">
      <c r="A6" s="34" t="s">
        <v>127</v>
      </c>
      <c r="B6" s="100" t="s">
        <v>563</v>
      </c>
    </row>
    <row r="7" customFormat="false" ht="26.85" hidden="false" customHeight="false" outlineLevel="0" collapsed="false">
      <c r="A7" s="34" t="s">
        <v>46</v>
      </c>
      <c r="B7" s="100" t="s">
        <v>564</v>
      </c>
    </row>
    <row r="8" customFormat="false" ht="26.85" hidden="false" customHeight="false" outlineLevel="0" collapsed="false">
      <c r="A8" s="34" t="s">
        <v>130</v>
      </c>
      <c r="B8" s="100" t="s">
        <v>565</v>
      </c>
    </row>
    <row r="9" customFormat="false" ht="39.55" hidden="false" customHeight="false" outlineLevel="0" collapsed="false">
      <c r="A9" s="34" t="s">
        <v>566</v>
      </c>
      <c r="B9" s="100" t="s">
        <v>567</v>
      </c>
    </row>
    <row r="10" customFormat="false" ht="26.85" hidden="false" customHeight="false" outlineLevel="0" collapsed="false">
      <c r="A10" s="34" t="s">
        <v>568</v>
      </c>
      <c r="B10" s="100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2026-10-26T13:14:51Z</dcterms:created>
  <dc:creator>openpyxl</dc:creator>
  <dc:description/>
  <dc:language>en-US</dc:language>
  <cp:lastModifiedBy/>
  <dcterms:modified xsi:type="dcterms:W3CDTF">2026-10-26T13:14:54Z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