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hidePivotFieldList="1" defaultThemeVersion="166925"/>
  <mc:AlternateContent xmlns:mc="http://schemas.openxmlformats.org/markup-compatibility/2006">
    <mc:Choice Requires="x15">
      <x15ac:absPath xmlns:x15ac="http://schemas.microsoft.com/office/spreadsheetml/2010/11/ac" url="C:\Mallik\KM\Resume\"/>
    </mc:Choice>
  </mc:AlternateContent>
  <xr:revisionPtr revIDLastSave="0" documentId="8_{F7D0A6D0-3AF2-42FD-8D42-1082C71A974B}" xr6:coauthVersionLast="47" xr6:coauthVersionMax="47" xr10:uidLastSave="{00000000-0000-0000-0000-000000000000}"/>
  <workbookProtection workbookAlgorithmName="SHA-512" workbookHashValue="ORu4fxJYILZ6kRPBiTzstIrCG6sZo1T3QmSvC1JsmN8+Z0kFmVxn11JYdFMs2NaChHN4sYsePb1vagv9ohJ2WQ==" workbookSaltValue="0B0AAvrj659RAM+Y66TEWg==" workbookSpinCount="100000" lockStructure="1"/>
  <bookViews>
    <workbookView xWindow="-120" yWindow="-120" windowWidth="20730" windowHeight="10830" firstSheet="2" activeTab="2" xr2:uid="{48582C60-F4E7-470D-A093-57F0E9710019}"/>
  </bookViews>
  <sheets>
    <sheet name="PIVOTS" sheetId="2" state="hidden" r:id="rId1"/>
    <sheet name="Read" sheetId="6" state="hidden" r:id="rId2"/>
    <sheet name="Dashboard" sheetId="3" r:id="rId3"/>
    <sheet name="Dashboard 2" sheetId="7" state="hidden" r:id="rId4"/>
    <sheet name="BaseData" sheetId="1" state="hidden" r:id="rId5"/>
    <sheet name="Backlog Health" sheetId="4" state="hidden" r:id="rId6"/>
    <sheet name="Speedometer" sheetId="5" state="hidden" r:id="rId7"/>
  </sheets>
  <definedNames>
    <definedName name="Slicer_Team">#N/A</definedName>
  </definedNames>
  <calcPr calcId="191028"/>
  <pivotCaches>
    <pivotCache cacheId="1399"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4" l="1"/>
  <c r="B10" i="4"/>
  <c r="B9" i="4"/>
  <c r="B8" i="4"/>
  <c r="B7" i="4"/>
  <c r="B6" i="4"/>
  <c r="B5" i="4"/>
  <c r="B4" i="4"/>
  <c r="B3" i="4"/>
  <c r="E4" i="4"/>
  <c r="E5" i="4"/>
  <c r="E6" i="4"/>
  <c r="E7" i="4"/>
  <c r="E8" i="4"/>
  <c r="E9" i="4"/>
  <c r="E10" i="4"/>
  <c r="E11" i="4"/>
  <c r="E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Q9" i="2"/>
  <c r="Q7" i="2"/>
  <c r="Q8" i="2"/>
  <c r="Q6" i="2"/>
  <c r="Q5" i="2"/>
  <c r="Q4" i="2"/>
  <c r="Q10" i="2" l="1"/>
  <c r="S10" i="2" s="1"/>
  <c r="C15" i="4"/>
  <c r="S7" i="2" l="1"/>
  <c r="S5" i="2"/>
  <c r="S4" i="2"/>
  <c r="S9" i="2"/>
  <c r="S6" i="2"/>
  <c r="S8" i="2"/>
  <c r="R5" i="2"/>
  <c r="R6" i="2"/>
  <c r="R7" i="2"/>
  <c r="R9" i="2"/>
  <c r="R8" i="2"/>
  <c r="R4" i="2"/>
  <c r="R10" i="2"/>
  <c r="K7" i="3"/>
  <c r="D3" i="4"/>
  <c r="D4" i="4"/>
  <c r="D5" i="4"/>
  <c r="D6" i="4"/>
  <c r="D7" i="4"/>
  <c r="D8" i="4"/>
  <c r="D9" i="4"/>
  <c r="D10" i="4"/>
  <c r="N2" i="1"/>
  <c r="Q2" i="1" s="1"/>
  <c r="N3" i="1"/>
  <c r="Q3" i="1" s="1"/>
  <c r="N4" i="1"/>
  <c r="Q4" i="1" s="1"/>
  <c r="N5" i="1"/>
  <c r="Q5" i="1" s="1"/>
  <c r="N6" i="1"/>
  <c r="Q6" i="1" s="1"/>
  <c r="N7" i="1"/>
  <c r="Q7" i="1" s="1"/>
  <c r="N8" i="1"/>
  <c r="Q8" i="1" s="1"/>
  <c r="N9" i="1"/>
  <c r="Q9" i="1" s="1"/>
  <c r="N10" i="1"/>
  <c r="Q10" i="1" s="1"/>
  <c r="N11" i="1"/>
  <c r="Q11" i="1" s="1"/>
  <c r="N12" i="1"/>
  <c r="Q12" i="1" s="1"/>
  <c r="N13" i="1"/>
  <c r="Q13" i="1" s="1"/>
  <c r="N14" i="1"/>
  <c r="Q14" i="1" s="1"/>
  <c r="N15" i="1"/>
  <c r="Q15" i="1" s="1"/>
  <c r="N16" i="1"/>
  <c r="Q16" i="1" s="1"/>
  <c r="N17" i="1"/>
  <c r="Q17" i="1" s="1"/>
  <c r="N18" i="1"/>
  <c r="Q18" i="1" s="1"/>
  <c r="N19" i="1"/>
  <c r="Q19" i="1" s="1"/>
  <c r="N20" i="1"/>
  <c r="Q20" i="1" s="1"/>
  <c r="N21" i="1"/>
  <c r="Q21" i="1" s="1"/>
  <c r="N22" i="1"/>
  <c r="Q22" i="1" s="1"/>
  <c r="N23" i="1"/>
  <c r="Q23" i="1" s="1"/>
  <c r="N24" i="1"/>
  <c r="Q24" i="1" s="1"/>
  <c r="N25" i="1"/>
  <c r="Q25" i="1" s="1"/>
  <c r="N26" i="1"/>
  <c r="Q26" i="1" s="1"/>
  <c r="N27" i="1"/>
  <c r="Q27" i="1" s="1"/>
  <c r="N28" i="1"/>
  <c r="Q28" i="1" s="1"/>
  <c r="N29" i="1"/>
  <c r="Q29" i="1" s="1"/>
  <c r="N30" i="1"/>
  <c r="Q30" i="1" s="1"/>
  <c r="N31" i="1"/>
  <c r="Q31" i="1" s="1"/>
  <c r="N32" i="1"/>
  <c r="Q32" i="1" s="1"/>
  <c r="N33" i="1"/>
  <c r="Q33" i="1" s="1"/>
  <c r="N34" i="1"/>
  <c r="Q34" i="1" s="1"/>
  <c r="N35" i="1"/>
  <c r="Q35" i="1" s="1"/>
  <c r="N36" i="1"/>
  <c r="Q36" i="1" s="1"/>
  <c r="N37" i="1"/>
  <c r="Q37" i="1" s="1"/>
  <c r="N38" i="1"/>
  <c r="Q38" i="1" s="1"/>
  <c r="N39" i="1"/>
  <c r="Q39" i="1" s="1"/>
  <c r="N40" i="1"/>
  <c r="Q40" i="1" s="1"/>
  <c r="N41" i="1"/>
  <c r="Q41" i="1" s="1"/>
  <c r="N42" i="1"/>
  <c r="Q42" i="1" s="1"/>
  <c r="N43" i="1"/>
  <c r="Q43" i="1" s="1"/>
  <c r="N44" i="1"/>
  <c r="Q44" i="1" s="1"/>
  <c r="N45" i="1"/>
  <c r="Q45" i="1" s="1"/>
  <c r="N46" i="1"/>
  <c r="Q46" i="1" s="1"/>
  <c r="N47" i="1"/>
  <c r="Q47" i="1" s="1"/>
  <c r="N48" i="1"/>
  <c r="Q48" i="1" s="1"/>
  <c r="N49" i="1"/>
  <c r="Q49" i="1" s="1"/>
  <c r="N50" i="1"/>
  <c r="Q50" i="1" s="1"/>
  <c r="N51" i="1"/>
  <c r="Q51" i="1" s="1"/>
  <c r="N52" i="1"/>
  <c r="Q52" i="1" s="1"/>
  <c r="N53" i="1"/>
  <c r="Q53" i="1" s="1"/>
  <c r="N54" i="1"/>
  <c r="Q54" i="1" s="1"/>
  <c r="N55" i="1"/>
  <c r="Q55" i="1" s="1"/>
  <c r="D11" i="4" l="1"/>
  <c r="D15" i="4" s="1"/>
  <c r="B15" i="4"/>
  <c r="K5" i="3" l="1"/>
  <c r="K9" i="3" s="1"/>
  <c r="B10" i="5"/>
  <c r="D6" i="5"/>
  <c r="D8" i="5" s="1"/>
</calcChain>
</file>

<file path=xl/sharedStrings.xml><?xml version="1.0" encoding="utf-8"?>
<sst xmlns="http://schemas.openxmlformats.org/spreadsheetml/2006/main" count="334" uniqueCount="83">
  <si>
    <t>Row Labels</t>
  </si>
  <si>
    <t>Committed</t>
  </si>
  <si>
    <t>Injected</t>
  </si>
  <si>
    <t>Delivered</t>
  </si>
  <si>
    <t>Defect Leakage.</t>
  </si>
  <si>
    <t>Sum of Capacity Utilization</t>
  </si>
  <si>
    <t>Sprint</t>
  </si>
  <si>
    <t>Delivered SP</t>
  </si>
  <si>
    <t>Flactuation</t>
  </si>
  <si>
    <t>Velocity Flactuation</t>
  </si>
  <si>
    <t>Committment Reliability.</t>
  </si>
  <si>
    <t>Sum of Scope_Change</t>
  </si>
  <si>
    <t>Sprint 1</t>
  </si>
  <si>
    <t>Avengers</t>
  </si>
  <si>
    <t>Sprint 2</t>
  </si>
  <si>
    <t>Grand Total</t>
  </si>
  <si>
    <t>Sprint 3</t>
  </si>
  <si>
    <t>Sprint 4</t>
  </si>
  <si>
    <t>Sprint 5</t>
  </si>
  <si>
    <t>Sprint 6</t>
  </si>
  <si>
    <t>Average</t>
  </si>
  <si>
    <t>Sprint Name</t>
  </si>
  <si>
    <t>Capacity (Hrs)</t>
  </si>
  <si>
    <t>Workload (Hrs)</t>
  </si>
  <si>
    <t>Capacity UtIlization</t>
  </si>
  <si>
    <t>Committment Reliability</t>
  </si>
  <si>
    <t>Defects during Sprint</t>
  </si>
  <si>
    <t>Remaining defects after sprint</t>
  </si>
  <si>
    <t>Backlog Health Index</t>
  </si>
  <si>
    <t>&lt; Average Velocity</t>
  </si>
  <si>
    <t>&gt;Average Velocity and &lt; 2</t>
  </si>
  <si>
    <t>&gt; 2 and &lt; 3</t>
  </si>
  <si>
    <t>&gt;3</t>
  </si>
  <si>
    <t>Formula =(Workload/Capacity)*100</t>
  </si>
  <si>
    <t>Commitment Reliability = 100*(Delivered/Committed)</t>
  </si>
  <si>
    <t>Defect Leakage = 100*(Demaining defects after sprint/defects during sprint)</t>
  </si>
  <si>
    <t>ABC Banking App  Metrics</t>
  </si>
  <si>
    <t>Scrum Teams</t>
  </si>
  <si>
    <t>Average Velocity</t>
  </si>
  <si>
    <t>PBL Groomed Stories</t>
  </si>
  <si>
    <t>For any queries, please contact</t>
  </si>
  <si>
    <t>Mallikarjun Naik</t>
  </si>
  <si>
    <t>mv_naik@hotmail.com</t>
  </si>
  <si>
    <t>ABC Banking App Agile Metrics</t>
  </si>
  <si>
    <t>Mallikarjun Naik (mv_naik@hotmail.com)</t>
  </si>
  <si>
    <t>Program Name</t>
  </si>
  <si>
    <t>Team</t>
  </si>
  <si>
    <t>Iteration</t>
  </si>
  <si>
    <t>Start Date</t>
  </si>
  <si>
    <t>End Date</t>
  </si>
  <si>
    <t>Committed SP</t>
  </si>
  <si>
    <t>Injectd SP</t>
  </si>
  <si>
    <t>Descoped</t>
  </si>
  <si>
    <t>Teamsize</t>
  </si>
  <si>
    <t>Defects</t>
  </si>
  <si>
    <t>Remaining Defects</t>
  </si>
  <si>
    <t>Leaves</t>
  </si>
  <si>
    <t>Available Capacity</t>
  </si>
  <si>
    <t>Workload</t>
  </si>
  <si>
    <t>Defect Leakage</t>
  </si>
  <si>
    <t>Capacity Utilization</t>
  </si>
  <si>
    <t>Next Generation Banking App</t>
  </si>
  <si>
    <t>Goalkeepers</t>
  </si>
  <si>
    <t>Sapient</t>
  </si>
  <si>
    <t>Titans</t>
  </si>
  <si>
    <t>Optimizers</t>
  </si>
  <si>
    <t>Solvers</t>
  </si>
  <si>
    <t>Spartans</t>
  </si>
  <si>
    <t>Maximizers</t>
  </si>
  <si>
    <t>Visionaries</t>
  </si>
  <si>
    <t>Story Points in PBL</t>
  </si>
  <si>
    <t>Backlog Health</t>
  </si>
  <si>
    <t>Flag</t>
  </si>
  <si>
    <t>Expected</t>
  </si>
  <si>
    <t>Velocity</t>
  </si>
  <si>
    <t>PBL Groomed SP</t>
  </si>
  <si>
    <t>Label</t>
  </si>
  <si>
    <t>RAG</t>
  </si>
  <si>
    <t>Value</t>
  </si>
  <si>
    <t>&lt;AV</t>
  </si>
  <si>
    <t>1XAV</t>
  </si>
  <si>
    <t>2XAV</t>
  </si>
  <si>
    <t>3XAV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</si>
</sst>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2"/>
      <color theme="1"/>
      <name val="Calibri"/>
      <family val="2"/>
      <scheme val="minor"/>
    </font>
    <font>
      <b/>
      <sz val="10"/>
      <color theme="1"/>
      <name val="Calibri"/>
      <family val="2"/>
      <scheme val="minor"/>
    </font>
    <font>
      <b/>
      <sz val="11"/>
      <color theme="0"/>
      <name val="Calibri"/>
      <family val="2"/>
      <scheme val="minor"/>
    </font>
    <font>
      <b/>
      <sz val="8"/>
      <color theme="1"/>
      <name val="Calibri"/>
      <family val="2"/>
      <scheme val="minor"/>
    </font>
    <font>
      <b/>
      <sz val="11"/>
      <color theme="1"/>
      <name val="Calibri"/>
      <family val="2"/>
      <scheme val="minor"/>
    </font>
    <font>
      <b/>
      <sz val="11"/>
      <color rgb="FFFF0000"/>
      <name val="Calibri"/>
      <family val="2"/>
      <scheme val="minor"/>
    </font>
    <font>
      <sz val="8"/>
      <color rgb="FFFF0000"/>
      <name val="Calibri"/>
      <family val="2"/>
      <scheme val="minor"/>
    </font>
    <font>
      <b/>
      <sz val="10"/>
      <color theme="0"/>
      <name val="Calibri"/>
      <family val="2"/>
      <scheme val="minor"/>
    </font>
    <font>
      <sz val="9"/>
      <color theme="1"/>
      <name val="Calibri"/>
      <family val="2"/>
      <scheme val="minor"/>
    </font>
    <font>
      <u/>
      <sz val="11"/>
      <color theme="10"/>
      <name val="Calibri"/>
      <family val="2"/>
      <scheme val="minor"/>
    </font>
    <font>
      <sz val="8"/>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15"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0" borderId="0" xfId="0" applyProtection="1">
      <protection locked="0"/>
    </xf>
    <xf numFmtId="0" fontId="4" fillId="0" borderId="0" xfId="0" applyFont="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4" xfId="0" applyBorder="1" applyProtection="1">
      <protection locked="0"/>
    </xf>
    <xf numFmtId="0" fontId="2" fillId="0" borderId="0" xfId="0" applyFont="1"/>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1" xfId="0" applyBorder="1" applyProtection="1">
      <protection locked="0"/>
    </xf>
    <xf numFmtId="0" fontId="1" fillId="0" borderId="0" xfId="0" applyFont="1" applyAlignment="1" applyProtection="1">
      <alignment vertical="top" wrapText="1"/>
      <protection locked="0"/>
    </xf>
    <xf numFmtId="0" fontId="0" fillId="0" borderId="0" xfId="0" applyAlignment="1">
      <alignment vertical="top" wrapText="1"/>
    </xf>
    <xf numFmtId="0" fontId="3" fillId="3" borderId="2" xfId="0" applyFont="1" applyFill="1" applyBorder="1" applyProtection="1">
      <protection locked="0"/>
    </xf>
    <xf numFmtId="0" fontId="5" fillId="4" borderId="2" xfId="0" applyFont="1" applyFill="1" applyBorder="1" applyProtection="1">
      <protection locked="0"/>
    </xf>
    <xf numFmtId="0" fontId="0" fillId="0" borderId="0" xfId="0" applyAlignment="1" applyProtection="1">
      <alignment horizontal="center" vertical="center"/>
      <protection locked="0"/>
    </xf>
    <xf numFmtId="0" fontId="5" fillId="5" borderId="9" xfId="0" applyFont="1" applyFill="1" applyBorder="1" applyAlignment="1">
      <alignment vertical="top" wrapText="1"/>
    </xf>
    <xf numFmtId="0" fontId="0" fillId="0" borderId="9" xfId="0" applyBorder="1" applyAlignment="1">
      <alignment horizontal="left"/>
    </xf>
    <xf numFmtId="0" fontId="0" fillId="0" borderId="9" xfId="0" applyBorder="1"/>
    <xf numFmtId="10" fontId="0" fillId="0" borderId="9" xfId="0" applyNumberFormat="1" applyBorder="1"/>
    <xf numFmtId="0" fontId="6" fillId="0" borderId="0" xfId="0" applyFont="1" applyAlignment="1">
      <alignment horizontal="left"/>
    </xf>
    <xf numFmtId="0" fontId="7" fillId="0" borderId="0" xfId="0" applyFont="1" applyProtection="1">
      <protection locked="0"/>
    </xf>
    <xf numFmtId="0" fontId="0" fillId="6" borderId="9" xfId="0" applyFill="1" applyBorder="1"/>
    <xf numFmtId="0" fontId="0" fillId="7" borderId="9" xfId="0" applyFill="1" applyBorder="1"/>
    <xf numFmtId="0" fontId="0" fillId="8" borderId="9" xfId="0" applyFill="1" applyBorder="1"/>
    <xf numFmtId="0" fontId="0" fillId="9" borderId="9" xfId="0" applyFill="1" applyBorder="1"/>
    <xf numFmtId="1" fontId="0" fillId="0" borderId="0" xfId="0" applyNumberFormat="1"/>
    <xf numFmtId="0" fontId="2" fillId="4" borderId="0" xfId="0" applyFont="1" applyFill="1"/>
    <xf numFmtId="0" fontId="8" fillId="3" borderId="0" xfId="0" applyFont="1" applyFill="1"/>
    <xf numFmtId="0" fontId="4" fillId="0" borderId="0" xfId="0" applyFont="1"/>
    <xf numFmtId="0" fontId="0" fillId="0" borderId="9" xfId="0" applyBorder="1" applyAlignment="1">
      <alignment vertical="top" wrapText="1"/>
    </xf>
    <xf numFmtId="10" fontId="0" fillId="0" borderId="9" xfId="0" applyNumberFormat="1" applyBorder="1" applyAlignment="1">
      <alignment vertical="top" wrapText="1"/>
    </xf>
    <xf numFmtId="0" fontId="9" fillId="0" borderId="9" xfId="0" applyFont="1" applyBorder="1"/>
    <xf numFmtId="10" fontId="0" fillId="0" borderId="9" xfId="0" applyNumberFormat="1" applyBorder="1" applyAlignment="1">
      <alignment vertical="top"/>
    </xf>
    <xf numFmtId="0" fontId="0" fillId="0" borderId="0" xfId="0" applyAlignment="1" applyProtection="1">
      <alignment vertical="top" wrapText="1"/>
      <protection locked="0"/>
    </xf>
    <xf numFmtId="0" fontId="3" fillId="2" borderId="0" xfId="0" applyFont="1" applyFill="1" applyAlignment="1" applyProtection="1">
      <alignment vertical="center"/>
      <protection locked="0"/>
    </xf>
    <xf numFmtId="2" fontId="0" fillId="0" borderId="0" xfId="0" applyNumberFormat="1" applyAlignment="1" applyProtection="1">
      <alignment horizontal="center" vertical="center"/>
      <protection locked="0"/>
    </xf>
    <xf numFmtId="0" fontId="2" fillId="0" borderId="0" xfId="0" applyFont="1" applyProtection="1">
      <protection locked="0"/>
    </xf>
    <xf numFmtId="0" fontId="11" fillId="0" borderId="0" xfId="0" applyFont="1"/>
    <xf numFmtId="0" fontId="10" fillId="0" borderId="0" xfId="1" applyProtection="1"/>
    <xf numFmtId="0" fontId="5" fillId="10" borderId="9" xfId="0" applyFont="1" applyFill="1" applyBorder="1" applyAlignment="1">
      <alignment horizontal="center" vertical="center"/>
    </xf>
    <xf numFmtId="0" fontId="9" fillId="0" borderId="10" xfId="0" applyFont="1" applyBorder="1" applyAlignment="1">
      <alignment vertical="top" wrapText="1"/>
    </xf>
    <xf numFmtId="0" fontId="9" fillId="0" borderId="9" xfId="0" applyFont="1" applyBorder="1" applyAlignment="1">
      <alignment vertical="top" wrapText="1"/>
    </xf>
    <xf numFmtId="0" fontId="0" fillId="0" borderId="11" xfId="0" applyBorder="1" applyAlignment="1"/>
    <xf numFmtId="0" fontId="0" fillId="0" borderId="12" xfId="0" applyBorder="1" applyAlignment="1"/>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164" formatCode="d\-mmm\-yy"/>
    </dxf>
    <dxf>
      <numFmt numFmtId="164" formatCode="d\-m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Committed Vs Delivered with Injections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Committed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PIVOTS!$B$4:$B$10</c:f>
              <c:numCache>
                <c:formatCode>General</c:formatCode>
                <c:ptCount val="6"/>
                <c:pt idx="0">
                  <c:v>35</c:v>
                </c:pt>
                <c:pt idx="1">
                  <c:v>25</c:v>
                </c:pt>
                <c:pt idx="2">
                  <c:v>27</c:v>
                </c:pt>
                <c:pt idx="3">
                  <c:v>29</c:v>
                </c:pt>
                <c:pt idx="4">
                  <c:v>30</c:v>
                </c:pt>
                <c:pt idx="5">
                  <c:v>32</c:v>
                </c:pt>
              </c:numCache>
            </c:numRef>
          </c:val>
          <c:extLst>
            <c:ext xmlns:c16="http://schemas.microsoft.com/office/drawing/2014/chart" uri="{C3380CC4-5D6E-409C-BE32-E72D297353CC}">
              <c16:uniqueId val="{00000000-E44E-4278-A411-620A923882C3}"/>
            </c:ext>
          </c:extLst>
        </c:ser>
        <c:ser>
          <c:idx val="1"/>
          <c:order val="1"/>
          <c:tx>
            <c:strRef>
              <c:f>PIVOTS!$C$3</c:f>
              <c:strCache>
                <c:ptCount val="1"/>
                <c:pt idx="0">
                  <c:v>Injected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PIVOTS!$C$4:$C$10</c:f>
              <c:numCache>
                <c:formatCode>General</c:formatCode>
                <c:ptCount val="6"/>
                <c:pt idx="0">
                  <c:v>21</c:v>
                </c:pt>
                <c:pt idx="1">
                  <c:v>5</c:v>
                </c:pt>
                <c:pt idx="2">
                  <c:v>0</c:v>
                </c:pt>
                <c:pt idx="3">
                  <c:v>0</c:v>
                </c:pt>
                <c:pt idx="4">
                  <c:v>0</c:v>
                </c:pt>
                <c:pt idx="5">
                  <c:v>0</c:v>
                </c:pt>
              </c:numCache>
            </c:numRef>
          </c:val>
          <c:extLst>
            <c:ext xmlns:c16="http://schemas.microsoft.com/office/drawing/2014/chart" uri="{C3380CC4-5D6E-409C-BE32-E72D297353CC}">
              <c16:uniqueId val="{00000001-E44E-4278-A411-620A923882C3}"/>
            </c:ext>
          </c:extLst>
        </c:ser>
        <c:ser>
          <c:idx val="2"/>
          <c:order val="2"/>
          <c:tx>
            <c:strRef>
              <c:f>PIVOTS!$D$3</c:f>
              <c:strCache>
                <c:ptCount val="1"/>
                <c:pt idx="0">
                  <c:v>Delivered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PIVOTS!$D$4:$D$10</c:f>
              <c:numCache>
                <c:formatCode>General</c:formatCode>
                <c:ptCount val="6"/>
                <c:pt idx="0">
                  <c:v>22</c:v>
                </c:pt>
                <c:pt idx="1">
                  <c:v>28</c:v>
                </c:pt>
                <c:pt idx="2">
                  <c:v>27</c:v>
                </c:pt>
                <c:pt idx="3">
                  <c:v>29</c:v>
                </c:pt>
                <c:pt idx="4">
                  <c:v>30</c:v>
                </c:pt>
                <c:pt idx="5">
                  <c:v>28</c:v>
                </c:pt>
              </c:numCache>
            </c:numRef>
          </c:val>
          <c:extLst>
            <c:ext xmlns:c16="http://schemas.microsoft.com/office/drawing/2014/chart" uri="{C3380CC4-5D6E-409C-BE32-E72D297353CC}">
              <c16:uniqueId val="{00000002-E44E-4278-A411-620A923882C3}"/>
            </c:ext>
          </c:extLst>
        </c:ser>
        <c:dLbls>
          <c:dLblPos val="outEnd"/>
          <c:showLegendKey val="0"/>
          <c:showVal val="1"/>
          <c:showCatName val="0"/>
          <c:showSerName val="0"/>
          <c:showPercent val="0"/>
          <c:showBubbleSize val="0"/>
        </c:dLbls>
        <c:gapWidth val="219"/>
        <c:overlap val="-27"/>
        <c:axId val="427735104"/>
        <c:axId val="427734272"/>
      </c:barChart>
      <c:catAx>
        <c:axId val="4277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4272"/>
        <c:crosses val="autoZero"/>
        <c:auto val="1"/>
        <c:lblAlgn val="ctr"/>
        <c:lblOffset val="100"/>
        <c:noMultiLvlLbl val="0"/>
      </c:catAx>
      <c:valAx>
        <c:axId val="427734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73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[Agile_Team_Metrics_Ver1.0.xlsx]PIVOTS!PivotTable6</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Capacity Utilization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PIVOTS!$K$4:$K$10</c:f>
              <c:strCache>
                <c:ptCount val="6"/>
                <c:pt idx="0">
                  <c:v>Sprint 1</c:v>
                </c:pt>
                <c:pt idx="1">
                  <c:v>Sprint 2</c:v>
                </c:pt>
                <c:pt idx="2">
                  <c:v>Sprint 3</c:v>
                </c:pt>
                <c:pt idx="3">
                  <c:v>Sprint 4</c:v>
                </c:pt>
                <c:pt idx="4">
                  <c:v>Sprint 5</c:v>
                </c:pt>
                <c:pt idx="5">
                  <c:v>Sprint 6</c:v>
                </c:pt>
              </c:strCache>
            </c:strRef>
          </c:cat>
          <c:val>
            <c:numRef>
              <c:f>PIVOTS!$L$4:$L$10</c:f>
              <c:numCache>
                <c:formatCode>0.00%</c:formatCode>
                <c:ptCount val="6"/>
                <c:pt idx="0">
                  <c:v>0.72463768115942029</c:v>
                </c:pt>
                <c:pt idx="1">
                  <c:v>0.73839662447257381</c:v>
                </c:pt>
                <c:pt idx="2">
                  <c:v>1.0416666666666667</c:v>
                </c:pt>
                <c:pt idx="3">
                  <c:v>0.94936708860759489</c:v>
                </c:pt>
                <c:pt idx="4">
                  <c:v>0.875</c:v>
                </c:pt>
                <c:pt idx="5">
                  <c:v>0.97222222222222221</c:v>
                </c:pt>
              </c:numCache>
            </c:numRef>
          </c:val>
          <c:extLst>
            <c:ext xmlns:c16="http://schemas.microsoft.com/office/drawing/2014/chart" uri="{C3380CC4-5D6E-409C-BE32-E72D297353CC}">
              <c16:uniqueId val="{00000000-102C-4554-A573-033C5E14571B}"/>
            </c:ext>
          </c:extLst>
        </c:ser>
        <c:dLbls>
          <c:dLblPos val="outEnd"/>
          <c:showLegendKey val="0"/>
          <c:showVal val="1"/>
          <c:showCatName val="0"/>
          <c:showSerName val="0"/>
          <c:showPercent val="0"/>
          <c:showBubbleSize val="0"/>
        </c:dLbls>
        <c:gapWidth val="219"/>
        <c:overlap val="-27"/>
        <c:axId val="1031770288"/>
        <c:axId val="1031771952"/>
      </c:barChart>
      <c:catAx>
        <c:axId val="103177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71952"/>
        <c:crosses val="autoZero"/>
        <c:auto val="1"/>
        <c:lblAlgn val="ctr"/>
        <c:lblOffset val="100"/>
        <c:noMultiLvlLbl val="0"/>
      </c:catAx>
      <c:valAx>
        <c:axId val="10317719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317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Speedometer!$C$5</c:f>
              <c:strCache>
                <c:ptCount val="1"/>
                <c:pt idx="0">
                  <c:v>RAG</c:v>
                </c:pt>
              </c:strCache>
            </c:strRef>
          </c:tx>
          <c:dPt>
            <c:idx val="0"/>
            <c:bubble3D val="0"/>
            <c:spPr>
              <a:solidFill>
                <a:srgbClr val="FF0000"/>
              </a:solidFill>
              <a:ln>
                <a:noFill/>
              </a:ln>
              <a:effectLst/>
            </c:spPr>
            <c:extLst>
              <c:ext xmlns:c16="http://schemas.microsoft.com/office/drawing/2014/chart" uri="{C3380CC4-5D6E-409C-BE32-E72D297353CC}">
                <c16:uniqueId val="{00000001-C054-4269-95C5-C0034E111D79}"/>
              </c:ext>
            </c:extLst>
          </c:dPt>
          <c:dPt>
            <c:idx val="1"/>
            <c:bubble3D val="0"/>
            <c:spPr>
              <a:solidFill>
                <a:srgbClr val="FFFF00"/>
              </a:solidFill>
              <a:ln>
                <a:noFill/>
              </a:ln>
              <a:effectLst/>
            </c:spPr>
            <c:extLst>
              <c:ext xmlns:c16="http://schemas.microsoft.com/office/drawing/2014/chart" uri="{C3380CC4-5D6E-409C-BE32-E72D297353CC}">
                <c16:uniqueId val="{00000003-C054-4269-95C5-C0034E111D79}"/>
              </c:ext>
            </c:extLst>
          </c:dPt>
          <c:dPt>
            <c:idx val="2"/>
            <c:bubble3D val="0"/>
            <c:spPr>
              <a:solidFill>
                <a:srgbClr val="92D050"/>
              </a:solidFill>
              <a:ln>
                <a:noFill/>
              </a:ln>
              <a:effectLst/>
            </c:spPr>
            <c:extLst>
              <c:ext xmlns:c16="http://schemas.microsoft.com/office/drawing/2014/chart" uri="{C3380CC4-5D6E-409C-BE32-E72D297353CC}">
                <c16:uniqueId val="{00000005-C054-4269-95C5-C0034E111D79}"/>
              </c:ext>
            </c:extLst>
          </c:dPt>
          <c:dPt>
            <c:idx val="3"/>
            <c:bubble3D val="0"/>
            <c:spPr>
              <a:solidFill>
                <a:srgbClr val="00B050"/>
              </a:solidFill>
              <a:ln>
                <a:noFill/>
              </a:ln>
              <a:effectLst/>
            </c:spPr>
            <c:extLst>
              <c:ext xmlns:c16="http://schemas.microsoft.com/office/drawing/2014/chart" uri="{C3380CC4-5D6E-409C-BE32-E72D297353CC}">
                <c16:uniqueId val="{00000007-C054-4269-95C5-C0034E111D79}"/>
              </c:ext>
            </c:extLst>
          </c:dPt>
          <c:dPt>
            <c:idx val="4"/>
            <c:bubble3D val="0"/>
            <c:spPr>
              <a:solidFill>
                <a:schemeClr val="bg1"/>
              </a:solidFill>
              <a:ln>
                <a:noFill/>
              </a:ln>
              <a:effectLst/>
            </c:spPr>
            <c:extLst>
              <c:ext xmlns:c16="http://schemas.microsoft.com/office/drawing/2014/chart" uri="{C3380CC4-5D6E-409C-BE32-E72D297353CC}">
                <c16:uniqueId val="{00000009-C054-4269-95C5-C0034E111D79}"/>
              </c:ext>
            </c:extLst>
          </c:dPt>
          <c:dPt>
            <c:idx val="5"/>
            <c:bubble3D val="0"/>
            <c:spPr>
              <a:noFill/>
              <a:ln>
                <a:noFill/>
              </a:ln>
              <a:effectLst/>
            </c:spPr>
            <c:extLst>
              <c:ext xmlns:c16="http://schemas.microsoft.com/office/drawing/2014/chart" uri="{C3380CC4-5D6E-409C-BE32-E72D297353CC}">
                <c16:uniqueId val="{0000000B-C054-4269-95C5-C0034E111D79}"/>
              </c:ext>
            </c:extLst>
          </c:dPt>
          <c:dLbls>
            <c:dLbl>
              <c:idx val="0"/>
              <c:tx>
                <c:rich>
                  <a:bodyPr/>
                  <a:lstStyle/>
                  <a:p>
                    <a:fld id="{673604BA-FFB4-4A31-B579-5BB4E3C37155}"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054-4269-95C5-C0034E111D79}"/>
                </c:ext>
              </c:extLst>
            </c:dLbl>
            <c:dLbl>
              <c:idx val="1"/>
              <c:tx>
                <c:rich>
                  <a:bodyPr/>
                  <a:lstStyle/>
                  <a:p>
                    <a:fld id="{653B0F2B-CD6C-4427-8DD6-9AB7D19B59DB}"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54-4269-95C5-C0034E111D79}"/>
                </c:ext>
              </c:extLst>
            </c:dLbl>
            <c:dLbl>
              <c:idx val="2"/>
              <c:tx>
                <c:rich>
                  <a:bodyPr/>
                  <a:lstStyle/>
                  <a:p>
                    <a:fld id="{54918ADC-1F5B-4017-A5A9-30F0E7EECA2D}"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54-4269-95C5-C0034E111D79}"/>
                </c:ext>
              </c:extLst>
            </c:dLbl>
            <c:dLbl>
              <c:idx val="3"/>
              <c:tx>
                <c:rich>
                  <a:bodyPr/>
                  <a:lstStyle/>
                  <a:p>
                    <a:fld id="{3D7C1001-8169-4E8A-94E8-6C5EED1B4CD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054-4269-95C5-C0034E111D79}"/>
                </c:ext>
              </c:extLst>
            </c:dLbl>
            <c:dLbl>
              <c:idx val="4"/>
              <c:layout>
                <c:manualLayout>
                  <c:x val="8.3246609011652997E-3"/>
                  <c:y val="-0.1466072084321453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DE98A2F-28BD-45E8-BB9E-0A2E6D5B81F2}" type="CELLRANGE">
                      <a:rPr lang="en-US"/>
                      <a:pPr>
                        <a:defRPr sz="900" b="1"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970166250688533"/>
                      <c:h val="9.8940053906774794E-2"/>
                    </c:manualLayout>
                  </c15:layout>
                  <c15:dlblFieldTable/>
                  <c15:showDataLabelsRange val="1"/>
                </c:ext>
                <c:ext xmlns:c16="http://schemas.microsoft.com/office/drawing/2014/chart" uri="{C3380CC4-5D6E-409C-BE32-E72D297353CC}">
                  <c16:uniqueId val="{00000009-C054-4269-95C5-C0034E111D79}"/>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C054-4269-95C5-C0034E11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Speedometer!$C$6:$C$11</c:f>
              <c:numCache>
                <c:formatCode>General</c:formatCode>
                <c:ptCount val="6"/>
                <c:pt idx="0">
                  <c:v>30</c:v>
                </c:pt>
                <c:pt idx="1">
                  <c:v>30</c:v>
                </c:pt>
                <c:pt idx="2">
                  <c:v>30</c:v>
                </c:pt>
                <c:pt idx="3">
                  <c:v>30</c:v>
                </c:pt>
                <c:pt idx="4">
                  <c:v>80</c:v>
                </c:pt>
              </c:numCache>
            </c:numRef>
          </c:val>
          <c:extLst>
            <c:ext xmlns:c15="http://schemas.microsoft.com/office/drawing/2012/chart" uri="{02D57815-91ED-43cb-92C2-25804820EDAC}">
              <c15:datalabelsRange>
                <c15:f>Speedometer!$B$6:$B$10</c15:f>
                <c15:dlblRangeCache>
                  <c:ptCount val="5"/>
                  <c:pt idx="0">
                    <c:v>&lt;AV</c:v>
                  </c:pt>
                  <c:pt idx="1">
                    <c:v>1XAV</c:v>
                  </c:pt>
                  <c:pt idx="2">
                    <c:v>2XAV</c:v>
                  </c:pt>
                  <c:pt idx="3">
                    <c:v>3XAV</c:v>
                  </c:pt>
                  <c:pt idx="4">
                    <c:v> Backlog Health 2.56</c:v>
                  </c:pt>
                </c15:dlblRangeCache>
              </c15:datalabelsRange>
            </c:ext>
            <c:ext xmlns:c16="http://schemas.microsoft.com/office/drawing/2014/chart" uri="{C3380CC4-5D6E-409C-BE32-E72D297353CC}">
              <c16:uniqueId val="{0000000C-C054-4269-95C5-C0034E111D79}"/>
            </c:ext>
          </c:extLst>
        </c:ser>
        <c:dLbls>
          <c:showLegendKey val="0"/>
          <c:showVal val="1"/>
          <c:showCatName val="0"/>
          <c:showSerName val="0"/>
          <c:showPercent val="0"/>
          <c:showBubbleSize val="0"/>
          <c:showLeaderLines val="0"/>
        </c:dLbls>
        <c:firstSliceAng val="255"/>
        <c:holeSize val="50"/>
      </c:doughnutChart>
      <c:pieChart>
        <c:varyColors val="1"/>
        <c:ser>
          <c:idx val="1"/>
          <c:order val="1"/>
          <c:tx>
            <c:strRef>
              <c:f>Speedometer!$D$5</c:f>
              <c:strCache>
                <c:ptCount val="1"/>
                <c:pt idx="0">
                  <c:v>Value</c:v>
                </c:pt>
              </c:strCache>
            </c:strRef>
          </c:tx>
          <c:spPr>
            <a:ln>
              <a:solidFill>
                <a:schemeClr val="bg1"/>
              </a:solidFill>
            </a:ln>
          </c:spPr>
          <c:dPt>
            <c:idx val="0"/>
            <c:bubble3D val="0"/>
            <c:spPr>
              <a:noFill/>
              <a:ln>
                <a:solidFill>
                  <a:schemeClr val="bg1"/>
                </a:solidFill>
              </a:ln>
              <a:effectLst/>
            </c:spPr>
            <c:extLst>
              <c:ext xmlns:c16="http://schemas.microsoft.com/office/drawing/2014/chart" uri="{C3380CC4-5D6E-409C-BE32-E72D297353CC}">
                <c16:uniqueId val="{0000000E-C054-4269-95C5-C0034E111D79}"/>
              </c:ext>
            </c:extLst>
          </c:dPt>
          <c:dPt>
            <c:idx val="1"/>
            <c:bubble3D val="0"/>
            <c:spPr>
              <a:solidFill>
                <a:srgbClr val="FF0000"/>
              </a:solidFill>
              <a:ln>
                <a:solidFill>
                  <a:srgbClr val="FF0000"/>
                </a:solidFill>
              </a:ln>
              <a:effectLst/>
            </c:spPr>
            <c:extLst>
              <c:ext xmlns:c16="http://schemas.microsoft.com/office/drawing/2014/chart" uri="{C3380CC4-5D6E-409C-BE32-E72D297353CC}">
                <c16:uniqueId val="{00000010-C054-4269-95C5-C0034E111D79}"/>
              </c:ext>
            </c:extLst>
          </c:dPt>
          <c:dPt>
            <c:idx val="2"/>
            <c:bubble3D val="0"/>
            <c:spPr>
              <a:noFill/>
              <a:ln>
                <a:solidFill>
                  <a:schemeClr val="bg1"/>
                </a:solidFill>
              </a:ln>
              <a:effectLst/>
            </c:spPr>
            <c:extLst>
              <c:ext xmlns:c16="http://schemas.microsoft.com/office/drawing/2014/chart" uri="{C3380CC4-5D6E-409C-BE32-E72D297353CC}">
                <c16:uniqueId val="{00000012-C054-4269-95C5-C0034E111D79}"/>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14-C054-4269-95C5-C0034E111D79}"/>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16-C054-4269-95C5-C0034E111D79}"/>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18-C054-4269-95C5-C0034E111D79}"/>
              </c:ext>
            </c:extLst>
          </c:dPt>
          <c:dLbls>
            <c:delete val="1"/>
          </c:dLbls>
          <c:val>
            <c:numRef>
              <c:f>Speedometer!$D$6:$D$11</c:f>
              <c:numCache>
                <c:formatCode>General</c:formatCode>
                <c:ptCount val="6"/>
                <c:pt idx="0">
                  <c:v>76.829268292682926</c:v>
                </c:pt>
                <c:pt idx="1">
                  <c:v>1</c:v>
                </c:pt>
                <c:pt idx="2">
                  <c:v>122.17073170731707</c:v>
                </c:pt>
              </c:numCache>
            </c:numRef>
          </c:val>
          <c:extLst>
            <c:ext xmlns:c16="http://schemas.microsoft.com/office/drawing/2014/chart" uri="{C3380CC4-5D6E-409C-BE32-E72D297353CC}">
              <c16:uniqueId val="{00000019-C054-4269-95C5-C0034E111D79}"/>
            </c:ext>
          </c:extLst>
        </c:ser>
        <c:dLbls>
          <c:showLegendKey val="0"/>
          <c:showVal val="1"/>
          <c:showCatName val="0"/>
          <c:showSerName val="0"/>
          <c:showPercent val="0"/>
          <c:showBubbleSize val="0"/>
          <c:showLeaderLines val="1"/>
        </c:dLbls>
        <c:firstSliceAng val="25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[Agile_Team_Metrics_Ver1.0.xlsx]PIVOTS!PivotTable3</c:name>
    <c:fmtId val="4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Commitment Reliability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PIVOTS!$U$4:$U$10</c:f>
              <c:strCache>
                <c:ptCount val="6"/>
                <c:pt idx="0">
                  <c:v>Sprint 1</c:v>
                </c:pt>
                <c:pt idx="1">
                  <c:v>Sprint 2</c:v>
                </c:pt>
                <c:pt idx="2">
                  <c:v>Sprint 3</c:v>
                </c:pt>
                <c:pt idx="3">
                  <c:v>Sprint 4</c:v>
                </c:pt>
                <c:pt idx="4">
                  <c:v>Sprint 5</c:v>
                </c:pt>
                <c:pt idx="5">
                  <c:v>Sprint 6</c:v>
                </c:pt>
              </c:strCache>
            </c:strRef>
          </c:cat>
          <c:val>
            <c:numRef>
              <c:f>PIVOTS!$V$4:$V$10</c:f>
              <c:numCache>
                <c:formatCode>0.00%</c:formatCode>
                <c:ptCount val="6"/>
                <c:pt idx="0">
                  <c:v>0.62857142857142856</c:v>
                </c:pt>
                <c:pt idx="1">
                  <c:v>1.1200000000000001</c:v>
                </c:pt>
                <c:pt idx="2">
                  <c:v>1</c:v>
                </c:pt>
                <c:pt idx="3">
                  <c:v>1</c:v>
                </c:pt>
                <c:pt idx="4">
                  <c:v>1</c:v>
                </c:pt>
                <c:pt idx="5">
                  <c:v>0.875</c:v>
                </c:pt>
              </c:numCache>
            </c:numRef>
          </c:val>
          <c:extLst>
            <c:ext xmlns:c16="http://schemas.microsoft.com/office/drawing/2014/chart" uri="{C3380CC4-5D6E-409C-BE32-E72D297353CC}">
              <c16:uniqueId val="{00000000-005F-4528-9528-D58474E4CBC7}"/>
            </c:ext>
          </c:extLst>
        </c:ser>
        <c:dLbls>
          <c:dLblPos val="outEnd"/>
          <c:showLegendKey val="0"/>
          <c:showVal val="1"/>
          <c:showCatName val="0"/>
          <c:showSerName val="0"/>
          <c:showPercent val="0"/>
          <c:showBubbleSize val="0"/>
        </c:dLbls>
        <c:gapWidth val="219"/>
        <c:overlap val="-27"/>
        <c:axId val="1436135983"/>
        <c:axId val="1436136399"/>
      </c:barChart>
      <c:catAx>
        <c:axId val="14361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36399"/>
        <c:crosses val="autoZero"/>
        <c:auto val="1"/>
        <c:lblAlgn val="ctr"/>
        <c:lblOffset val="100"/>
        <c:noMultiLvlLbl val="0"/>
      </c:catAx>
      <c:valAx>
        <c:axId val="1436136399"/>
        <c:scaling>
          <c:orientation val="minMax"/>
        </c:scaling>
        <c:delete val="1"/>
        <c:axPos val="l"/>
        <c:numFmt formatCode="0.00%" sourceLinked="1"/>
        <c:majorTickMark val="none"/>
        <c:minorTickMark val="none"/>
        <c:tickLblPos val="nextTo"/>
        <c:crossAx val="143613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Velocity Flactuation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194444444444448E-2"/>
          <c:y val="9.3263888888888882E-2"/>
          <c:w val="0.92361111111111116"/>
          <c:h val="0.64928204286964131"/>
        </c:manualLayout>
      </c:layout>
      <c:barChart>
        <c:barDir val="col"/>
        <c:grouping val="stacked"/>
        <c:varyColors val="0"/>
        <c:ser>
          <c:idx val="0"/>
          <c:order val="0"/>
          <c:tx>
            <c:strRef>
              <c:f>PIVOTS!$Q$3</c:f>
              <c:strCache>
                <c:ptCount val="1"/>
                <c:pt idx="0">
                  <c:v>Delivered SP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PIVOTS!$Q$4:$Q$10</c:f>
              <c:numCache>
                <c:formatCode>General</c:formatCode>
                <c:ptCount val="7"/>
                <c:pt idx="0">
                  <c:v>22</c:v>
                </c:pt>
                <c:pt idx="1">
                  <c:v>28</c:v>
                </c:pt>
                <c:pt idx="2">
                  <c:v>27</c:v>
                </c:pt>
                <c:pt idx="3">
                  <c:v>29</c:v>
                </c:pt>
                <c:pt idx="4">
                  <c:v>30</c:v>
                </c:pt>
                <c:pt idx="5">
                  <c:v>28</c:v>
                </c:pt>
                <c:pt idx="6" formatCode="0">
                  <c:v>27.333333333333332</c:v>
                </c:pt>
              </c:numCache>
            </c:numRef>
          </c:val>
          <c:extLst>
            <c:ext xmlns:c16="http://schemas.microsoft.com/office/drawing/2014/chart" uri="{C3380CC4-5D6E-409C-BE32-E72D297353CC}">
              <c16:uniqueId val="{00000000-9204-435E-A354-D3868DD91052}"/>
            </c:ext>
          </c:extLst>
        </c:ser>
        <c:ser>
          <c:idx val="1"/>
          <c:order val="1"/>
          <c:tx>
            <c:strRef>
              <c:f>PIVOTS!$R$3</c:f>
              <c:strCache>
                <c:ptCount val="1"/>
                <c:pt idx="0">
                  <c:v>Flactuation</c:v>
                </c:pt>
              </c:strCache>
            </c:strRef>
          </c:tx>
          <c:spPr>
            <a:solidFill>
              <a:schemeClr val="accent2">
                <a:lumMod val="20000"/>
                <a:lumOff val="80000"/>
              </a:schemeClr>
            </a:solidFill>
            <a:ln>
              <a:noFill/>
            </a:ln>
            <a:effectLst/>
          </c:spPr>
          <c:invertIfNegative val="0"/>
          <c:dLbls>
            <c:dLbl>
              <c:idx val="0"/>
              <c:tx>
                <c:rich>
                  <a:bodyPr/>
                  <a:lstStyle/>
                  <a:p>
                    <a:fld id="{1F8394F0-8C81-459A-85DC-9457E007CBC1}"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204-435E-A354-D3868DD91052}"/>
                </c:ext>
              </c:extLst>
            </c:dLbl>
            <c:dLbl>
              <c:idx val="1"/>
              <c:tx>
                <c:rich>
                  <a:bodyPr/>
                  <a:lstStyle/>
                  <a:p>
                    <a:fld id="{BC6903CA-DEF6-4AD3-8247-149133AA107E}"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204-435E-A354-D3868DD91052}"/>
                </c:ext>
              </c:extLst>
            </c:dLbl>
            <c:dLbl>
              <c:idx val="2"/>
              <c:tx>
                <c:rich>
                  <a:bodyPr/>
                  <a:lstStyle/>
                  <a:p>
                    <a:fld id="{1D44E023-0303-48D3-B82C-78D084E1FC20}"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04-435E-A354-D3868DD91052}"/>
                </c:ext>
              </c:extLst>
            </c:dLbl>
            <c:dLbl>
              <c:idx val="3"/>
              <c:tx>
                <c:rich>
                  <a:bodyPr/>
                  <a:lstStyle/>
                  <a:p>
                    <a:fld id="{7B0B6441-9A47-49CE-9DE4-163B3A4A4D1B}"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204-435E-A354-D3868DD91052}"/>
                </c:ext>
              </c:extLst>
            </c:dLbl>
            <c:dLbl>
              <c:idx val="4"/>
              <c:tx>
                <c:rich>
                  <a:bodyPr/>
                  <a:lstStyle/>
                  <a:p>
                    <a:fld id="{AA72E2CE-AF80-404D-B832-A328BC396B43}"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204-435E-A354-D3868DD91052}"/>
                </c:ext>
              </c:extLst>
            </c:dLbl>
            <c:dLbl>
              <c:idx val="5"/>
              <c:tx>
                <c:rich>
                  <a:bodyPr/>
                  <a:lstStyle/>
                  <a:p>
                    <a:fld id="{50B4FF28-FC0A-46DC-A4E5-3A245F6B2AB2}"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204-435E-A354-D3868DD91052}"/>
                </c:ext>
              </c:extLst>
            </c:dLbl>
            <c:dLbl>
              <c:idx val="6"/>
              <c:tx>
                <c:rich>
                  <a:bodyPr/>
                  <a:lstStyle/>
                  <a:p>
                    <a:fld id="{C7A338E1-C15E-4BDB-8ADE-44CE7572F516}"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204-435E-A354-D3868DD91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PIVOTS!$R$4:$R$10</c:f>
              <c:numCache>
                <c:formatCode>General</c:formatCode>
                <c:ptCount val="7"/>
                <c:pt idx="0">
                  <c:v>49.333333333333329</c:v>
                </c:pt>
                <c:pt idx="1">
                  <c:v>55.333333333333329</c:v>
                </c:pt>
                <c:pt idx="2">
                  <c:v>54.333333333333329</c:v>
                </c:pt>
                <c:pt idx="3">
                  <c:v>56.333333333333329</c:v>
                </c:pt>
                <c:pt idx="4">
                  <c:v>57.333333333333329</c:v>
                </c:pt>
                <c:pt idx="5">
                  <c:v>55.333333333333329</c:v>
                </c:pt>
                <c:pt idx="6">
                  <c:v>54.666666666666664</c:v>
                </c:pt>
              </c:numCache>
            </c:numRef>
          </c:val>
          <c:extLst>
            <c:ext xmlns:c15="http://schemas.microsoft.com/office/drawing/2012/chart" uri="{02D57815-91ED-43cb-92C2-25804820EDAC}">
              <c15:datalabelsRange>
                <c15:f>PIVOTS!$S$4:$S$10</c15:f>
                <c15:dlblRangeCache>
                  <c:ptCount val="7"/>
                  <c:pt idx="0">
                    <c:v>80.49%</c:v>
                  </c:pt>
                  <c:pt idx="1">
                    <c:v>102.44%</c:v>
                  </c:pt>
                  <c:pt idx="2">
                    <c:v>98.78%</c:v>
                  </c:pt>
                  <c:pt idx="3">
                    <c:v>106.1%</c:v>
                  </c:pt>
                  <c:pt idx="4">
                    <c:v>109.76%</c:v>
                  </c:pt>
                  <c:pt idx="5">
                    <c:v>102.44%</c:v>
                  </c:pt>
                  <c:pt idx="6">
                    <c:v>100%</c:v>
                  </c:pt>
                </c15:dlblRangeCache>
              </c15:datalabelsRange>
            </c:ext>
            <c:ext xmlns:c16="http://schemas.microsoft.com/office/drawing/2014/chart" uri="{C3380CC4-5D6E-409C-BE32-E72D297353CC}">
              <c16:uniqueId val="{00000008-9204-435E-A354-D3868DD91052}"/>
            </c:ext>
          </c:extLst>
        </c:ser>
        <c:dLbls>
          <c:dLblPos val="ctr"/>
          <c:showLegendKey val="0"/>
          <c:showVal val="1"/>
          <c:showCatName val="0"/>
          <c:showSerName val="0"/>
          <c:showPercent val="0"/>
          <c:showBubbleSize val="0"/>
        </c:dLbls>
        <c:gapWidth val="20"/>
        <c:overlap val="100"/>
        <c:axId val="1661797599"/>
        <c:axId val="1661819231"/>
      </c:barChart>
      <c:catAx>
        <c:axId val="166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9231"/>
        <c:crosses val="autoZero"/>
        <c:auto val="1"/>
        <c:lblAlgn val="ctr"/>
        <c:lblOffset val="100"/>
        <c:noMultiLvlLbl val="0"/>
      </c:catAx>
      <c:valAx>
        <c:axId val="1661819231"/>
        <c:scaling>
          <c:orientation val="minMax"/>
        </c:scaling>
        <c:delete val="1"/>
        <c:axPos val="l"/>
        <c:numFmt formatCode="General" sourceLinked="1"/>
        <c:majorTickMark val="none"/>
        <c:minorTickMark val="none"/>
        <c:tickLblPos val="nextTo"/>
        <c:crossAx val="166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[Agile_Team_Metrics_Ver1.0.xlsx]PIVOTS!PivotTable5</c:name>
    <c:fmtId val="5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Defect Leakage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PIVOTS!$G$4:$G$10</c:f>
              <c:strCache>
                <c:ptCount val="6"/>
                <c:pt idx="0">
                  <c:v>Sprint 1</c:v>
                </c:pt>
                <c:pt idx="1">
                  <c:v>Sprint 2</c:v>
                </c:pt>
                <c:pt idx="2">
                  <c:v>Sprint 3</c:v>
                </c:pt>
                <c:pt idx="3">
                  <c:v>Sprint 4</c:v>
                </c:pt>
                <c:pt idx="4">
                  <c:v>Sprint 5</c:v>
                </c:pt>
                <c:pt idx="5">
                  <c:v>Sprint 6</c:v>
                </c:pt>
              </c:strCache>
            </c:strRef>
          </c:cat>
          <c:val>
            <c:numRef>
              <c:f>PIVOTS!$H$4:$H$10</c:f>
              <c:numCache>
                <c:formatCode>0.00%</c:formatCode>
                <c:ptCount val="6"/>
                <c:pt idx="0">
                  <c:v>0.73333333333333328</c:v>
                </c:pt>
                <c:pt idx="1">
                  <c:v>0.6</c:v>
                </c:pt>
                <c:pt idx="2">
                  <c:v>0.41666666666666669</c:v>
                </c:pt>
                <c:pt idx="3">
                  <c:v>0.27272727272727271</c:v>
                </c:pt>
                <c:pt idx="4">
                  <c:v>0.22222222222222221</c:v>
                </c:pt>
                <c:pt idx="5">
                  <c:v>0</c:v>
                </c:pt>
              </c:numCache>
            </c:numRef>
          </c:val>
          <c:extLst>
            <c:ext xmlns:c16="http://schemas.microsoft.com/office/drawing/2014/chart" uri="{C3380CC4-5D6E-409C-BE32-E72D297353CC}">
              <c16:uniqueId val="{00000000-DE4C-45DB-AC88-97A5F8D4CC2D}"/>
            </c:ext>
          </c:extLst>
        </c:ser>
        <c:dLbls>
          <c:dLblPos val="outEnd"/>
          <c:showLegendKey val="0"/>
          <c:showVal val="1"/>
          <c:showCatName val="0"/>
          <c:showSerName val="0"/>
          <c:showPercent val="0"/>
          <c:showBubbleSize val="0"/>
        </c:dLbls>
        <c:gapWidth val="219"/>
        <c:overlap val="-27"/>
        <c:axId val="1663341551"/>
        <c:axId val="1663341967"/>
      </c:barChart>
      <c:catAx>
        <c:axId val="1663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1967"/>
        <c:crosses val="autoZero"/>
        <c:auto val="1"/>
        <c:lblAlgn val="ctr"/>
        <c:lblOffset val="100"/>
        <c:noMultiLvlLbl val="0"/>
      </c:catAx>
      <c:valAx>
        <c:axId val="16633419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33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[Agile_Team_Metrics_Ver1.0.xlsx]PIVOTS!PivotTable4</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Change</a:t>
            </a:r>
          </a:p>
        </c:rich>
      </c:tx>
      <c:layout>
        <c:manualLayout>
          <c:xMode val="edge"/>
          <c:yMode val="edge"/>
          <c:x val="1.800213372609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PIVOTS!$Y$3</c:f>
              <c:strCache>
                <c:ptCount val="1"/>
                <c:pt idx="0">
                  <c:v>Total</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PIVOTS!$X$4:$X$10</c:f>
              <c:strCache>
                <c:ptCount val="6"/>
                <c:pt idx="0">
                  <c:v>Sprint 1</c:v>
                </c:pt>
                <c:pt idx="1">
                  <c:v>Sprint 2</c:v>
                </c:pt>
                <c:pt idx="2">
                  <c:v>Sprint 3</c:v>
                </c:pt>
                <c:pt idx="3">
                  <c:v>Sprint 4</c:v>
                </c:pt>
                <c:pt idx="4">
                  <c:v>Sprint 5</c:v>
                </c:pt>
                <c:pt idx="5">
                  <c:v>Sprint 6</c:v>
                </c:pt>
              </c:strCache>
            </c:strRef>
          </c:cat>
          <c:val>
            <c:numRef>
              <c:f>PIVOTS!$Y$4:$Y$10</c:f>
              <c:numCache>
                <c:formatCode>0.00%</c:formatCode>
                <c:ptCount val="6"/>
                <c:pt idx="0">
                  <c:v>0.95454545454545459</c:v>
                </c:pt>
                <c:pt idx="1">
                  <c:v>0.17857142857142858</c:v>
                </c:pt>
                <c:pt idx="2">
                  <c:v>0</c:v>
                </c:pt>
                <c:pt idx="3">
                  <c:v>0</c:v>
                </c:pt>
                <c:pt idx="4">
                  <c:v>0</c:v>
                </c:pt>
                <c:pt idx="5">
                  <c:v>-0.14285714285714285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B8CD-44A4-903A-50E1331D371B}"/>
            </c:ext>
          </c:extLst>
        </c:ser>
        <c:dLbls>
          <c:dLblPos val="outEnd"/>
          <c:showLegendKey val="0"/>
          <c:showVal val="1"/>
          <c:showCatName val="0"/>
          <c:showSerName val="0"/>
          <c:showPercent val="0"/>
          <c:showBubbleSize val="0"/>
        </c:dLbls>
        <c:gapWidth val="219"/>
        <c:overlap val="-27"/>
        <c:axId val="918527951"/>
        <c:axId val="918527535"/>
      </c:barChart>
      <c:catAx>
        <c:axId val="918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27535"/>
        <c:crosses val="autoZero"/>
        <c:auto val="1"/>
        <c:lblAlgn val="ctr"/>
        <c:lblOffset val="100"/>
        <c:noMultiLvlLbl val="0"/>
      </c:catAx>
      <c:valAx>
        <c:axId val="918527535"/>
        <c:scaling>
          <c:orientation val="minMax"/>
        </c:scaling>
        <c:delete val="1"/>
        <c:axPos val="l"/>
        <c:numFmt formatCode="0.00%" sourceLinked="1"/>
        <c:majorTickMark val="none"/>
        <c:minorTickMark val="none"/>
        <c:tickLblPos val="nextTo"/>
        <c:crossAx val="9185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66674</xdr:colOff>
      <xdr:row>1</xdr:row>
      <xdr:rowOff>19050</xdr:rowOff>
    </xdr:from>
    <xdr:to>
      <xdr:col>9</xdr:col>
      <xdr:colOff>228599</xdr:colOff>
      <xdr:row>10</xdr:row>
      <xdr:rowOff>133350</xdr:rowOff>
    </xdr:to>
    <xdr:graphicFrame macro="">
      <xdr:nvGraphicFramePr>
        <xdr:cNvPr id="2" name="Chart 1">
          <a:extLst>
            <a:ext uri="{FF2B5EF4-FFF2-40B4-BE49-F238E27FC236}">
              <a16:creationId xmlns:a16="http://schemas.microsoft.com/office/drawing/2014/main" id="{57DF0262-CE1C-489D-8D22-A4F84F7A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47623</xdr:colOff>
      <xdr:row>3</xdr:row>
      <xdr:rowOff>66675</xdr:rowOff>
    </xdr:from>
    <xdr:to>
      <xdr:col>1</xdr:col>
      <xdr:colOff>1285874</xdr:colOff>
      <xdr:row>16</xdr:row>
      <xdr:rowOff>133350</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C117B6E5-81C7-4E0F-BBCD-2C22A2D9065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523875</xdr:colOff>
      <xdr:row>0</xdr:row>
      <xdr:rowOff>95249</xdr:rowOff>
    </xdr:from>
    <xdr:to>
      <xdr:col>19</xdr:col>
      <xdr:colOff>514350</xdr:colOff>
      <xdr:row>10</xdr:row>
      <xdr:rowOff>104774</xdr:rowOff>
    </xdr:to>
    <xdr:graphicFrame macro="">
      <xdr:nvGraphicFramePr>
        <xdr:cNvPr id="8" name="Chart 7">
          <a:extLst>
            <a:ext uri="{FF2B5EF4-FFF2-40B4-BE49-F238E27FC236}">
              <a16:creationId xmlns:a16="http://schemas.microsoft.com/office/drawing/2014/main" id="{9AE7B025-5E74-4471-9F29-C60EF748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xdr:row>
      <xdr:rowOff>38100</xdr:rowOff>
    </xdr:from>
    <xdr:to>
      <xdr:col>15</xdr:col>
      <xdr:colOff>9525</xdr:colOff>
      <xdr:row>11</xdr:row>
      <xdr:rowOff>0</xdr:rowOff>
    </xdr:to>
    <xdr:graphicFrame macro="">
      <xdr:nvGraphicFramePr>
        <xdr:cNvPr id="11" name="Chart 10">
          <a:extLst>
            <a:ext uri="{FF2B5EF4-FFF2-40B4-BE49-F238E27FC236}">
              <a16:creationId xmlns:a16="http://schemas.microsoft.com/office/drawing/2014/main" id="{1BD045A6-7165-44F2-9254-1E219143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66676</xdr:colOff>
      <xdr:row>0</xdr:row>
      <xdr:rowOff>85725</xdr:rowOff>
    </xdr:from>
    <xdr:to>
      <xdr:col>11</xdr:col>
      <xdr:colOff>361951</xdr:colOff>
      <xdr:row>2</xdr:row>
      <xdr:rowOff>38100</xdr:rowOff>
    </xdr:to>
    <xdr:sp macro="" textlink="">
      <xdr:nvSpPr>
        <xdr:cNvPr id="3" name="TextBox 2">
          <a:extLst>
            <a:ext uri="{FF2B5EF4-FFF2-40B4-BE49-F238E27FC236}">
              <a16:creationId xmlns:a16="http://schemas.microsoft.com/office/drawing/2014/main" id="{15857AB8-8D2B-AD32-A136-480D4C228118}"/>
            </a:ext>
          </a:extLst>
        </xdr:cNvPr>
        <xdr:cNvSpPr txBox="1"/>
      </xdr:nvSpPr>
      <xdr:spPr>
        <a:xfrm>
          <a:off x="5495926" y="85725"/>
          <a:ext cx="16192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Backlog</a:t>
          </a:r>
          <a:r>
            <a:rPr lang="en-US" sz="1200" baseline="0"/>
            <a:t> Heath Index</a:t>
          </a:r>
          <a:endParaRPr lang="en-US" sz="1200"/>
        </a:p>
      </xdr:txBody>
    </xdr:sp>
    <xdr:clientData/>
  </xdr:twoCellAnchor>
  <xdr:twoCellAnchor>
    <xdr:from>
      <xdr:col>9</xdr:col>
      <xdr:colOff>266699</xdr:colOff>
      <xdr:row>10</xdr:row>
      <xdr:rowOff>142875</xdr:rowOff>
    </xdr:from>
    <xdr:to>
      <xdr:col>13</xdr:col>
      <xdr:colOff>504824</xdr:colOff>
      <xdr:row>20</xdr:row>
      <xdr:rowOff>66675</xdr:rowOff>
    </xdr:to>
    <xdr:graphicFrame macro="">
      <xdr:nvGraphicFramePr>
        <xdr:cNvPr id="12" name="Chart 11">
          <a:extLst>
            <a:ext uri="{FF2B5EF4-FFF2-40B4-BE49-F238E27FC236}">
              <a16:creationId xmlns:a16="http://schemas.microsoft.com/office/drawing/2014/main" id="{F4349605-D7AA-4FA4-999F-38355A162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10</xdr:row>
      <xdr:rowOff>152400</xdr:rowOff>
    </xdr:from>
    <xdr:to>
      <xdr:col>9</xdr:col>
      <xdr:colOff>219075</xdr:colOff>
      <xdr:row>20</xdr:row>
      <xdr:rowOff>76200</xdr:rowOff>
    </xdr:to>
    <xdr:graphicFrame macro="">
      <xdr:nvGraphicFramePr>
        <xdr:cNvPr id="13" name="Chart 12">
          <a:extLst>
            <a:ext uri="{FF2B5EF4-FFF2-40B4-BE49-F238E27FC236}">
              <a16:creationId xmlns:a16="http://schemas.microsoft.com/office/drawing/2014/main" id="{8984BA28-427B-4A15-9FFD-1806012AE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10</xdr:row>
      <xdr:rowOff>142875</xdr:rowOff>
    </xdr:from>
    <xdr:to>
      <xdr:col>19</xdr:col>
      <xdr:colOff>523875</xdr:colOff>
      <xdr:row>20</xdr:row>
      <xdr:rowOff>66675</xdr:rowOff>
    </xdr:to>
    <xdr:graphicFrame macro="">
      <xdr:nvGraphicFramePr>
        <xdr:cNvPr id="17" name="Chart 16">
          <a:extLst>
            <a:ext uri="{FF2B5EF4-FFF2-40B4-BE49-F238E27FC236}">
              <a16:creationId xmlns:a16="http://schemas.microsoft.com/office/drawing/2014/main" id="{BD0073A5-BFBF-4C13-8391-FDBD3DB6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47623</xdr:colOff>
      <xdr:row>3</xdr:row>
      <xdr:rowOff>66675</xdr:rowOff>
    </xdr:from>
    <xdr:to>
      <xdr:col>2</xdr:col>
      <xdr:colOff>1609724</xdr:colOff>
      <xdr:row>16</xdr:row>
      <xdr:rowOff>133350</xdr:rowOff>
    </xdr:to>
    <mc:AlternateContent xmlns:mc="http://schemas.openxmlformats.org/markup-compatibility/2006" xmlns:a14="http://schemas.microsoft.com/office/drawing/2010/main">
      <mc:Choice Requires="a14">
        <xdr:graphicFrame macro="">
          <xdr:nvGraphicFramePr>
            <xdr:cNvPr id="3" name="Team 1">
              <a:extLst>
                <a:ext uri="{FF2B5EF4-FFF2-40B4-BE49-F238E27FC236}">
                  <a16:creationId xmlns:a16="http://schemas.microsoft.com/office/drawing/2014/main" id="{D55FAFC9-8A69-4159-96D4-E9DD908C577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xdr:row>
      <xdr:rowOff>0</xdr:rowOff>
    </xdr:from>
    <xdr:to>
      <xdr:col>11</xdr:col>
      <xdr:colOff>180975</xdr:colOff>
      <xdr:row>12</xdr:row>
      <xdr:rowOff>114300</xdr:rowOff>
    </xdr:to>
    <xdr:graphicFrame macro="">
      <xdr:nvGraphicFramePr>
        <xdr:cNvPr id="11" name="Chart 10">
          <a:extLst>
            <a:ext uri="{FF2B5EF4-FFF2-40B4-BE49-F238E27FC236}">
              <a16:creationId xmlns:a16="http://schemas.microsoft.com/office/drawing/2014/main" id="{E03CE8D7-3D33-4519-900C-0CE97836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ikarjun Naik" refreshedDate="44737.63591261574" createdVersion="8" refreshedVersion="8" minRefreshableVersion="3" recordCount="54" xr:uid="{434D74D7-4A9A-4480-894F-5C74BF9D21E1}">
  <cacheSource type="worksheet">
    <worksheetSource name="PIBaseData"/>
  </cacheSource>
  <cacheFields count="21">
    <cacheField name="Program Name" numFmtId="0">
      <sharedItems/>
    </cacheField>
    <cacheField name="Team" numFmtId="0">
      <sharedItems count="9">
        <s v="Goalkeepers"/>
        <s v="Sapient"/>
        <s v="Titans"/>
        <s v="Optimizers"/>
        <s v="Avengers"/>
        <s v="Solvers"/>
        <s v="Spartans"/>
        <s v="Maximizers"/>
        <s v="Visionaries"/>
      </sharedItems>
    </cacheField>
    <cacheField name="Iteration" numFmtId="0">
      <sharedItems count="12">
        <s v="Sprint 1"/>
        <s v="Sprint 2"/>
        <s v="Sprint 3"/>
        <s v="Sprint 4"/>
        <s v="Sprint 5"/>
        <s v="Sprint 6"/>
        <s v="Iteration 1.6" u="1"/>
        <s v="Iteration 1.5" u="1"/>
        <s v="Iteration 1.4" u="1"/>
        <s v="Iteration 1.3" u="1"/>
        <s v="Iteration 1.2" u="1"/>
        <s v="Iteration 1.1" u="1"/>
      </sharedItems>
    </cacheField>
    <cacheField name="Start Date" numFmtId="15">
      <sharedItems containsSemiMixedTypes="0" containsNonDate="0" containsDate="1" containsString="0" minDate="2021-11-22T00:00:00" maxDate="2022-02-01T00:00:00"/>
    </cacheField>
    <cacheField name="End Date" numFmtId="15">
      <sharedItems containsSemiMixedTypes="0" containsNonDate="0" containsDate="1" containsString="0" minDate="2021-12-03T00:00:00" maxDate="2022-02-12T00:00:00"/>
    </cacheField>
    <cacheField name="Committed SP" numFmtId="0">
      <sharedItems containsSemiMixedTypes="0" containsString="0" containsNumber="1" containsInteger="1" minValue="16" maxValue="51"/>
    </cacheField>
    <cacheField name="Injectd SP" numFmtId="0">
      <sharedItems containsSemiMixedTypes="0" containsString="0" containsNumber="1" containsInteger="1" minValue="0" maxValue="23"/>
    </cacheField>
    <cacheField name="Descoped" numFmtId="0">
      <sharedItems containsString="0" containsBlank="1" containsNumber="1" containsInteger="1" minValue="2" maxValue="6"/>
    </cacheField>
    <cacheField name="Delivered SP" numFmtId="0">
      <sharedItems containsSemiMixedTypes="0" containsString="0" containsNumber="1" containsInteger="1" minValue="11" maxValue="51"/>
    </cacheField>
    <cacheField name="Teamsize" numFmtId="0">
      <sharedItems containsSemiMixedTypes="0" containsString="0" containsNumber="1" containsInteger="1" minValue="4" maxValue="9"/>
    </cacheField>
    <cacheField name="Defects" numFmtId="0">
      <sharedItems containsSemiMixedTypes="0" containsString="0" containsNumber="1" containsInteger="1" minValue="2" maxValue="22"/>
    </cacheField>
    <cacheField name="Remaining Defects" numFmtId="0">
      <sharedItems containsSemiMixedTypes="0" containsString="0" containsNumber="1" containsInteger="1" minValue="0" maxValue="17"/>
    </cacheField>
    <cacheField name="Leaves" numFmtId="0">
      <sharedItems containsSemiMixedTypes="0" containsString="0" containsNumber="1" containsInteger="1" minValue="0" maxValue="5"/>
    </cacheField>
    <cacheField name="Available Capacity" numFmtId="0">
      <sharedItems containsSemiMixedTypes="0" containsString="0" containsNumber="1" containsInteger="1" minValue="228" maxValue="528"/>
    </cacheField>
    <cacheField name="Workload" numFmtId="0">
      <sharedItems containsSemiMixedTypes="0" containsString="0" containsNumber="1" containsInteger="1" minValue="200" maxValue="500"/>
    </cacheField>
    <cacheField name="Defect Leakage" numFmtId="0">
      <sharedItems containsSemiMixedTypes="0" containsString="0" containsNumber="1" minValue="0" maxValue="0.77272727272727271"/>
    </cacheField>
    <cacheField name="Capacity Utilization" numFmtId="0">
      <sharedItems containsSemiMixedTypes="0" containsString="0" containsNumber="1" minValue="0.64102564102564108" maxValue="1.0416666666666667"/>
    </cacheField>
    <cacheField name="Defects Per SP" numFmtId="0" formula="Defects/'Delivered SP'" databaseField="0"/>
    <cacheField name="Productivity" numFmtId="0" formula="'Delivered SP'/Teamsize" databaseField="0"/>
    <cacheField name="Committment Reliability" numFmtId="0" formula="'Delivered SP'/'Committed SP'" databaseField="0"/>
    <cacheField name="Scope_Change" numFmtId="0" formula="('Injectd SP'-Descoped)/'Delivered SP'" databaseField="0"/>
  </cacheFields>
  <extLst>
    <ext xmlns:x14="http://schemas.microsoft.com/office/spreadsheetml/2009/9/main" uri="{725AE2AE-9491-48be-B2B4-4EB974FC3084}">
      <x14:pivotCacheDefinition pivotCacheId="19849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Next Generation Banking App"/>
    <x v="0"/>
    <x v="0"/>
    <d v="2021-11-22T00:00:00"/>
    <d v="2021-12-03T00:00:00"/>
    <n v="39"/>
    <n v="11"/>
    <m/>
    <n v="33"/>
    <n v="8"/>
    <n v="15"/>
    <n v="10"/>
    <n v="3"/>
    <n v="462"/>
    <n v="400"/>
    <n v="0.66666666666666663"/>
    <n v="0.86580086580086579"/>
  </r>
  <r>
    <s v="Next Generation Banking App"/>
    <x v="0"/>
    <x v="1"/>
    <d v="2021-12-06T00:00:00"/>
    <d v="2021-12-17T00:00:00"/>
    <n v="44"/>
    <n v="8"/>
    <m/>
    <n v="37"/>
    <n v="8"/>
    <n v="12"/>
    <n v="6"/>
    <n v="2"/>
    <n v="468"/>
    <n v="410"/>
    <n v="0.5"/>
    <n v="0.87606837606837606"/>
  </r>
  <r>
    <s v="Next Generation Banking App"/>
    <x v="0"/>
    <x v="2"/>
    <d v="2021-12-20T00:00:00"/>
    <d v="2021-12-31T00:00:00"/>
    <n v="46"/>
    <n v="5"/>
    <m/>
    <n v="39"/>
    <n v="8"/>
    <n v="7"/>
    <n v="3"/>
    <n v="3"/>
    <n v="462"/>
    <n v="420"/>
    <n v="0.42857142857142855"/>
    <n v="0.90909090909090906"/>
  </r>
  <r>
    <s v="Next Generation Banking App"/>
    <x v="0"/>
    <x v="3"/>
    <d v="2022-01-03T00:00:00"/>
    <d v="2022-01-14T00:00:00"/>
    <n v="43"/>
    <n v="2"/>
    <m/>
    <n v="41"/>
    <n v="8"/>
    <n v="4"/>
    <n v="0"/>
    <n v="1"/>
    <n v="474"/>
    <n v="450"/>
    <n v="0"/>
    <n v="0.94936708860759489"/>
  </r>
  <r>
    <s v="Next Generation Banking App"/>
    <x v="0"/>
    <x v="4"/>
    <d v="2022-01-17T00:00:00"/>
    <d v="2022-01-28T00:00:00"/>
    <n v="49"/>
    <n v="0"/>
    <n v="2"/>
    <n v="47"/>
    <n v="8"/>
    <n v="4"/>
    <n v="1"/>
    <n v="2"/>
    <n v="468"/>
    <n v="460"/>
    <n v="0.25"/>
    <n v="0.98290598290598286"/>
  </r>
  <r>
    <s v="Next Generation Banking App"/>
    <x v="0"/>
    <x v="5"/>
    <d v="2022-01-31T00:00:00"/>
    <d v="2022-02-11T00:00:00"/>
    <n v="51"/>
    <n v="0"/>
    <m/>
    <n v="51"/>
    <n v="8"/>
    <n v="4"/>
    <n v="0"/>
    <n v="3"/>
    <n v="462"/>
    <n v="460"/>
    <n v="0"/>
    <n v="0.99567099567099571"/>
  </r>
  <r>
    <s v="Next Generation Banking App"/>
    <x v="1"/>
    <x v="0"/>
    <d v="2021-11-22T00:00:00"/>
    <d v="2021-12-03T00:00:00"/>
    <n v="33"/>
    <n v="15"/>
    <m/>
    <n v="31"/>
    <n v="6"/>
    <n v="13"/>
    <n v="7"/>
    <n v="2"/>
    <n v="348"/>
    <n v="300"/>
    <n v="0.53846153846153844"/>
    <n v="0.86206896551724133"/>
  </r>
  <r>
    <s v="Next Generation Banking App"/>
    <x v="1"/>
    <x v="1"/>
    <d v="2021-12-06T00:00:00"/>
    <d v="2021-12-17T00:00:00"/>
    <n v="35"/>
    <n v="8"/>
    <n v="2"/>
    <n v="33"/>
    <n v="8"/>
    <n v="10"/>
    <n v="6"/>
    <n v="1"/>
    <n v="474"/>
    <n v="350"/>
    <n v="0.6"/>
    <n v="0.73839662447257381"/>
  </r>
  <r>
    <s v="Next Generation Banking App"/>
    <x v="1"/>
    <x v="2"/>
    <d v="2021-12-20T00:00:00"/>
    <d v="2021-12-31T00:00:00"/>
    <n v="34"/>
    <n v="5"/>
    <m/>
    <n v="37"/>
    <n v="8"/>
    <n v="10"/>
    <n v="2"/>
    <n v="5"/>
    <n v="450"/>
    <n v="400"/>
    <n v="0.2"/>
    <n v="0.88888888888888884"/>
  </r>
  <r>
    <s v="Next Generation Banking App"/>
    <x v="1"/>
    <x v="3"/>
    <d v="2022-01-03T00:00:00"/>
    <d v="2022-01-14T00:00:00"/>
    <n v="36"/>
    <n v="2"/>
    <m/>
    <n v="38"/>
    <n v="8"/>
    <n v="5"/>
    <n v="1"/>
    <n v="4"/>
    <n v="456"/>
    <n v="410"/>
    <n v="0.2"/>
    <n v="0.89912280701754388"/>
  </r>
  <r>
    <s v="Next Generation Banking App"/>
    <x v="1"/>
    <x v="4"/>
    <d v="2022-01-17T00:00:00"/>
    <d v="2022-01-28T00:00:00"/>
    <n v="45"/>
    <n v="0"/>
    <n v="4"/>
    <n v="41"/>
    <n v="8"/>
    <n v="3"/>
    <n v="0"/>
    <n v="3"/>
    <n v="462"/>
    <n v="450"/>
    <n v="0"/>
    <n v="0.97402597402597402"/>
  </r>
  <r>
    <s v="Next Generation Banking App"/>
    <x v="1"/>
    <x v="5"/>
    <d v="2022-01-31T00:00:00"/>
    <d v="2022-02-11T00:00:00"/>
    <n v="42"/>
    <n v="0"/>
    <m/>
    <n v="42"/>
    <n v="8"/>
    <n v="2"/>
    <n v="0"/>
    <n v="2"/>
    <n v="468"/>
    <n v="460"/>
    <n v="0"/>
    <n v="0.98290598290598286"/>
  </r>
  <r>
    <s v="Next Generation Banking App"/>
    <x v="2"/>
    <x v="0"/>
    <d v="2021-11-22T00:00:00"/>
    <d v="2021-12-03T00:00:00"/>
    <n v="35"/>
    <n v="8"/>
    <m/>
    <n v="31"/>
    <n v="6"/>
    <n v="22"/>
    <n v="13"/>
    <n v="2"/>
    <n v="348"/>
    <n v="300"/>
    <n v="0.59090909090909094"/>
    <n v="0.86206896551724133"/>
  </r>
  <r>
    <s v="Next Generation Banking App"/>
    <x v="2"/>
    <x v="1"/>
    <d v="2021-12-06T00:00:00"/>
    <d v="2021-12-17T00:00:00"/>
    <n v="32"/>
    <n v="5"/>
    <m/>
    <n v="33"/>
    <n v="5"/>
    <n v="16"/>
    <n v="11"/>
    <n v="1"/>
    <n v="294"/>
    <n v="200"/>
    <n v="0.6875"/>
    <n v="0.68027210884353739"/>
  </r>
  <r>
    <s v="Next Generation Banking App"/>
    <x v="2"/>
    <x v="2"/>
    <d v="2021-12-20T00:00:00"/>
    <d v="2021-12-31T00:00:00"/>
    <n v="34"/>
    <n v="3"/>
    <m/>
    <n v="37"/>
    <n v="8"/>
    <n v="12"/>
    <n v="4"/>
    <n v="1"/>
    <n v="474"/>
    <n v="450"/>
    <n v="0.33333333333333331"/>
    <n v="0.94936708860759489"/>
  </r>
  <r>
    <s v="Next Generation Banking App"/>
    <x v="2"/>
    <x v="3"/>
    <d v="2022-01-03T00:00:00"/>
    <d v="2022-01-14T00:00:00"/>
    <n v="36"/>
    <n v="0"/>
    <m/>
    <n v="36"/>
    <n v="8"/>
    <n v="11"/>
    <n v="3"/>
    <n v="2"/>
    <n v="468"/>
    <n v="450"/>
    <n v="0.27272727272727271"/>
    <n v="0.96153846153846156"/>
  </r>
  <r>
    <s v="Next Generation Banking App"/>
    <x v="2"/>
    <x v="4"/>
    <d v="2022-01-17T00:00:00"/>
    <d v="2022-01-28T00:00:00"/>
    <n v="35"/>
    <n v="0"/>
    <m/>
    <n v="35"/>
    <n v="8"/>
    <n v="5"/>
    <n v="0"/>
    <n v="2"/>
    <n v="468"/>
    <n v="460"/>
    <n v="0"/>
    <n v="0.98290598290598286"/>
  </r>
  <r>
    <s v="Next Generation Banking App"/>
    <x v="2"/>
    <x v="5"/>
    <d v="2022-01-31T00:00:00"/>
    <d v="2022-02-11T00:00:00"/>
    <n v="37"/>
    <n v="0"/>
    <m/>
    <n v="37"/>
    <n v="8"/>
    <n v="2"/>
    <n v="0"/>
    <n v="1"/>
    <n v="474"/>
    <n v="470"/>
    <n v="0"/>
    <n v="0.99156118143459915"/>
  </r>
  <r>
    <s v="Next Generation Banking App"/>
    <x v="3"/>
    <x v="0"/>
    <d v="2021-11-22T00:00:00"/>
    <d v="2021-12-03T00:00:00"/>
    <n v="20"/>
    <n v="0"/>
    <n v="6"/>
    <n v="12"/>
    <n v="4"/>
    <n v="12"/>
    <n v="6"/>
    <n v="2"/>
    <n v="228"/>
    <n v="200"/>
    <n v="0.5"/>
    <n v="0.8771929824561403"/>
  </r>
  <r>
    <s v="Next Generation Banking App"/>
    <x v="3"/>
    <x v="1"/>
    <d v="2021-12-06T00:00:00"/>
    <d v="2021-12-17T00:00:00"/>
    <n v="16"/>
    <n v="0"/>
    <n v="5"/>
    <n v="11"/>
    <n v="4"/>
    <n v="11"/>
    <n v="5"/>
    <n v="1"/>
    <n v="234"/>
    <n v="200"/>
    <n v="0.45454545454545453"/>
    <n v="0.85470085470085466"/>
  </r>
  <r>
    <s v="Next Generation Banking App"/>
    <x v="3"/>
    <x v="2"/>
    <d v="2021-12-20T00:00:00"/>
    <d v="2021-12-31T00:00:00"/>
    <n v="17"/>
    <n v="0"/>
    <m/>
    <n v="16"/>
    <n v="5"/>
    <n v="17"/>
    <n v="5"/>
    <n v="2"/>
    <n v="288"/>
    <n v="240"/>
    <n v="0.29411764705882354"/>
    <n v="0.83333333333333337"/>
  </r>
  <r>
    <s v="Next Generation Banking App"/>
    <x v="3"/>
    <x v="3"/>
    <d v="2022-01-03T00:00:00"/>
    <d v="2022-01-14T00:00:00"/>
    <n v="21"/>
    <n v="0"/>
    <m/>
    <n v="21"/>
    <n v="4"/>
    <n v="4"/>
    <n v="0"/>
    <n v="2"/>
    <n v="228"/>
    <n v="220"/>
    <n v="0"/>
    <n v="0.96491228070175439"/>
  </r>
  <r>
    <s v="Next Generation Banking App"/>
    <x v="3"/>
    <x v="4"/>
    <d v="2022-01-17T00:00:00"/>
    <d v="2022-01-28T00:00:00"/>
    <n v="23"/>
    <n v="0"/>
    <m/>
    <n v="23"/>
    <n v="8"/>
    <n v="4"/>
    <n v="0"/>
    <n v="2"/>
    <n v="468"/>
    <n v="400"/>
    <n v="0"/>
    <n v="0.85470085470085466"/>
  </r>
  <r>
    <s v="Next Generation Banking App"/>
    <x v="3"/>
    <x v="5"/>
    <d v="2022-01-31T00:00:00"/>
    <d v="2022-02-11T00:00:00"/>
    <n v="25"/>
    <n v="0"/>
    <m/>
    <n v="25"/>
    <n v="8"/>
    <n v="3"/>
    <n v="0"/>
    <n v="0"/>
    <n v="480"/>
    <n v="450"/>
    <n v="0"/>
    <n v="0.9375"/>
  </r>
  <r>
    <s v="Next Generation Banking App"/>
    <x v="4"/>
    <x v="0"/>
    <d v="2021-11-22T00:00:00"/>
    <d v="2021-12-03T00:00:00"/>
    <n v="35"/>
    <n v="21"/>
    <m/>
    <n v="22"/>
    <n v="7"/>
    <n v="15"/>
    <n v="11"/>
    <n v="1"/>
    <n v="414"/>
    <n v="300"/>
    <n v="0.73333333333333328"/>
    <n v="0.72463768115942029"/>
  </r>
  <r>
    <s v="Next Generation Banking App"/>
    <x v="4"/>
    <x v="1"/>
    <d v="2021-12-06T00:00:00"/>
    <d v="2021-12-17T00:00:00"/>
    <n v="25"/>
    <n v="5"/>
    <m/>
    <n v="28"/>
    <n v="8"/>
    <n v="10"/>
    <n v="6"/>
    <n v="1"/>
    <n v="474"/>
    <n v="350"/>
    <n v="0.6"/>
    <n v="0.73839662447257381"/>
  </r>
  <r>
    <s v="Next Generation Banking App"/>
    <x v="4"/>
    <x v="2"/>
    <d v="2021-12-20T00:00:00"/>
    <d v="2021-12-31T00:00:00"/>
    <n v="27"/>
    <n v="0"/>
    <m/>
    <n v="27"/>
    <n v="8"/>
    <n v="12"/>
    <n v="5"/>
    <n v="0"/>
    <n v="480"/>
    <n v="500"/>
    <n v="0.41666666666666669"/>
    <n v="1.0416666666666667"/>
  </r>
  <r>
    <s v="Next Generation Banking App"/>
    <x v="4"/>
    <x v="3"/>
    <d v="2022-01-03T00:00:00"/>
    <d v="2022-01-14T00:00:00"/>
    <n v="29"/>
    <n v="0"/>
    <m/>
    <n v="29"/>
    <n v="8"/>
    <n v="11"/>
    <n v="3"/>
    <n v="1"/>
    <n v="474"/>
    <n v="450"/>
    <n v="0.27272727272727271"/>
    <n v="0.94936708860759489"/>
  </r>
  <r>
    <s v="Next Generation Banking App"/>
    <x v="4"/>
    <x v="4"/>
    <d v="2022-01-17T00:00:00"/>
    <d v="2022-01-28T00:00:00"/>
    <n v="30"/>
    <n v="0"/>
    <m/>
    <n v="30"/>
    <n v="8"/>
    <n v="9"/>
    <n v="2"/>
    <n v="0"/>
    <n v="480"/>
    <n v="420"/>
    <n v="0.22222222222222221"/>
    <n v="0.875"/>
  </r>
  <r>
    <s v="Next Generation Banking App"/>
    <x v="4"/>
    <x v="5"/>
    <d v="2022-01-31T00:00:00"/>
    <d v="2022-02-11T00:00:00"/>
    <n v="32"/>
    <n v="0"/>
    <n v="4"/>
    <n v="28"/>
    <n v="8"/>
    <n v="4"/>
    <n v="0"/>
    <n v="2"/>
    <n v="468"/>
    <n v="455"/>
    <n v="0"/>
    <n v="0.97222222222222221"/>
  </r>
  <r>
    <s v="Next Generation Banking App"/>
    <x v="5"/>
    <x v="0"/>
    <d v="2021-11-22T00:00:00"/>
    <d v="2021-12-03T00:00:00"/>
    <n v="33"/>
    <n v="0"/>
    <n v="4"/>
    <n v="29"/>
    <n v="7"/>
    <n v="12"/>
    <n v="5"/>
    <n v="2"/>
    <n v="408"/>
    <n v="300"/>
    <n v="0.41666666666666669"/>
    <n v="0.73529411764705888"/>
  </r>
  <r>
    <s v="Next Generation Banking App"/>
    <x v="5"/>
    <x v="1"/>
    <d v="2021-12-06T00:00:00"/>
    <d v="2021-12-17T00:00:00"/>
    <n v="31"/>
    <n v="0"/>
    <m/>
    <n v="31"/>
    <n v="8"/>
    <n v="13"/>
    <n v="2"/>
    <n v="5"/>
    <n v="450"/>
    <n v="350"/>
    <n v="0.15384615384615385"/>
    <n v="0.77777777777777779"/>
  </r>
  <r>
    <s v="Next Generation Banking App"/>
    <x v="5"/>
    <x v="2"/>
    <d v="2021-12-20T00:00:00"/>
    <d v="2021-12-31T00:00:00"/>
    <n v="37"/>
    <n v="0"/>
    <m/>
    <n v="47"/>
    <n v="8"/>
    <n v="14"/>
    <n v="2"/>
    <n v="2"/>
    <n v="468"/>
    <n v="400"/>
    <n v="0.14285714285714285"/>
    <n v="0.85470085470085466"/>
  </r>
  <r>
    <s v="Next Generation Banking App"/>
    <x v="5"/>
    <x v="3"/>
    <d v="2022-01-03T00:00:00"/>
    <d v="2022-01-14T00:00:00"/>
    <n v="41"/>
    <n v="0"/>
    <m/>
    <n v="41"/>
    <n v="8"/>
    <n v="11"/>
    <n v="1"/>
    <n v="1"/>
    <n v="474"/>
    <n v="430"/>
    <n v="9.0909090909090912E-2"/>
    <n v="0.90717299578059074"/>
  </r>
  <r>
    <s v="Next Generation Banking App"/>
    <x v="5"/>
    <x v="4"/>
    <d v="2022-01-17T00:00:00"/>
    <d v="2022-01-28T00:00:00"/>
    <n v="42"/>
    <n v="0"/>
    <m/>
    <n v="42"/>
    <n v="8"/>
    <n v="9"/>
    <n v="0"/>
    <n v="1"/>
    <n v="474"/>
    <n v="450"/>
    <n v="0"/>
    <n v="0.94936708860759489"/>
  </r>
  <r>
    <s v="Next Generation Banking App"/>
    <x v="5"/>
    <x v="5"/>
    <d v="2022-01-31T00:00:00"/>
    <d v="2022-02-11T00:00:00"/>
    <n v="45"/>
    <n v="0"/>
    <m/>
    <n v="42"/>
    <n v="8"/>
    <n v="8"/>
    <n v="0"/>
    <n v="2"/>
    <n v="468"/>
    <n v="450"/>
    <n v="0"/>
    <n v="0.96153846153846156"/>
  </r>
  <r>
    <s v="Next Generation Banking App"/>
    <x v="6"/>
    <x v="0"/>
    <d v="2021-11-22T00:00:00"/>
    <d v="2021-12-03T00:00:00"/>
    <n v="37"/>
    <n v="12"/>
    <m/>
    <n v="33"/>
    <n v="8"/>
    <n v="7"/>
    <n v="2"/>
    <n v="5"/>
    <n v="450"/>
    <n v="300"/>
    <n v="0.2857142857142857"/>
    <n v="0.66666666666666663"/>
  </r>
  <r>
    <s v="Next Generation Banking App"/>
    <x v="6"/>
    <x v="1"/>
    <d v="2021-12-06T00:00:00"/>
    <d v="2021-12-17T00:00:00"/>
    <n v="38"/>
    <n v="15"/>
    <m/>
    <n v="35"/>
    <n v="8"/>
    <n v="8"/>
    <n v="1"/>
    <n v="1"/>
    <n v="474"/>
    <n v="350"/>
    <n v="0.125"/>
    <n v="0.73839662447257381"/>
  </r>
  <r>
    <s v="Next Generation Banking App"/>
    <x v="6"/>
    <x v="2"/>
    <d v="2021-12-20T00:00:00"/>
    <d v="2021-12-31T00:00:00"/>
    <n v="40"/>
    <n v="5"/>
    <m/>
    <n v="41"/>
    <n v="8"/>
    <n v="4"/>
    <n v="1"/>
    <n v="2"/>
    <n v="468"/>
    <n v="405"/>
    <n v="0.25"/>
    <n v="0.86538461538461542"/>
  </r>
  <r>
    <s v="Next Generation Banking App"/>
    <x v="6"/>
    <x v="3"/>
    <d v="2022-01-03T00:00:00"/>
    <d v="2022-01-14T00:00:00"/>
    <n v="40"/>
    <n v="3"/>
    <m/>
    <n v="40"/>
    <n v="8"/>
    <n v="3"/>
    <n v="1"/>
    <n v="1"/>
    <n v="474"/>
    <n v="450"/>
    <n v="0.33333333333333331"/>
    <n v="0.94936708860759489"/>
  </r>
  <r>
    <s v="Next Generation Banking App"/>
    <x v="6"/>
    <x v="4"/>
    <d v="2022-01-17T00:00:00"/>
    <d v="2022-01-28T00:00:00"/>
    <n v="45"/>
    <n v="0"/>
    <n v="4"/>
    <n v="41"/>
    <n v="9"/>
    <n v="2"/>
    <n v="0"/>
    <n v="2"/>
    <n v="528"/>
    <n v="498"/>
    <n v="0"/>
    <n v="0.94318181818181823"/>
  </r>
  <r>
    <s v="Next Generation Banking App"/>
    <x v="6"/>
    <x v="5"/>
    <d v="2022-01-31T00:00:00"/>
    <d v="2022-02-11T00:00:00"/>
    <n v="45"/>
    <n v="0"/>
    <m/>
    <n v="45"/>
    <n v="8"/>
    <n v="3"/>
    <n v="0"/>
    <n v="1"/>
    <n v="474"/>
    <n v="470"/>
    <n v="0"/>
    <n v="0.99156118143459915"/>
  </r>
  <r>
    <s v="Next Generation Banking App"/>
    <x v="7"/>
    <x v="0"/>
    <d v="2021-11-22T00:00:00"/>
    <d v="2021-12-03T00:00:00"/>
    <n v="33"/>
    <n v="5"/>
    <m/>
    <n v="34"/>
    <n v="8"/>
    <n v="12"/>
    <n v="6"/>
    <n v="2"/>
    <n v="468"/>
    <n v="300"/>
    <n v="0.5"/>
    <n v="0.64102564102564108"/>
  </r>
  <r>
    <s v="Next Generation Banking App"/>
    <x v="7"/>
    <x v="1"/>
    <d v="2021-12-06T00:00:00"/>
    <d v="2021-12-17T00:00:00"/>
    <n v="35"/>
    <n v="7"/>
    <m/>
    <n v="35"/>
    <n v="8"/>
    <n v="8"/>
    <n v="4"/>
    <n v="1"/>
    <n v="474"/>
    <n v="350"/>
    <n v="0.5"/>
    <n v="0.73839662447257381"/>
  </r>
  <r>
    <s v="Next Generation Banking App"/>
    <x v="7"/>
    <x v="2"/>
    <d v="2021-12-20T00:00:00"/>
    <d v="2021-12-31T00:00:00"/>
    <n v="35"/>
    <n v="5"/>
    <m/>
    <n v="36"/>
    <n v="8"/>
    <n v="7"/>
    <n v="2"/>
    <n v="3"/>
    <n v="462"/>
    <n v="450"/>
    <n v="0.2857142857142857"/>
    <n v="0.97402597402597402"/>
  </r>
  <r>
    <s v="Next Generation Banking App"/>
    <x v="7"/>
    <x v="3"/>
    <d v="2022-01-03T00:00:00"/>
    <d v="2022-01-14T00:00:00"/>
    <n v="37"/>
    <n v="0"/>
    <n v="6"/>
    <n v="31"/>
    <n v="8"/>
    <n v="5"/>
    <n v="2"/>
    <n v="1"/>
    <n v="474"/>
    <n v="450"/>
    <n v="0.4"/>
    <n v="0.94936708860759489"/>
  </r>
  <r>
    <s v="Next Generation Banking App"/>
    <x v="7"/>
    <x v="4"/>
    <d v="2022-01-17T00:00:00"/>
    <d v="2022-01-28T00:00:00"/>
    <n v="40"/>
    <n v="0"/>
    <m/>
    <n v="40"/>
    <n v="8"/>
    <n v="2"/>
    <n v="0"/>
    <n v="2"/>
    <n v="468"/>
    <n v="460"/>
    <n v="0"/>
    <n v="0.98290598290598286"/>
  </r>
  <r>
    <s v="Next Generation Banking App"/>
    <x v="7"/>
    <x v="5"/>
    <d v="2022-01-31T00:00:00"/>
    <d v="2022-02-11T00:00:00"/>
    <n v="42"/>
    <n v="0"/>
    <m/>
    <n v="42"/>
    <n v="8"/>
    <n v="3"/>
    <n v="0"/>
    <n v="2"/>
    <n v="468"/>
    <n v="460"/>
    <n v="0"/>
    <n v="0.98290598290598286"/>
  </r>
  <r>
    <s v="Next Generation Banking App"/>
    <x v="8"/>
    <x v="0"/>
    <d v="2021-11-22T00:00:00"/>
    <d v="2021-12-03T00:00:00"/>
    <n v="32"/>
    <n v="23"/>
    <m/>
    <n v="25"/>
    <n v="8"/>
    <n v="22"/>
    <n v="17"/>
    <n v="2"/>
    <n v="468"/>
    <n v="320"/>
    <n v="0.77272727272727271"/>
    <n v="0.68376068376068377"/>
  </r>
  <r>
    <s v="Next Generation Banking App"/>
    <x v="8"/>
    <x v="1"/>
    <d v="2021-12-06T00:00:00"/>
    <d v="2021-12-17T00:00:00"/>
    <n v="42"/>
    <n v="22"/>
    <m/>
    <n v="32"/>
    <n v="8"/>
    <n v="10"/>
    <n v="5"/>
    <n v="3"/>
    <n v="462"/>
    <n v="350"/>
    <n v="0.5"/>
    <n v="0.75757575757575757"/>
  </r>
  <r>
    <s v="Next Generation Banking App"/>
    <x v="8"/>
    <x v="2"/>
    <d v="2021-12-20T00:00:00"/>
    <d v="2021-12-31T00:00:00"/>
    <n v="42"/>
    <n v="15"/>
    <m/>
    <n v="37"/>
    <n v="8"/>
    <n v="8"/>
    <n v="2"/>
    <n v="1"/>
    <n v="474"/>
    <n v="400"/>
    <n v="0.25"/>
    <n v="0.84388185654008441"/>
  </r>
  <r>
    <s v="Next Generation Banking App"/>
    <x v="8"/>
    <x v="3"/>
    <d v="2022-01-03T00:00:00"/>
    <d v="2022-01-14T00:00:00"/>
    <n v="42"/>
    <n v="12"/>
    <m/>
    <n v="43"/>
    <n v="8"/>
    <n v="5"/>
    <n v="1"/>
    <n v="2"/>
    <n v="468"/>
    <n v="420"/>
    <n v="0.2"/>
    <n v="0.89743589743589747"/>
  </r>
  <r>
    <s v="Next Generation Banking App"/>
    <x v="8"/>
    <x v="4"/>
    <d v="2022-01-17T00:00:00"/>
    <d v="2022-01-28T00:00:00"/>
    <n v="42"/>
    <n v="3"/>
    <m/>
    <n v="42"/>
    <n v="8"/>
    <n v="3"/>
    <n v="0"/>
    <n v="3"/>
    <n v="462"/>
    <n v="450"/>
    <n v="0"/>
    <n v="0.97402597402597402"/>
  </r>
  <r>
    <s v="Next Generation Banking App"/>
    <x v="8"/>
    <x v="5"/>
    <d v="2022-01-31T00:00:00"/>
    <d v="2022-02-11T00:00:00"/>
    <n v="50"/>
    <n v="0"/>
    <n v="5"/>
    <n v="45"/>
    <n v="8"/>
    <n v="2"/>
    <n v="0"/>
    <n v="4"/>
    <n v="456"/>
    <n v="450"/>
    <n v="0"/>
    <n v="0.98684210526315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3814A-C988-4AE5-8850-698C1BA627BF}" name="PivotTable7"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N5" firstHeaderRow="1" firstDataRow="1" firstDataCol="1"/>
  <pivotFields count="21">
    <pivotField showAll="0"/>
    <pivotField axis="axisRow" showAll="0">
      <items count="10">
        <item x="4"/>
        <item h="1" x="0"/>
        <item h="1" x="7"/>
        <item h="1" x="3"/>
        <item h="1" x="1"/>
        <item h="1" x="5"/>
        <item h="1" x="6"/>
        <item h="1" x="2"/>
        <item h="1" x="8"/>
        <item t="default"/>
      </items>
    </pivotField>
    <pivotField showAll="0"/>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FC9B8-6CF6-4F6F-86AB-D758D9E53ADB}" name="PivotTable6"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K3:L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Sum of Capacity Utilization" fld="16" baseField="2"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31EA3-546E-42FB-A22B-0BF985EC262C}" name="PivotTable5"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G3:H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Defect Leakage." fld="15" baseField="2" baseItem="6" numFmtId="10"/>
  </dataFields>
  <chartFormats count="4">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2" count="1" selected="0">
            <x v="6"/>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980C6-D4FE-4FBC-A16C-10A12A1C4AA6}" name="PivotTable1"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D10" firstHeaderRow="0"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Fields count="1">
    <field x="-2"/>
  </colFields>
  <colItems count="3">
    <i>
      <x/>
    </i>
    <i i="1">
      <x v="1"/>
    </i>
    <i i="2">
      <x v="2"/>
    </i>
  </colItems>
  <dataFields count="3">
    <dataField name="Committed" fld="5" baseField="2" baseItem="6"/>
    <dataField name="Injected" fld="6" baseField="2" baseItem="6"/>
    <dataField name="Delivered" fld="8" baseField="2" baseItem="6"/>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74F6A-AE75-47DB-8CE6-1DB11426A932}" name="PivotTable4"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X3:Y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7">
    <i>
      <x v="6"/>
    </i>
    <i>
      <x v="7"/>
    </i>
    <i>
      <x v="8"/>
    </i>
    <i>
      <x v="9"/>
    </i>
    <i>
      <x v="10"/>
    </i>
    <i>
      <x v="11"/>
    </i>
    <i t="grand">
      <x/>
    </i>
  </rowItems>
  <colItems count="1">
    <i/>
  </colItems>
  <dataFields count="1">
    <dataField name="Sum of Scope_Change" fld="20" baseField="2" baseItem="6" numFmtId="10"/>
  </dataFields>
  <chartFormats count="2">
    <chartFormat chart="49" format="4"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DDEEF4-1A99-4FCE-8368-6610B4617578}" name="PivotTable3" cacheId="13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U3:V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Committment Reliability." fld="19" baseField="2" baseItem="6" numFmtId="10"/>
  </dataField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759F67F-70E6-424B-AE6D-E0F02FA5B5AB}" sourceName="Team">
  <pivotTables>
    <pivotTable tabId="2" name="PivotTable1"/>
    <pivotTable tabId="2" name="PivotTable5"/>
    <pivotTable tabId="2" name="PivotTable6"/>
    <pivotTable tabId="2" name="PivotTable7"/>
    <pivotTable tabId="2" name="PivotTable3"/>
    <pivotTable tabId="2" name="PivotTable4"/>
  </pivotTables>
  <data>
    <tabular pivotCacheId="1984976638">
      <items count="9">
        <i x="4" s="1"/>
        <i x="0"/>
        <i x="7"/>
        <i x="3"/>
        <i x="1"/>
        <i x="5"/>
        <i x="6"/>
        <i x="2"/>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94ADDCF-8EC4-4601-B4B5-1B2C0FF0AB6E}" cache="Slicer_Team" caption="Team"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24EA12E8-6A90-4F26-BC61-09C21BBBC9E7}" cache="Slicer_Team" caption="Team"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38DC5-10BF-49F9-9E42-5F1345E43316}" name="PIBaseData" displayName="PIBaseData" ref="A1:Q55" totalsRowShown="0">
  <tableColumns count="17">
    <tableColumn id="25" xr3:uid="{A63E64B2-BA8D-44A3-9121-5B7977691859}" name="Program Name" dataDxfId="6"/>
    <tableColumn id="1" xr3:uid="{943DED76-9E50-4545-A8FF-8BF4EF01EC2F}" name="Team"/>
    <tableColumn id="2" xr3:uid="{286523AE-16AF-4D2C-8B06-3580C6B2FAF3}" name="Iteration"/>
    <tableColumn id="3" xr3:uid="{6A10CDAD-B857-4002-95AB-EE94DD38B2AC}" name="Start Date" dataDxfId="5"/>
    <tableColumn id="4" xr3:uid="{79235FCE-4E0F-4984-B39C-0C8BF7262D73}" name="End Date" dataDxfId="4"/>
    <tableColumn id="8" xr3:uid="{448360D9-3C4C-4356-96D9-2791A09DD5A1}" name="Committed SP"/>
    <tableColumn id="10" xr3:uid="{41F59381-15B7-4F63-92BB-DDCEAF7939D2}" name="Injectd SP"/>
    <tableColumn id="15" xr3:uid="{BE21182B-CB75-4829-9A71-B1A1E7CDEF69}" name="Descoped"/>
    <tableColumn id="9" xr3:uid="{14F26F0B-65CE-4241-B9DD-FBF1A230EBE7}" name="Delivered SP"/>
    <tableColumn id="13" xr3:uid="{C78F9423-F9B5-42B1-9AD8-55FDCFDDC443}" name="Teamsize"/>
    <tableColumn id="20" xr3:uid="{08427E62-EEDD-40E2-978F-46A3EFC075D2}" name="Defects" dataDxfId="3"/>
    <tableColumn id="5" xr3:uid="{BA069D71-A2E8-4C16-B01E-27BC5012E39E}" name="Remaining Defects"/>
    <tableColumn id="7" xr3:uid="{4D26D11D-25BE-4689-8DD7-8C7DB809EE69}" name="Leaves"/>
    <tableColumn id="6" xr3:uid="{3CE599E1-FCB5-4717-9C29-C47DF9FAD726}" name="Available Capacity" dataDxfId="2">
      <calculatedColumnFormula>(J2*10-M2)*6</calculatedColumnFormula>
    </tableColumn>
    <tableColumn id="11" xr3:uid="{7039E342-3C84-4582-98C4-720C8A3A5EB0}" name="Workload"/>
    <tableColumn id="12" xr3:uid="{C917C4A8-9A52-46B5-81A2-265642111015}" name="Defect Leakage" dataDxfId="1">
      <calculatedColumnFormula>L2/K2</calculatedColumnFormula>
    </tableColumn>
    <tableColumn id="14" xr3:uid="{9B58D16A-D2DA-4911-AFF8-81ABC25F2645}" name="Capacity Utilization" dataDxfId="0">
      <calculatedColumnFormula>O2/N2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mv_naik@hotmail.com" TargetMode="Externa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AE2-976F-47AD-8D4F-521AC9BF96AA}">
  <dimension ref="A3:Y10"/>
  <sheetViews>
    <sheetView workbookViewId="0"/>
  </sheetViews>
  <sheetFormatPr defaultRowHeight="15"/>
  <cols>
    <col min="1" max="1" width="14.28515625" bestFit="1" customWidth="1"/>
    <col min="2" max="2" width="11.140625" bestFit="1" customWidth="1"/>
    <col min="3" max="3" width="8.42578125" bestFit="1" customWidth="1"/>
    <col min="4" max="4" width="9.7109375" bestFit="1" customWidth="1"/>
    <col min="7" max="7" width="14.28515625" bestFit="1" customWidth="1"/>
    <col min="8" max="8" width="15.42578125" bestFit="1" customWidth="1"/>
    <col min="11" max="11" width="14.28515625" bestFit="1" customWidth="1"/>
    <col min="12" max="12" width="25.7109375" bestFit="1" customWidth="1"/>
    <col min="14" max="14" width="14.28515625" bestFit="1" customWidth="1"/>
    <col min="15" max="15" width="25.140625" bestFit="1" customWidth="1"/>
    <col min="17" max="17" width="12.28515625" bestFit="1" customWidth="1"/>
    <col min="18" max="18" width="12.28515625" customWidth="1"/>
    <col min="19" max="19" width="18.85546875" bestFit="1" customWidth="1"/>
    <col min="21" max="21" width="14.28515625" bestFit="1" customWidth="1"/>
    <col min="22" max="22" width="24" bestFit="1" customWidth="1"/>
    <col min="23" max="23" width="14.140625" customWidth="1"/>
    <col min="24" max="24" width="14.28515625" bestFit="1" customWidth="1"/>
    <col min="25" max="25" width="21.140625" bestFit="1" customWidth="1"/>
    <col min="26" max="26" width="20.7109375" bestFit="1" customWidth="1"/>
  </cols>
  <sheetData>
    <row r="3" spans="1:25">
      <c r="A3" s="2" t="s">
        <v>0</v>
      </c>
      <c r="B3" t="s">
        <v>1</v>
      </c>
      <c r="C3" t="s">
        <v>2</v>
      </c>
      <c r="D3" t="s">
        <v>3</v>
      </c>
      <c r="G3" s="2" t="s">
        <v>0</v>
      </c>
      <c r="H3" t="s">
        <v>4</v>
      </c>
      <c r="K3" s="2" t="s">
        <v>0</v>
      </c>
      <c r="L3" t="s">
        <v>5</v>
      </c>
      <c r="N3" s="2" t="s">
        <v>0</v>
      </c>
      <c r="P3" t="s">
        <v>6</v>
      </c>
      <c r="Q3" t="s">
        <v>7</v>
      </c>
      <c r="R3" t="s">
        <v>8</v>
      </c>
      <c r="S3" t="s">
        <v>9</v>
      </c>
      <c r="U3" s="2" t="s">
        <v>0</v>
      </c>
      <c r="V3" t="s">
        <v>10</v>
      </c>
      <c r="X3" s="2" t="s">
        <v>0</v>
      </c>
      <c r="Y3" t="s">
        <v>11</v>
      </c>
    </row>
    <row r="4" spans="1:25">
      <c r="A4" s="3" t="s">
        <v>12</v>
      </c>
      <c r="B4">
        <v>35</v>
      </c>
      <c r="C4">
        <v>21</v>
      </c>
      <c r="D4">
        <v>22</v>
      </c>
      <c r="G4" s="3" t="s">
        <v>12</v>
      </c>
      <c r="H4" s="5">
        <v>0.73333333333333328</v>
      </c>
      <c r="K4" s="3" t="s">
        <v>12</v>
      </c>
      <c r="L4" s="5">
        <v>0.72463768115942029</v>
      </c>
      <c r="N4" s="3" t="s">
        <v>13</v>
      </c>
      <c r="P4" s="3" t="s">
        <v>12</v>
      </c>
      <c r="Q4">
        <f>GETPIVOTDATA("Delivered",$A$3,"Iteration","Sprint 1")</f>
        <v>22</v>
      </c>
      <c r="R4">
        <f>Q4+Q$10</f>
        <v>49.333333333333329</v>
      </c>
      <c r="S4" s="4" t="str">
        <f>ROUND(100*Q4/Q$10,2) &amp; "%"</f>
        <v>80.49%</v>
      </c>
      <c r="U4" s="3" t="s">
        <v>12</v>
      </c>
      <c r="V4" s="5">
        <v>0.62857142857142856</v>
      </c>
      <c r="X4" s="3" t="s">
        <v>12</v>
      </c>
      <c r="Y4" s="5">
        <v>0.95454545454545459</v>
      </c>
    </row>
    <row r="5" spans="1:25">
      <c r="A5" s="3" t="s">
        <v>14</v>
      </c>
      <c r="B5">
        <v>25</v>
      </c>
      <c r="C5">
        <v>5</v>
      </c>
      <c r="D5">
        <v>28</v>
      </c>
      <c r="G5" s="3" t="s">
        <v>14</v>
      </c>
      <c r="H5" s="5">
        <v>0.6</v>
      </c>
      <c r="K5" s="3" t="s">
        <v>14</v>
      </c>
      <c r="L5" s="5">
        <v>0.73839662447257381</v>
      </c>
      <c r="N5" s="3" t="s">
        <v>15</v>
      </c>
      <c r="P5" s="3" t="s">
        <v>14</v>
      </c>
      <c r="Q5">
        <f>GETPIVOTDATA("Delivered",$A$3,"Iteration","Sprint 2")</f>
        <v>28</v>
      </c>
      <c r="R5">
        <f t="shared" ref="R5:R9" si="0">Q5+Q$10</f>
        <v>55.333333333333329</v>
      </c>
      <c r="S5" s="4" t="str">
        <f t="shared" ref="S5:S10" si="1">ROUND(100*Q5/Q$10,2) &amp; "%"</f>
        <v>102.44%</v>
      </c>
      <c r="U5" s="3" t="s">
        <v>14</v>
      </c>
      <c r="V5" s="5">
        <v>1.1200000000000001</v>
      </c>
      <c r="X5" s="3" t="s">
        <v>14</v>
      </c>
      <c r="Y5" s="5">
        <v>0.17857142857142858</v>
      </c>
    </row>
    <row r="6" spans="1:25">
      <c r="A6" s="3" t="s">
        <v>16</v>
      </c>
      <c r="B6">
        <v>27</v>
      </c>
      <c r="C6">
        <v>0</v>
      </c>
      <c r="D6">
        <v>27</v>
      </c>
      <c r="G6" s="3" t="s">
        <v>16</v>
      </c>
      <c r="H6" s="5">
        <v>0.41666666666666669</v>
      </c>
      <c r="K6" s="3" t="s">
        <v>16</v>
      </c>
      <c r="L6" s="5">
        <v>1.0416666666666667</v>
      </c>
      <c r="P6" s="3" t="s">
        <v>16</v>
      </c>
      <c r="Q6">
        <f>GETPIVOTDATA("Delivered",$A$3,"Iteration","Sprint 3")</f>
        <v>27</v>
      </c>
      <c r="R6">
        <f t="shared" si="0"/>
        <v>54.333333333333329</v>
      </c>
      <c r="S6" s="4" t="str">
        <f t="shared" si="1"/>
        <v>98.78%</v>
      </c>
      <c r="U6" s="3" t="s">
        <v>16</v>
      </c>
      <c r="V6" s="5">
        <v>1</v>
      </c>
      <c r="X6" s="3" t="s">
        <v>16</v>
      </c>
      <c r="Y6" s="5">
        <v>0</v>
      </c>
    </row>
    <row r="7" spans="1:25">
      <c r="A7" s="3" t="s">
        <v>17</v>
      </c>
      <c r="B7">
        <v>29</v>
      </c>
      <c r="C7">
        <v>0</v>
      </c>
      <c r="D7">
        <v>29</v>
      </c>
      <c r="G7" s="3" t="s">
        <v>17</v>
      </c>
      <c r="H7" s="5">
        <v>0.27272727272727271</v>
      </c>
      <c r="K7" s="3" t="s">
        <v>17</v>
      </c>
      <c r="L7" s="5">
        <v>0.94936708860759489</v>
      </c>
      <c r="P7" s="3" t="s">
        <v>17</v>
      </c>
      <c r="Q7">
        <f>GETPIVOTDATA("Delivered",$A$3,"Iteration","Sprint 4")</f>
        <v>29</v>
      </c>
      <c r="R7">
        <f t="shared" si="0"/>
        <v>56.333333333333329</v>
      </c>
      <c r="S7" s="4" t="str">
        <f t="shared" si="1"/>
        <v>106.1%</v>
      </c>
      <c r="U7" s="3" t="s">
        <v>17</v>
      </c>
      <c r="V7" s="5">
        <v>1</v>
      </c>
      <c r="X7" s="3" t="s">
        <v>17</v>
      </c>
      <c r="Y7" s="5">
        <v>0</v>
      </c>
    </row>
    <row r="8" spans="1:25">
      <c r="A8" s="3" t="s">
        <v>18</v>
      </c>
      <c r="B8">
        <v>30</v>
      </c>
      <c r="C8">
        <v>0</v>
      </c>
      <c r="D8">
        <v>30</v>
      </c>
      <c r="G8" s="3" t="s">
        <v>18</v>
      </c>
      <c r="H8" s="5">
        <v>0.22222222222222221</v>
      </c>
      <c r="K8" s="3" t="s">
        <v>18</v>
      </c>
      <c r="L8" s="5">
        <v>0.875</v>
      </c>
      <c r="P8" s="3" t="s">
        <v>18</v>
      </c>
      <c r="Q8">
        <f>GETPIVOTDATA("Delivered",$A$3,"Iteration","Sprint 5")</f>
        <v>30</v>
      </c>
      <c r="R8">
        <f t="shared" si="0"/>
        <v>57.333333333333329</v>
      </c>
      <c r="S8" s="4" t="str">
        <f t="shared" si="1"/>
        <v>109.76%</v>
      </c>
      <c r="U8" s="3" t="s">
        <v>18</v>
      </c>
      <c r="V8" s="5">
        <v>1</v>
      </c>
      <c r="X8" s="3" t="s">
        <v>18</v>
      </c>
      <c r="Y8" s="5">
        <v>0</v>
      </c>
    </row>
    <row r="9" spans="1:25">
      <c r="A9" s="3" t="s">
        <v>19</v>
      </c>
      <c r="B9">
        <v>32</v>
      </c>
      <c r="C9">
        <v>0</v>
      </c>
      <c r="D9">
        <v>28</v>
      </c>
      <c r="G9" s="3" t="s">
        <v>19</v>
      </c>
      <c r="H9" s="5">
        <v>0</v>
      </c>
      <c r="K9" s="3" t="s">
        <v>19</v>
      </c>
      <c r="L9" s="5">
        <v>0.97222222222222221</v>
      </c>
      <c r="P9" s="3" t="s">
        <v>19</v>
      </c>
      <c r="Q9">
        <f>GETPIVOTDATA("Delivered",$A$3,"Iteration","Sprint 6")</f>
        <v>28</v>
      </c>
      <c r="R9">
        <f t="shared" si="0"/>
        <v>55.333333333333329</v>
      </c>
      <c r="S9" s="4" t="str">
        <f t="shared" si="1"/>
        <v>102.44%</v>
      </c>
      <c r="U9" s="3" t="s">
        <v>19</v>
      </c>
      <c r="V9" s="5">
        <v>0.875</v>
      </c>
      <c r="X9" s="3" t="s">
        <v>19</v>
      </c>
      <c r="Y9" s="5">
        <v>-0.14285714285714285</v>
      </c>
    </row>
    <row r="10" spans="1:25">
      <c r="A10" s="3" t="s">
        <v>15</v>
      </c>
      <c r="B10">
        <v>178</v>
      </c>
      <c r="C10">
        <v>26</v>
      </c>
      <c r="D10">
        <v>164</v>
      </c>
      <c r="G10" s="3" t="s">
        <v>15</v>
      </c>
      <c r="H10" s="5">
        <v>2.2449494949494948</v>
      </c>
      <c r="K10" s="3" t="s">
        <v>15</v>
      </c>
      <c r="L10" s="5">
        <v>5.3012902831284778</v>
      </c>
      <c r="P10" s="3" t="s">
        <v>20</v>
      </c>
      <c r="Q10" s="32">
        <f>AVERAGE(Q4:Q9)</f>
        <v>27.333333333333332</v>
      </c>
      <c r="R10">
        <f>Q10+Q$10</f>
        <v>54.666666666666664</v>
      </c>
      <c r="S10" s="4" t="str">
        <f t="shared" si="1"/>
        <v>100%</v>
      </c>
      <c r="U10" s="3" t="s">
        <v>15</v>
      </c>
      <c r="V10" s="5">
        <v>0.9213483146067416</v>
      </c>
      <c r="X10" s="3" t="s">
        <v>15</v>
      </c>
      <c r="Y10" s="5">
        <v>0.13414634146341464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C85E-BD1D-4649-BB3E-C1F077976C52}">
  <dimension ref="B3:R11"/>
  <sheetViews>
    <sheetView topLeftCell="F1" workbookViewId="0">
      <selection activeCell="F1" sqref="F1"/>
    </sheetView>
  </sheetViews>
  <sheetFormatPr defaultRowHeight="15"/>
  <cols>
    <col min="2" max="2" width="12" bestFit="1" customWidth="1"/>
    <col min="3" max="3" width="8.42578125" bestFit="1" customWidth="1"/>
    <col min="4" max="4" width="9.7109375" bestFit="1" customWidth="1"/>
    <col min="5" max="5" width="10.28515625" bestFit="1" customWidth="1"/>
    <col min="7" max="7" width="24" bestFit="1" customWidth="1"/>
    <col min="10" max="10" width="7.7109375" bestFit="1" customWidth="1"/>
    <col min="11" max="11" width="11" customWidth="1"/>
    <col min="12" max="12" width="9.7109375" bestFit="1" customWidth="1"/>
    <col min="13" max="13" width="14.28515625" customWidth="1"/>
    <col min="15" max="15" width="7.7109375" bestFit="1" customWidth="1"/>
    <col min="16" max="16" width="12.42578125" bestFit="1" customWidth="1"/>
    <col min="17" max="17" width="17.7109375" bestFit="1" customWidth="1"/>
    <col min="18" max="18" width="8.7109375" bestFit="1" customWidth="1"/>
  </cols>
  <sheetData>
    <row r="3" spans="2:18" ht="30">
      <c r="B3" s="22" t="s">
        <v>21</v>
      </c>
      <c r="C3" s="22" t="s">
        <v>22</v>
      </c>
      <c r="D3" s="22" t="s">
        <v>23</v>
      </c>
      <c r="E3" s="22" t="s">
        <v>24</v>
      </c>
      <c r="J3" s="22" t="s">
        <v>6</v>
      </c>
      <c r="K3" s="22" t="s">
        <v>1</v>
      </c>
      <c r="L3" s="22" t="s">
        <v>3</v>
      </c>
      <c r="M3" s="22" t="s">
        <v>25</v>
      </c>
      <c r="O3" s="22" t="s">
        <v>6</v>
      </c>
      <c r="P3" s="22" t="s">
        <v>26</v>
      </c>
      <c r="Q3" s="22" t="s">
        <v>27</v>
      </c>
      <c r="R3" s="22" t="s">
        <v>4</v>
      </c>
    </row>
    <row r="4" spans="2:18">
      <c r="B4" s="23" t="s">
        <v>12</v>
      </c>
      <c r="C4" s="24">
        <v>468</v>
      </c>
      <c r="D4" s="24">
        <v>300</v>
      </c>
      <c r="E4" s="25">
        <v>0.64102564102564108</v>
      </c>
      <c r="G4" s="46" t="s">
        <v>28</v>
      </c>
      <c r="H4" s="46"/>
      <c r="J4" s="36" t="s">
        <v>12</v>
      </c>
      <c r="K4" s="36">
        <v>35</v>
      </c>
      <c r="L4" s="36">
        <v>22</v>
      </c>
      <c r="M4" s="37">
        <v>0.62857142857142856</v>
      </c>
      <c r="O4" s="24" t="s">
        <v>12</v>
      </c>
      <c r="P4" s="24">
        <v>15</v>
      </c>
      <c r="Q4" s="24">
        <v>11</v>
      </c>
      <c r="R4" s="39">
        <v>0.73333333333333328</v>
      </c>
    </row>
    <row r="5" spans="2:18">
      <c r="B5" s="23" t="s">
        <v>14</v>
      </c>
      <c r="C5" s="24">
        <v>474</v>
      </c>
      <c r="D5" s="24">
        <v>350</v>
      </c>
      <c r="E5" s="25">
        <v>0.73839662447257381</v>
      </c>
      <c r="G5" s="24" t="s">
        <v>29</v>
      </c>
      <c r="H5" s="28"/>
      <c r="J5" s="36" t="s">
        <v>14</v>
      </c>
      <c r="K5" s="36">
        <v>25</v>
      </c>
      <c r="L5" s="36">
        <v>28</v>
      </c>
      <c r="M5" s="37">
        <v>1.1200000000000001</v>
      </c>
      <c r="O5" s="24" t="s">
        <v>14</v>
      </c>
      <c r="P5" s="24">
        <v>10</v>
      </c>
      <c r="Q5" s="24">
        <v>6</v>
      </c>
      <c r="R5" s="39">
        <v>0.6</v>
      </c>
    </row>
    <row r="6" spans="2:18">
      <c r="B6" s="23" t="s">
        <v>16</v>
      </c>
      <c r="C6" s="24">
        <v>462</v>
      </c>
      <c r="D6" s="24">
        <v>450</v>
      </c>
      <c r="E6" s="25">
        <v>0.97402597402597402</v>
      </c>
      <c r="G6" s="24" t="s">
        <v>30</v>
      </c>
      <c r="H6" s="29"/>
      <c r="J6" s="36" t="s">
        <v>16</v>
      </c>
      <c r="K6" s="36">
        <v>27</v>
      </c>
      <c r="L6" s="36">
        <v>27</v>
      </c>
      <c r="M6" s="37">
        <v>1</v>
      </c>
      <c r="O6" s="24" t="s">
        <v>16</v>
      </c>
      <c r="P6" s="24">
        <v>12</v>
      </c>
      <c r="Q6" s="24">
        <v>5</v>
      </c>
      <c r="R6" s="39">
        <v>0.41666666666666669</v>
      </c>
    </row>
    <row r="7" spans="2:18">
      <c r="B7" s="23" t="s">
        <v>17</v>
      </c>
      <c r="C7" s="24">
        <v>474</v>
      </c>
      <c r="D7" s="24">
        <v>450</v>
      </c>
      <c r="E7" s="25">
        <v>0.94936708860759489</v>
      </c>
      <c r="G7" s="24" t="s">
        <v>31</v>
      </c>
      <c r="H7" s="30"/>
      <c r="J7" s="36" t="s">
        <v>17</v>
      </c>
      <c r="K7" s="36">
        <v>29</v>
      </c>
      <c r="L7" s="36">
        <v>29</v>
      </c>
      <c r="M7" s="37">
        <v>1</v>
      </c>
      <c r="O7" s="24" t="s">
        <v>17</v>
      </c>
      <c r="P7" s="24">
        <v>11</v>
      </c>
      <c r="Q7" s="24">
        <v>3</v>
      </c>
      <c r="R7" s="39">
        <v>0.27272727272727271</v>
      </c>
    </row>
    <row r="8" spans="2:18">
      <c r="B8" s="23" t="s">
        <v>18</v>
      </c>
      <c r="C8" s="24">
        <v>468</v>
      </c>
      <c r="D8" s="24">
        <v>460</v>
      </c>
      <c r="E8" s="25">
        <v>0.98290598290598286</v>
      </c>
      <c r="G8" s="24" t="s">
        <v>32</v>
      </c>
      <c r="H8" s="31"/>
      <c r="J8" s="36" t="s">
        <v>18</v>
      </c>
      <c r="K8" s="36">
        <v>30</v>
      </c>
      <c r="L8" s="36">
        <v>30</v>
      </c>
      <c r="M8" s="37">
        <v>1</v>
      </c>
      <c r="O8" s="24" t="s">
        <v>18</v>
      </c>
      <c r="P8" s="24">
        <v>9</v>
      </c>
      <c r="Q8" s="24">
        <v>2</v>
      </c>
      <c r="R8" s="39">
        <v>0.22222222222222221</v>
      </c>
    </row>
    <row r="9" spans="2:18">
      <c r="B9" s="23" t="s">
        <v>19</v>
      </c>
      <c r="C9" s="24">
        <v>468</v>
      </c>
      <c r="D9" s="24">
        <v>460</v>
      </c>
      <c r="E9" s="25">
        <v>0.98290598290598286</v>
      </c>
      <c r="J9" s="36" t="s">
        <v>19</v>
      </c>
      <c r="K9" s="36">
        <v>32</v>
      </c>
      <c r="L9" s="36">
        <v>28</v>
      </c>
      <c r="M9" s="37">
        <v>0.875</v>
      </c>
      <c r="O9" s="24" t="s">
        <v>19</v>
      </c>
      <c r="P9" s="24">
        <v>4</v>
      </c>
      <c r="Q9" s="24">
        <v>0</v>
      </c>
      <c r="R9" s="39">
        <v>0</v>
      </c>
    </row>
    <row r="11" spans="2:18" ht="39.75" customHeight="1">
      <c r="B11" s="26" t="s">
        <v>33</v>
      </c>
      <c r="J11" s="47" t="s">
        <v>34</v>
      </c>
      <c r="K11" s="49"/>
      <c r="L11" s="49"/>
      <c r="M11" s="50"/>
      <c r="N11" s="38"/>
      <c r="O11" s="48" t="s">
        <v>35</v>
      </c>
      <c r="P11" s="48"/>
      <c r="Q11" s="48"/>
      <c r="R11" s="48"/>
    </row>
  </sheetData>
  <mergeCells count="3">
    <mergeCell ref="G4:H4"/>
    <mergeCell ref="J11:M11"/>
    <mergeCell ref="O11:R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C316-1277-46B2-9390-97A6D51A44B7}">
  <dimension ref="A1:S21"/>
  <sheetViews>
    <sheetView showGridLines="0" tabSelected="1" workbookViewId="0">
      <selection activeCell="G24" sqref="G24"/>
    </sheetView>
  </sheetViews>
  <sheetFormatPr defaultRowHeight="15"/>
  <cols>
    <col min="1" max="1" width="3.7109375" style="6" customWidth="1"/>
    <col min="2" max="2" width="21.7109375" style="6" bestFit="1" customWidth="1"/>
    <col min="3" max="3" width="1.5703125" style="6" customWidth="1"/>
    <col min="4" max="4" width="2.5703125" style="6" customWidth="1"/>
    <col min="5" max="5" width="12.140625" style="6" customWidth="1"/>
    <col min="6" max="6" width="6.85546875" style="6" customWidth="1"/>
    <col min="7" max="8" width="9.140625" style="6"/>
    <col min="9" max="9" width="11" style="6" customWidth="1"/>
    <col min="10" max="10" width="5.140625" style="6" customWidth="1"/>
    <col min="11" max="11" width="19.85546875" style="6" bestFit="1" customWidth="1"/>
    <col min="12" max="12" width="10.28515625" style="6" customWidth="1"/>
    <col min="13" max="16" width="9.140625" style="6"/>
    <col min="17" max="17" width="2.42578125" style="6" customWidth="1"/>
    <col min="18" max="16384" width="9.140625" style="6"/>
  </cols>
  <sheetData>
    <row r="1" spans="2:19" ht="7.5" customHeight="1"/>
    <row r="2" spans="2:19">
      <c r="B2" s="33" t="s">
        <v>36</v>
      </c>
    </row>
    <row r="3" spans="2:19" ht="15.75" customHeight="1">
      <c r="B3" s="34" t="s">
        <v>37</v>
      </c>
      <c r="C3" s="17"/>
      <c r="S3" s="7"/>
    </row>
    <row r="4" spans="2:19">
      <c r="C4" s="40"/>
      <c r="K4" s="41" t="s">
        <v>38</v>
      </c>
      <c r="S4" s="7"/>
    </row>
    <row r="5" spans="2:19">
      <c r="C5" s="40"/>
      <c r="K5" s="42">
        <f>'Backlog Health'!B15</f>
        <v>27.333333333333332</v>
      </c>
    </row>
    <row r="6" spans="2:19">
      <c r="C6" s="40"/>
      <c r="K6" s="41" t="s">
        <v>39</v>
      </c>
    </row>
    <row r="7" spans="2:19" ht="15" customHeight="1">
      <c r="C7" s="40"/>
      <c r="K7" s="21">
        <f>'Backlog Health'!C15</f>
        <v>70</v>
      </c>
    </row>
    <row r="8" spans="2:19" ht="15" customHeight="1">
      <c r="K8" s="41" t="s">
        <v>28</v>
      </c>
    </row>
    <row r="9" spans="2:19" ht="15" customHeight="1">
      <c r="K9" s="21">
        <f>ROUND(K7/K5,2)</f>
        <v>2.56</v>
      </c>
    </row>
    <row r="10" spans="2:19" ht="15" customHeight="1">
      <c r="L10" s="27"/>
    </row>
    <row r="11" spans="2:19" ht="15" customHeight="1"/>
    <row r="16" spans="2:19">
      <c r="O16" s="43"/>
    </row>
    <row r="18" spans="1:2">
      <c r="B18" s="35" t="s">
        <v>40</v>
      </c>
    </row>
    <row r="19" spans="1:2">
      <c r="B19" s="44" t="s">
        <v>41</v>
      </c>
    </row>
    <row r="20" spans="1:2">
      <c r="B20" s="45" t="s">
        <v>42</v>
      </c>
    </row>
    <row r="21" spans="1:2">
      <c r="A21" s="7"/>
    </row>
  </sheetData>
  <sheetProtection sheet="1" objects="1" scenarios="1" pivotTables="0"/>
  <conditionalFormatting sqref="K9">
    <cfRule type="iconSet" priority="1">
      <iconSet iconSet="3Symbols">
        <cfvo type="percent" val="0"/>
        <cfvo type="num" val="1"/>
        <cfvo type="num" val="2"/>
      </iconSet>
    </cfRule>
  </conditionalFormatting>
  <hyperlinks>
    <hyperlink ref="B20" r:id="rId1" xr:uid="{297F9B7A-1504-4F37-813E-F91FDC67D01B}"/>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E328-269F-44FD-98D7-FCB30F6384C1}">
  <dimension ref="B1:R21"/>
  <sheetViews>
    <sheetView showGridLines="0" workbookViewId="0">
      <selection activeCell="G4" sqref="G4"/>
    </sheetView>
  </sheetViews>
  <sheetFormatPr defaultRowHeight="15"/>
  <cols>
    <col min="1" max="1" width="6.42578125" style="6" customWidth="1"/>
    <col min="2" max="2" width="1.28515625" style="6" customWidth="1"/>
    <col min="3" max="3" width="28.7109375" style="6" bestFit="1" customWidth="1"/>
    <col min="4" max="4" width="1.5703125" style="6" customWidth="1"/>
    <col min="5" max="5" width="2.5703125" style="6" customWidth="1"/>
    <col min="6" max="6" width="12.140625" style="6" customWidth="1"/>
    <col min="7" max="7" width="6.85546875" style="6" customWidth="1"/>
    <col min="8" max="9" width="9.140625" style="6"/>
    <col min="10" max="10" width="11" style="6" customWidth="1"/>
    <col min="11" max="11" width="9.140625" style="6"/>
    <col min="12" max="12" width="19.85546875" style="6" bestFit="1" customWidth="1"/>
    <col min="13" max="13" width="10.28515625" style="6" customWidth="1"/>
    <col min="14" max="17" width="9.140625" style="6"/>
    <col min="18" max="18" width="2.42578125" style="6" customWidth="1"/>
    <col min="19" max="16384" width="9.140625" style="6"/>
  </cols>
  <sheetData>
    <row r="1" spans="2:18" ht="7.5" customHeight="1" thickBot="1"/>
    <row r="2" spans="2:18" ht="15.75" thickBot="1">
      <c r="B2" s="16"/>
      <c r="C2" s="20" t="s">
        <v>43</v>
      </c>
      <c r="D2" s="8"/>
      <c r="E2" s="8"/>
      <c r="F2" s="8"/>
      <c r="G2" s="8"/>
      <c r="H2" s="8"/>
      <c r="I2" s="8"/>
      <c r="J2" s="8"/>
      <c r="K2" s="8"/>
      <c r="L2" s="8"/>
      <c r="M2" s="8"/>
      <c r="N2" s="8"/>
      <c r="O2" s="8"/>
      <c r="P2" s="8"/>
      <c r="Q2" s="8"/>
      <c r="R2" s="9"/>
    </row>
    <row r="3" spans="2:18" ht="15.75" customHeight="1">
      <c r="B3" s="11"/>
      <c r="C3" s="19" t="s">
        <v>37</v>
      </c>
      <c r="D3" s="17"/>
      <c r="R3" s="10"/>
    </row>
    <row r="4" spans="2:18">
      <c r="B4" s="11"/>
      <c r="D4" s="18"/>
      <c r="R4" s="10"/>
    </row>
    <row r="5" spans="2:18">
      <c r="B5" s="11"/>
      <c r="D5" s="18"/>
      <c r="R5" s="10"/>
    </row>
    <row r="6" spans="2:18">
      <c r="B6" s="11"/>
      <c r="D6" s="18"/>
      <c r="R6" s="10"/>
    </row>
    <row r="7" spans="2:18" ht="15" customHeight="1">
      <c r="B7" s="11"/>
      <c r="D7" s="18"/>
      <c r="R7" s="10"/>
    </row>
    <row r="8" spans="2:18" ht="15" customHeight="1">
      <c r="B8" s="11"/>
      <c r="R8" s="10"/>
    </row>
    <row r="9" spans="2:18" ht="15" customHeight="1">
      <c r="B9" s="11"/>
      <c r="R9" s="10"/>
    </row>
    <row r="10" spans="2:18" ht="15" customHeight="1">
      <c r="B10" s="11"/>
      <c r="L10" s="21"/>
      <c r="M10" s="27"/>
      <c r="R10" s="10"/>
    </row>
    <row r="11" spans="2:18" ht="15" customHeight="1">
      <c r="B11" s="11"/>
      <c r="R11" s="10"/>
    </row>
    <row r="12" spans="2:18">
      <c r="B12" s="11"/>
      <c r="R12" s="10"/>
    </row>
    <row r="13" spans="2:18">
      <c r="B13" s="11"/>
      <c r="R13" s="10"/>
    </row>
    <row r="14" spans="2:18">
      <c r="B14" s="11"/>
      <c r="R14" s="10"/>
    </row>
    <row r="15" spans="2:18">
      <c r="B15" s="11"/>
      <c r="R15" s="10"/>
    </row>
    <row r="16" spans="2:18">
      <c r="B16" s="11"/>
      <c r="P16" s="12"/>
      <c r="R16" s="10"/>
    </row>
    <row r="17" spans="2:18">
      <c r="B17" s="11"/>
      <c r="R17" s="10"/>
    </row>
    <row r="18" spans="2:18">
      <c r="B18" s="11"/>
      <c r="R18" s="10"/>
    </row>
    <row r="19" spans="2:18">
      <c r="B19" s="11"/>
      <c r="C19" s="7" t="s">
        <v>40</v>
      </c>
      <c r="R19" s="10"/>
    </row>
    <row r="20" spans="2:18">
      <c r="B20" s="11"/>
      <c r="C20" s="7" t="s">
        <v>44</v>
      </c>
      <c r="R20" s="10"/>
    </row>
    <row r="21" spans="2:18" ht="15.75" thickBot="1">
      <c r="B21" s="13"/>
      <c r="C21" s="14"/>
      <c r="D21" s="14"/>
      <c r="E21" s="14"/>
      <c r="F21" s="14"/>
      <c r="G21" s="14"/>
      <c r="H21" s="14"/>
      <c r="I21" s="14"/>
      <c r="J21" s="14"/>
      <c r="K21" s="14"/>
      <c r="L21" s="14"/>
      <c r="M21" s="14"/>
      <c r="N21" s="14"/>
      <c r="O21" s="14"/>
      <c r="P21" s="14"/>
      <c r="Q21" s="14"/>
      <c r="R21" s="15"/>
    </row>
  </sheetData>
  <conditionalFormatting sqref="L10">
    <cfRule type="iconSet" priority="1">
      <iconSet iconSet="3Symbols">
        <cfvo type="percent" val="0"/>
        <cfvo type="num" val="1"/>
        <cfvo type="num" val="2"/>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183-0274-4A75-8C32-08B4BEDF3703}">
  <dimension ref="A1:Q55"/>
  <sheetViews>
    <sheetView topLeftCell="B1" workbookViewId="0">
      <selection activeCell="P2" sqref="P2"/>
    </sheetView>
  </sheetViews>
  <sheetFormatPr defaultRowHeight="15"/>
  <cols>
    <col min="1" max="1" width="27.7109375" bestFit="1" customWidth="1"/>
    <col min="2" max="2" width="15.28515625" bestFit="1" customWidth="1"/>
    <col min="3" max="3" width="11.7109375" bestFit="1" customWidth="1"/>
    <col min="4" max="4" width="10" bestFit="1" customWidth="1"/>
    <col min="5" max="5" width="9.85546875" bestFit="1" customWidth="1"/>
    <col min="6" max="6" width="13.7109375" bestFit="1" customWidth="1"/>
    <col min="7" max="7" width="9.7109375" bestFit="1" customWidth="1"/>
    <col min="8" max="8" width="9.7109375" customWidth="1"/>
    <col min="9" max="9" width="12.28515625" bestFit="1" customWidth="1"/>
    <col min="10" max="10" width="9.28515625" bestFit="1" customWidth="1"/>
    <col min="11" max="11" width="7.7109375" bestFit="1" customWidth="1"/>
    <col min="12" max="12" width="17.85546875" bestFit="1" customWidth="1"/>
    <col min="14" max="14" width="17.42578125" bestFit="1" customWidth="1"/>
    <col min="15" max="15" width="9.7109375" bestFit="1" customWidth="1"/>
  </cols>
  <sheetData>
    <row r="1" spans="1:17">
      <c r="A1" t="s">
        <v>45</v>
      </c>
      <c r="B1" t="s">
        <v>46</v>
      </c>
      <c r="C1" t="s">
        <v>47</v>
      </c>
      <c r="D1" t="s">
        <v>48</v>
      </c>
      <c r="E1" t="s">
        <v>49</v>
      </c>
      <c r="F1" t="s">
        <v>50</v>
      </c>
      <c r="G1" t="s">
        <v>51</v>
      </c>
      <c r="H1" t="s">
        <v>52</v>
      </c>
      <c r="I1" t="s">
        <v>7</v>
      </c>
      <c r="J1" t="s">
        <v>53</v>
      </c>
      <c r="K1" t="s">
        <v>54</v>
      </c>
      <c r="L1" t="s">
        <v>55</v>
      </c>
      <c r="M1" t="s">
        <v>56</v>
      </c>
      <c r="N1" t="s">
        <v>57</v>
      </c>
      <c r="O1" t="s">
        <v>58</v>
      </c>
      <c r="P1" t="s">
        <v>59</v>
      </c>
      <c r="Q1" t="s">
        <v>60</v>
      </c>
    </row>
    <row r="2" spans="1:17">
      <c r="A2" t="s">
        <v>61</v>
      </c>
      <c r="B2" t="s">
        <v>62</v>
      </c>
      <c r="C2" t="s">
        <v>12</v>
      </c>
      <c r="D2" s="1">
        <v>44522</v>
      </c>
      <c r="E2" s="1">
        <v>44533</v>
      </c>
      <c r="F2">
        <v>39</v>
      </c>
      <c r="G2">
        <v>11</v>
      </c>
      <c r="I2">
        <v>33</v>
      </c>
      <c r="J2">
        <v>8</v>
      </c>
      <c r="K2">
        <v>15</v>
      </c>
      <c r="L2">
        <v>10</v>
      </c>
      <c r="M2">
        <v>3</v>
      </c>
      <c r="N2">
        <f t="shared" ref="N2:N33" si="0">(J2*10-M2)*6</f>
        <v>462</v>
      </c>
      <c r="O2">
        <v>400</v>
      </c>
      <c r="P2">
        <f t="shared" ref="P2:P33" si="1">L2/K2</f>
        <v>0.66666666666666663</v>
      </c>
      <c r="Q2">
        <f t="shared" ref="Q2:Q33" si="2">O2/N2</f>
        <v>0.86580086580086579</v>
      </c>
    </row>
    <row r="3" spans="1:17">
      <c r="A3" t="s">
        <v>61</v>
      </c>
      <c r="B3" t="s">
        <v>62</v>
      </c>
      <c r="C3" t="s">
        <v>14</v>
      </c>
      <c r="D3" s="1">
        <v>44536</v>
      </c>
      <c r="E3" s="1">
        <v>44547</v>
      </c>
      <c r="F3">
        <v>44</v>
      </c>
      <c r="G3">
        <v>8</v>
      </c>
      <c r="I3">
        <v>37</v>
      </c>
      <c r="J3">
        <v>8</v>
      </c>
      <c r="K3">
        <v>12</v>
      </c>
      <c r="L3">
        <v>6</v>
      </c>
      <c r="M3">
        <v>2</v>
      </c>
      <c r="N3">
        <f t="shared" si="0"/>
        <v>468</v>
      </c>
      <c r="O3">
        <v>410</v>
      </c>
      <c r="P3">
        <f t="shared" si="1"/>
        <v>0.5</v>
      </c>
      <c r="Q3">
        <f t="shared" si="2"/>
        <v>0.87606837606837606</v>
      </c>
    </row>
    <row r="4" spans="1:17">
      <c r="A4" t="s">
        <v>61</v>
      </c>
      <c r="B4" t="s">
        <v>62</v>
      </c>
      <c r="C4" t="s">
        <v>16</v>
      </c>
      <c r="D4" s="1">
        <v>44550</v>
      </c>
      <c r="E4" s="1">
        <v>44561</v>
      </c>
      <c r="F4">
        <v>46</v>
      </c>
      <c r="G4">
        <v>5</v>
      </c>
      <c r="I4">
        <v>39</v>
      </c>
      <c r="J4">
        <v>8</v>
      </c>
      <c r="K4">
        <v>7</v>
      </c>
      <c r="L4">
        <v>3</v>
      </c>
      <c r="M4">
        <v>3</v>
      </c>
      <c r="N4">
        <f t="shared" si="0"/>
        <v>462</v>
      </c>
      <c r="O4">
        <v>420</v>
      </c>
      <c r="P4">
        <f t="shared" si="1"/>
        <v>0.42857142857142855</v>
      </c>
      <c r="Q4">
        <f t="shared" si="2"/>
        <v>0.90909090909090906</v>
      </c>
    </row>
    <row r="5" spans="1:17">
      <c r="A5" t="s">
        <v>61</v>
      </c>
      <c r="B5" t="s">
        <v>62</v>
      </c>
      <c r="C5" t="s">
        <v>17</v>
      </c>
      <c r="D5" s="1">
        <v>44564</v>
      </c>
      <c r="E5" s="1">
        <v>44575</v>
      </c>
      <c r="F5">
        <v>43</v>
      </c>
      <c r="G5">
        <v>2</v>
      </c>
      <c r="I5">
        <v>41</v>
      </c>
      <c r="J5">
        <v>8</v>
      </c>
      <c r="K5">
        <v>4</v>
      </c>
      <c r="L5">
        <v>0</v>
      </c>
      <c r="M5">
        <v>1</v>
      </c>
      <c r="N5">
        <f t="shared" si="0"/>
        <v>474</v>
      </c>
      <c r="O5">
        <v>450</v>
      </c>
      <c r="P5">
        <f t="shared" si="1"/>
        <v>0</v>
      </c>
      <c r="Q5">
        <f t="shared" si="2"/>
        <v>0.94936708860759489</v>
      </c>
    </row>
    <row r="6" spans="1:17">
      <c r="A6" t="s">
        <v>61</v>
      </c>
      <c r="B6" t="s">
        <v>62</v>
      </c>
      <c r="C6" t="s">
        <v>18</v>
      </c>
      <c r="D6" s="1">
        <v>44578</v>
      </c>
      <c r="E6" s="1">
        <v>44589</v>
      </c>
      <c r="F6">
        <v>49</v>
      </c>
      <c r="G6">
        <v>0</v>
      </c>
      <c r="H6">
        <v>2</v>
      </c>
      <c r="I6">
        <v>47</v>
      </c>
      <c r="J6">
        <v>8</v>
      </c>
      <c r="K6">
        <v>4</v>
      </c>
      <c r="L6">
        <v>1</v>
      </c>
      <c r="M6">
        <v>2</v>
      </c>
      <c r="N6">
        <f t="shared" si="0"/>
        <v>468</v>
      </c>
      <c r="O6">
        <v>460</v>
      </c>
      <c r="P6">
        <f t="shared" si="1"/>
        <v>0.25</v>
      </c>
      <c r="Q6">
        <f t="shared" si="2"/>
        <v>0.98290598290598286</v>
      </c>
    </row>
    <row r="7" spans="1:17">
      <c r="A7" t="s">
        <v>61</v>
      </c>
      <c r="B7" t="s">
        <v>62</v>
      </c>
      <c r="C7" t="s">
        <v>19</v>
      </c>
      <c r="D7" s="1">
        <v>44592</v>
      </c>
      <c r="E7" s="1">
        <v>44603</v>
      </c>
      <c r="F7">
        <v>51</v>
      </c>
      <c r="G7">
        <v>0</v>
      </c>
      <c r="I7">
        <v>51</v>
      </c>
      <c r="J7">
        <v>8</v>
      </c>
      <c r="K7">
        <v>4</v>
      </c>
      <c r="L7">
        <v>0</v>
      </c>
      <c r="M7">
        <v>3</v>
      </c>
      <c r="N7">
        <f t="shared" si="0"/>
        <v>462</v>
      </c>
      <c r="O7">
        <v>460</v>
      </c>
      <c r="P7">
        <f t="shared" si="1"/>
        <v>0</v>
      </c>
      <c r="Q7">
        <f t="shared" si="2"/>
        <v>0.99567099567099571</v>
      </c>
    </row>
    <row r="8" spans="1:17">
      <c r="A8" t="s">
        <v>61</v>
      </c>
      <c r="B8" t="s">
        <v>63</v>
      </c>
      <c r="C8" t="s">
        <v>12</v>
      </c>
      <c r="D8" s="1">
        <v>44522</v>
      </c>
      <c r="E8" s="1">
        <v>44533</v>
      </c>
      <c r="F8">
        <v>33</v>
      </c>
      <c r="G8">
        <v>15</v>
      </c>
      <c r="I8">
        <v>31</v>
      </c>
      <c r="J8">
        <v>6</v>
      </c>
      <c r="K8">
        <v>13</v>
      </c>
      <c r="L8">
        <v>7</v>
      </c>
      <c r="M8">
        <v>2</v>
      </c>
      <c r="N8">
        <f t="shared" si="0"/>
        <v>348</v>
      </c>
      <c r="O8">
        <v>300</v>
      </c>
      <c r="P8">
        <f t="shared" si="1"/>
        <v>0.53846153846153844</v>
      </c>
      <c r="Q8">
        <f t="shared" si="2"/>
        <v>0.86206896551724133</v>
      </c>
    </row>
    <row r="9" spans="1:17">
      <c r="A9" t="s">
        <v>61</v>
      </c>
      <c r="B9" t="s">
        <v>63</v>
      </c>
      <c r="C9" t="s">
        <v>14</v>
      </c>
      <c r="D9" s="1">
        <v>44536</v>
      </c>
      <c r="E9" s="1">
        <v>44547</v>
      </c>
      <c r="F9">
        <v>35</v>
      </c>
      <c r="G9">
        <v>8</v>
      </c>
      <c r="H9">
        <v>2</v>
      </c>
      <c r="I9">
        <v>33</v>
      </c>
      <c r="J9">
        <v>8</v>
      </c>
      <c r="K9">
        <v>10</v>
      </c>
      <c r="L9">
        <v>6</v>
      </c>
      <c r="M9">
        <v>1</v>
      </c>
      <c r="N9">
        <f t="shared" si="0"/>
        <v>474</v>
      </c>
      <c r="O9">
        <v>350</v>
      </c>
      <c r="P9">
        <f t="shared" si="1"/>
        <v>0.6</v>
      </c>
      <c r="Q9">
        <f t="shared" si="2"/>
        <v>0.73839662447257381</v>
      </c>
    </row>
    <row r="10" spans="1:17">
      <c r="A10" t="s">
        <v>61</v>
      </c>
      <c r="B10" t="s">
        <v>63</v>
      </c>
      <c r="C10" t="s">
        <v>16</v>
      </c>
      <c r="D10" s="1">
        <v>44550</v>
      </c>
      <c r="E10" s="1">
        <v>44561</v>
      </c>
      <c r="F10">
        <v>34</v>
      </c>
      <c r="G10">
        <v>5</v>
      </c>
      <c r="I10">
        <v>37</v>
      </c>
      <c r="J10">
        <v>8</v>
      </c>
      <c r="K10">
        <v>10</v>
      </c>
      <c r="L10">
        <v>2</v>
      </c>
      <c r="M10">
        <v>5</v>
      </c>
      <c r="N10">
        <f t="shared" si="0"/>
        <v>450</v>
      </c>
      <c r="O10">
        <v>400</v>
      </c>
      <c r="P10">
        <f t="shared" si="1"/>
        <v>0.2</v>
      </c>
      <c r="Q10">
        <f t="shared" si="2"/>
        <v>0.88888888888888884</v>
      </c>
    </row>
    <row r="11" spans="1:17">
      <c r="A11" t="s">
        <v>61</v>
      </c>
      <c r="B11" t="s">
        <v>63</v>
      </c>
      <c r="C11" t="s">
        <v>17</v>
      </c>
      <c r="D11" s="1">
        <v>44564</v>
      </c>
      <c r="E11" s="1">
        <v>44575</v>
      </c>
      <c r="F11">
        <v>36</v>
      </c>
      <c r="G11">
        <v>2</v>
      </c>
      <c r="I11">
        <v>38</v>
      </c>
      <c r="J11">
        <v>8</v>
      </c>
      <c r="K11">
        <v>5</v>
      </c>
      <c r="L11">
        <v>1</v>
      </c>
      <c r="M11">
        <v>4</v>
      </c>
      <c r="N11">
        <f t="shared" si="0"/>
        <v>456</v>
      </c>
      <c r="O11">
        <v>410</v>
      </c>
      <c r="P11">
        <f t="shared" si="1"/>
        <v>0.2</v>
      </c>
      <c r="Q11">
        <f t="shared" si="2"/>
        <v>0.89912280701754388</v>
      </c>
    </row>
    <row r="12" spans="1:17">
      <c r="A12" t="s">
        <v>61</v>
      </c>
      <c r="B12" t="s">
        <v>63</v>
      </c>
      <c r="C12" t="s">
        <v>18</v>
      </c>
      <c r="D12" s="1">
        <v>44578</v>
      </c>
      <c r="E12" s="1">
        <v>44589</v>
      </c>
      <c r="F12">
        <v>45</v>
      </c>
      <c r="G12">
        <v>0</v>
      </c>
      <c r="H12">
        <v>4</v>
      </c>
      <c r="I12">
        <v>41</v>
      </c>
      <c r="J12">
        <v>8</v>
      </c>
      <c r="K12">
        <v>3</v>
      </c>
      <c r="L12">
        <v>0</v>
      </c>
      <c r="M12">
        <v>3</v>
      </c>
      <c r="N12">
        <f t="shared" si="0"/>
        <v>462</v>
      </c>
      <c r="O12">
        <v>450</v>
      </c>
      <c r="P12">
        <f t="shared" si="1"/>
        <v>0</v>
      </c>
      <c r="Q12">
        <f t="shared" si="2"/>
        <v>0.97402597402597402</v>
      </c>
    </row>
    <row r="13" spans="1:17">
      <c r="A13" t="s">
        <v>61</v>
      </c>
      <c r="B13" t="s">
        <v>63</v>
      </c>
      <c r="C13" t="s">
        <v>19</v>
      </c>
      <c r="D13" s="1">
        <v>44592</v>
      </c>
      <c r="E13" s="1">
        <v>44603</v>
      </c>
      <c r="F13">
        <v>42</v>
      </c>
      <c r="G13">
        <v>0</v>
      </c>
      <c r="I13">
        <v>42</v>
      </c>
      <c r="J13">
        <v>8</v>
      </c>
      <c r="K13">
        <v>2</v>
      </c>
      <c r="L13">
        <v>0</v>
      </c>
      <c r="M13">
        <v>2</v>
      </c>
      <c r="N13">
        <f t="shared" si="0"/>
        <v>468</v>
      </c>
      <c r="O13">
        <v>460</v>
      </c>
      <c r="P13">
        <f t="shared" si="1"/>
        <v>0</v>
      </c>
      <c r="Q13">
        <f t="shared" si="2"/>
        <v>0.98290598290598286</v>
      </c>
    </row>
    <row r="14" spans="1:17">
      <c r="A14" t="s">
        <v>61</v>
      </c>
      <c r="B14" t="s">
        <v>64</v>
      </c>
      <c r="C14" t="s">
        <v>12</v>
      </c>
      <c r="D14" s="1">
        <v>44522</v>
      </c>
      <c r="E14" s="1">
        <v>44533</v>
      </c>
      <c r="F14">
        <v>35</v>
      </c>
      <c r="G14">
        <v>8</v>
      </c>
      <c r="I14">
        <v>31</v>
      </c>
      <c r="J14">
        <v>6</v>
      </c>
      <c r="K14">
        <v>22</v>
      </c>
      <c r="L14">
        <v>13</v>
      </c>
      <c r="M14">
        <v>2</v>
      </c>
      <c r="N14">
        <f t="shared" si="0"/>
        <v>348</v>
      </c>
      <c r="O14">
        <v>300</v>
      </c>
      <c r="P14">
        <f t="shared" si="1"/>
        <v>0.59090909090909094</v>
      </c>
      <c r="Q14">
        <f t="shared" si="2"/>
        <v>0.86206896551724133</v>
      </c>
    </row>
    <row r="15" spans="1:17">
      <c r="A15" t="s">
        <v>61</v>
      </c>
      <c r="B15" t="s">
        <v>64</v>
      </c>
      <c r="C15" t="s">
        <v>14</v>
      </c>
      <c r="D15" s="1">
        <v>44536</v>
      </c>
      <c r="E15" s="1">
        <v>44547</v>
      </c>
      <c r="F15">
        <v>32</v>
      </c>
      <c r="G15">
        <v>5</v>
      </c>
      <c r="I15">
        <v>33</v>
      </c>
      <c r="J15">
        <v>5</v>
      </c>
      <c r="K15">
        <v>16</v>
      </c>
      <c r="L15">
        <v>11</v>
      </c>
      <c r="M15">
        <v>1</v>
      </c>
      <c r="N15">
        <f t="shared" si="0"/>
        <v>294</v>
      </c>
      <c r="O15">
        <v>200</v>
      </c>
      <c r="P15">
        <f t="shared" si="1"/>
        <v>0.6875</v>
      </c>
      <c r="Q15">
        <f t="shared" si="2"/>
        <v>0.68027210884353739</v>
      </c>
    </row>
    <row r="16" spans="1:17">
      <c r="A16" t="s">
        <v>61</v>
      </c>
      <c r="B16" t="s">
        <v>64</v>
      </c>
      <c r="C16" t="s">
        <v>16</v>
      </c>
      <c r="D16" s="1">
        <v>44550</v>
      </c>
      <c r="E16" s="1">
        <v>44561</v>
      </c>
      <c r="F16">
        <v>34</v>
      </c>
      <c r="G16">
        <v>3</v>
      </c>
      <c r="I16">
        <v>37</v>
      </c>
      <c r="J16">
        <v>8</v>
      </c>
      <c r="K16">
        <v>12</v>
      </c>
      <c r="L16">
        <v>4</v>
      </c>
      <c r="M16">
        <v>1</v>
      </c>
      <c r="N16">
        <f t="shared" si="0"/>
        <v>474</v>
      </c>
      <c r="O16">
        <v>450</v>
      </c>
      <c r="P16">
        <f t="shared" si="1"/>
        <v>0.33333333333333331</v>
      </c>
      <c r="Q16">
        <f t="shared" si="2"/>
        <v>0.94936708860759489</v>
      </c>
    </row>
    <row r="17" spans="1:17">
      <c r="A17" t="s">
        <v>61</v>
      </c>
      <c r="B17" t="s">
        <v>64</v>
      </c>
      <c r="C17" t="s">
        <v>17</v>
      </c>
      <c r="D17" s="1">
        <v>44564</v>
      </c>
      <c r="E17" s="1">
        <v>44575</v>
      </c>
      <c r="F17">
        <v>36</v>
      </c>
      <c r="G17">
        <v>0</v>
      </c>
      <c r="I17">
        <v>36</v>
      </c>
      <c r="J17">
        <v>8</v>
      </c>
      <c r="K17">
        <v>11</v>
      </c>
      <c r="L17">
        <v>3</v>
      </c>
      <c r="M17">
        <v>2</v>
      </c>
      <c r="N17">
        <f t="shared" si="0"/>
        <v>468</v>
      </c>
      <c r="O17">
        <v>450</v>
      </c>
      <c r="P17">
        <f t="shared" si="1"/>
        <v>0.27272727272727271</v>
      </c>
      <c r="Q17">
        <f t="shared" si="2"/>
        <v>0.96153846153846156</v>
      </c>
    </row>
    <row r="18" spans="1:17">
      <c r="A18" t="s">
        <v>61</v>
      </c>
      <c r="B18" t="s">
        <v>64</v>
      </c>
      <c r="C18" t="s">
        <v>18</v>
      </c>
      <c r="D18" s="1">
        <v>44578</v>
      </c>
      <c r="E18" s="1">
        <v>44589</v>
      </c>
      <c r="F18">
        <v>35</v>
      </c>
      <c r="G18">
        <v>0</v>
      </c>
      <c r="I18">
        <v>35</v>
      </c>
      <c r="J18">
        <v>8</v>
      </c>
      <c r="K18">
        <v>5</v>
      </c>
      <c r="L18">
        <v>0</v>
      </c>
      <c r="M18">
        <v>2</v>
      </c>
      <c r="N18">
        <f t="shared" si="0"/>
        <v>468</v>
      </c>
      <c r="O18">
        <v>460</v>
      </c>
      <c r="P18">
        <f t="shared" si="1"/>
        <v>0</v>
      </c>
      <c r="Q18">
        <f t="shared" si="2"/>
        <v>0.98290598290598286</v>
      </c>
    </row>
    <row r="19" spans="1:17">
      <c r="A19" t="s">
        <v>61</v>
      </c>
      <c r="B19" t="s">
        <v>64</v>
      </c>
      <c r="C19" t="s">
        <v>19</v>
      </c>
      <c r="D19" s="1">
        <v>44592</v>
      </c>
      <c r="E19" s="1">
        <v>44603</v>
      </c>
      <c r="F19">
        <v>37</v>
      </c>
      <c r="G19">
        <v>0</v>
      </c>
      <c r="I19">
        <v>37</v>
      </c>
      <c r="J19">
        <v>8</v>
      </c>
      <c r="K19">
        <v>2</v>
      </c>
      <c r="L19">
        <v>0</v>
      </c>
      <c r="M19">
        <v>1</v>
      </c>
      <c r="N19">
        <f t="shared" si="0"/>
        <v>474</v>
      </c>
      <c r="O19">
        <v>470</v>
      </c>
      <c r="P19">
        <f t="shared" si="1"/>
        <v>0</v>
      </c>
      <c r="Q19">
        <f t="shared" si="2"/>
        <v>0.99156118143459915</v>
      </c>
    </row>
    <row r="20" spans="1:17">
      <c r="A20" t="s">
        <v>61</v>
      </c>
      <c r="B20" t="s">
        <v>65</v>
      </c>
      <c r="C20" t="s">
        <v>12</v>
      </c>
      <c r="D20" s="1">
        <v>44522</v>
      </c>
      <c r="E20" s="1">
        <v>44533</v>
      </c>
      <c r="F20">
        <v>20</v>
      </c>
      <c r="G20">
        <v>0</v>
      </c>
      <c r="H20">
        <v>6</v>
      </c>
      <c r="I20">
        <v>12</v>
      </c>
      <c r="J20">
        <v>4</v>
      </c>
      <c r="K20">
        <v>12</v>
      </c>
      <c r="L20">
        <v>6</v>
      </c>
      <c r="M20">
        <v>2</v>
      </c>
      <c r="N20">
        <f t="shared" si="0"/>
        <v>228</v>
      </c>
      <c r="O20">
        <v>200</v>
      </c>
      <c r="P20">
        <f t="shared" si="1"/>
        <v>0.5</v>
      </c>
      <c r="Q20">
        <f t="shared" si="2"/>
        <v>0.8771929824561403</v>
      </c>
    </row>
    <row r="21" spans="1:17">
      <c r="A21" t="s">
        <v>61</v>
      </c>
      <c r="B21" t="s">
        <v>65</v>
      </c>
      <c r="C21" t="s">
        <v>14</v>
      </c>
      <c r="D21" s="1">
        <v>44536</v>
      </c>
      <c r="E21" s="1">
        <v>44547</v>
      </c>
      <c r="F21">
        <v>16</v>
      </c>
      <c r="G21">
        <v>0</v>
      </c>
      <c r="H21">
        <v>5</v>
      </c>
      <c r="I21">
        <v>11</v>
      </c>
      <c r="J21">
        <v>4</v>
      </c>
      <c r="K21">
        <v>11</v>
      </c>
      <c r="L21">
        <v>5</v>
      </c>
      <c r="M21">
        <v>1</v>
      </c>
      <c r="N21">
        <f t="shared" si="0"/>
        <v>234</v>
      </c>
      <c r="O21">
        <v>200</v>
      </c>
      <c r="P21">
        <f t="shared" si="1"/>
        <v>0.45454545454545453</v>
      </c>
      <c r="Q21">
        <f t="shared" si="2"/>
        <v>0.85470085470085466</v>
      </c>
    </row>
    <row r="22" spans="1:17">
      <c r="A22" t="s">
        <v>61</v>
      </c>
      <c r="B22" t="s">
        <v>65</v>
      </c>
      <c r="C22" t="s">
        <v>16</v>
      </c>
      <c r="D22" s="1">
        <v>44550</v>
      </c>
      <c r="E22" s="1">
        <v>44561</v>
      </c>
      <c r="F22">
        <v>17</v>
      </c>
      <c r="G22">
        <v>0</v>
      </c>
      <c r="I22">
        <v>16</v>
      </c>
      <c r="J22">
        <v>5</v>
      </c>
      <c r="K22">
        <v>17</v>
      </c>
      <c r="L22">
        <v>5</v>
      </c>
      <c r="M22">
        <v>2</v>
      </c>
      <c r="N22">
        <f t="shared" si="0"/>
        <v>288</v>
      </c>
      <c r="O22">
        <v>240</v>
      </c>
      <c r="P22">
        <f t="shared" si="1"/>
        <v>0.29411764705882354</v>
      </c>
      <c r="Q22">
        <f t="shared" si="2"/>
        <v>0.83333333333333337</v>
      </c>
    </row>
    <row r="23" spans="1:17">
      <c r="A23" t="s">
        <v>61</v>
      </c>
      <c r="B23" t="s">
        <v>65</v>
      </c>
      <c r="C23" t="s">
        <v>17</v>
      </c>
      <c r="D23" s="1">
        <v>44564</v>
      </c>
      <c r="E23" s="1">
        <v>44575</v>
      </c>
      <c r="F23">
        <v>21</v>
      </c>
      <c r="G23">
        <v>0</v>
      </c>
      <c r="I23">
        <v>21</v>
      </c>
      <c r="J23">
        <v>4</v>
      </c>
      <c r="K23">
        <v>4</v>
      </c>
      <c r="L23">
        <v>0</v>
      </c>
      <c r="M23">
        <v>2</v>
      </c>
      <c r="N23">
        <f t="shared" si="0"/>
        <v>228</v>
      </c>
      <c r="O23">
        <v>220</v>
      </c>
      <c r="P23">
        <f t="shared" si="1"/>
        <v>0</v>
      </c>
      <c r="Q23">
        <f t="shared" si="2"/>
        <v>0.96491228070175439</v>
      </c>
    </row>
    <row r="24" spans="1:17">
      <c r="A24" t="s">
        <v>61</v>
      </c>
      <c r="B24" t="s">
        <v>65</v>
      </c>
      <c r="C24" t="s">
        <v>18</v>
      </c>
      <c r="D24" s="1">
        <v>44578</v>
      </c>
      <c r="E24" s="1">
        <v>44589</v>
      </c>
      <c r="F24">
        <v>23</v>
      </c>
      <c r="G24">
        <v>0</v>
      </c>
      <c r="I24">
        <v>23</v>
      </c>
      <c r="J24">
        <v>8</v>
      </c>
      <c r="K24">
        <v>4</v>
      </c>
      <c r="L24">
        <v>0</v>
      </c>
      <c r="M24">
        <v>2</v>
      </c>
      <c r="N24">
        <f t="shared" si="0"/>
        <v>468</v>
      </c>
      <c r="O24">
        <v>400</v>
      </c>
      <c r="P24">
        <f t="shared" si="1"/>
        <v>0</v>
      </c>
      <c r="Q24">
        <f t="shared" si="2"/>
        <v>0.85470085470085466</v>
      </c>
    </row>
    <row r="25" spans="1:17">
      <c r="A25" t="s">
        <v>61</v>
      </c>
      <c r="B25" t="s">
        <v>65</v>
      </c>
      <c r="C25" t="s">
        <v>19</v>
      </c>
      <c r="D25" s="1">
        <v>44592</v>
      </c>
      <c r="E25" s="1">
        <v>44603</v>
      </c>
      <c r="F25">
        <v>25</v>
      </c>
      <c r="G25">
        <v>0</v>
      </c>
      <c r="I25">
        <v>25</v>
      </c>
      <c r="J25">
        <v>8</v>
      </c>
      <c r="K25">
        <v>3</v>
      </c>
      <c r="L25">
        <v>0</v>
      </c>
      <c r="M25">
        <v>0</v>
      </c>
      <c r="N25">
        <f t="shared" si="0"/>
        <v>480</v>
      </c>
      <c r="O25">
        <v>450</v>
      </c>
      <c r="P25">
        <f t="shared" si="1"/>
        <v>0</v>
      </c>
      <c r="Q25">
        <f t="shared" si="2"/>
        <v>0.9375</v>
      </c>
    </row>
    <row r="26" spans="1:17">
      <c r="A26" t="s">
        <v>61</v>
      </c>
      <c r="B26" t="s">
        <v>13</v>
      </c>
      <c r="C26" t="s">
        <v>12</v>
      </c>
      <c r="D26" s="1">
        <v>44522</v>
      </c>
      <c r="E26" s="1">
        <v>44533</v>
      </c>
      <c r="F26">
        <v>35</v>
      </c>
      <c r="G26">
        <v>21</v>
      </c>
      <c r="I26">
        <v>22</v>
      </c>
      <c r="J26">
        <v>7</v>
      </c>
      <c r="K26">
        <v>15</v>
      </c>
      <c r="L26">
        <v>11</v>
      </c>
      <c r="M26">
        <v>1</v>
      </c>
      <c r="N26">
        <f t="shared" si="0"/>
        <v>414</v>
      </c>
      <c r="O26">
        <v>300</v>
      </c>
      <c r="P26">
        <f t="shared" si="1"/>
        <v>0.73333333333333328</v>
      </c>
      <c r="Q26">
        <f t="shared" si="2"/>
        <v>0.72463768115942029</v>
      </c>
    </row>
    <row r="27" spans="1:17">
      <c r="A27" t="s">
        <v>61</v>
      </c>
      <c r="B27" t="s">
        <v>13</v>
      </c>
      <c r="C27" t="s">
        <v>14</v>
      </c>
      <c r="D27" s="1">
        <v>44536</v>
      </c>
      <c r="E27" s="1">
        <v>44547</v>
      </c>
      <c r="F27">
        <v>25</v>
      </c>
      <c r="G27">
        <v>5</v>
      </c>
      <c r="I27">
        <v>28</v>
      </c>
      <c r="J27">
        <v>8</v>
      </c>
      <c r="K27">
        <v>10</v>
      </c>
      <c r="L27">
        <v>6</v>
      </c>
      <c r="M27">
        <v>1</v>
      </c>
      <c r="N27">
        <f t="shared" si="0"/>
        <v>474</v>
      </c>
      <c r="O27">
        <v>350</v>
      </c>
      <c r="P27">
        <f t="shared" si="1"/>
        <v>0.6</v>
      </c>
      <c r="Q27">
        <f t="shared" si="2"/>
        <v>0.73839662447257381</v>
      </c>
    </row>
    <row r="28" spans="1:17">
      <c r="A28" t="s">
        <v>61</v>
      </c>
      <c r="B28" t="s">
        <v>13</v>
      </c>
      <c r="C28" t="s">
        <v>16</v>
      </c>
      <c r="D28" s="1">
        <v>44550</v>
      </c>
      <c r="E28" s="1">
        <v>44561</v>
      </c>
      <c r="F28">
        <v>27</v>
      </c>
      <c r="G28">
        <v>0</v>
      </c>
      <c r="I28">
        <v>27</v>
      </c>
      <c r="J28">
        <v>8</v>
      </c>
      <c r="K28">
        <v>12</v>
      </c>
      <c r="L28">
        <v>5</v>
      </c>
      <c r="M28">
        <v>0</v>
      </c>
      <c r="N28">
        <f t="shared" si="0"/>
        <v>480</v>
      </c>
      <c r="O28">
        <v>500</v>
      </c>
      <c r="P28">
        <f t="shared" si="1"/>
        <v>0.41666666666666669</v>
      </c>
      <c r="Q28">
        <f t="shared" si="2"/>
        <v>1.0416666666666667</v>
      </c>
    </row>
    <row r="29" spans="1:17">
      <c r="A29" t="s">
        <v>61</v>
      </c>
      <c r="B29" t="s">
        <v>13</v>
      </c>
      <c r="C29" t="s">
        <v>17</v>
      </c>
      <c r="D29" s="1">
        <v>44564</v>
      </c>
      <c r="E29" s="1">
        <v>44575</v>
      </c>
      <c r="F29">
        <v>29</v>
      </c>
      <c r="G29">
        <v>0</v>
      </c>
      <c r="I29">
        <v>29</v>
      </c>
      <c r="J29">
        <v>8</v>
      </c>
      <c r="K29">
        <v>11</v>
      </c>
      <c r="L29">
        <v>3</v>
      </c>
      <c r="M29">
        <v>1</v>
      </c>
      <c r="N29">
        <f t="shared" si="0"/>
        <v>474</v>
      </c>
      <c r="O29">
        <v>450</v>
      </c>
      <c r="P29">
        <f t="shared" si="1"/>
        <v>0.27272727272727271</v>
      </c>
      <c r="Q29">
        <f t="shared" si="2"/>
        <v>0.94936708860759489</v>
      </c>
    </row>
    <row r="30" spans="1:17">
      <c r="A30" t="s">
        <v>61</v>
      </c>
      <c r="B30" t="s">
        <v>13</v>
      </c>
      <c r="C30" t="s">
        <v>18</v>
      </c>
      <c r="D30" s="1">
        <v>44578</v>
      </c>
      <c r="E30" s="1">
        <v>44589</v>
      </c>
      <c r="F30">
        <v>30</v>
      </c>
      <c r="G30">
        <v>0</v>
      </c>
      <c r="I30">
        <v>30</v>
      </c>
      <c r="J30">
        <v>8</v>
      </c>
      <c r="K30">
        <v>9</v>
      </c>
      <c r="L30">
        <v>2</v>
      </c>
      <c r="M30">
        <v>0</v>
      </c>
      <c r="N30">
        <f t="shared" si="0"/>
        <v>480</v>
      </c>
      <c r="O30">
        <v>420</v>
      </c>
      <c r="P30">
        <f t="shared" si="1"/>
        <v>0.22222222222222221</v>
      </c>
      <c r="Q30">
        <f t="shared" si="2"/>
        <v>0.875</v>
      </c>
    </row>
    <row r="31" spans="1:17">
      <c r="A31" t="s">
        <v>61</v>
      </c>
      <c r="B31" t="s">
        <v>13</v>
      </c>
      <c r="C31" t="s">
        <v>19</v>
      </c>
      <c r="D31" s="1">
        <v>44592</v>
      </c>
      <c r="E31" s="1">
        <v>44603</v>
      </c>
      <c r="F31">
        <v>32</v>
      </c>
      <c r="G31">
        <v>0</v>
      </c>
      <c r="H31">
        <v>4</v>
      </c>
      <c r="I31">
        <v>28</v>
      </c>
      <c r="J31">
        <v>8</v>
      </c>
      <c r="K31">
        <v>4</v>
      </c>
      <c r="L31">
        <v>0</v>
      </c>
      <c r="M31">
        <v>2</v>
      </c>
      <c r="N31">
        <f t="shared" si="0"/>
        <v>468</v>
      </c>
      <c r="O31">
        <v>455</v>
      </c>
      <c r="P31">
        <f t="shared" si="1"/>
        <v>0</v>
      </c>
      <c r="Q31">
        <f t="shared" si="2"/>
        <v>0.97222222222222221</v>
      </c>
    </row>
    <row r="32" spans="1:17">
      <c r="A32" t="s">
        <v>61</v>
      </c>
      <c r="B32" t="s">
        <v>66</v>
      </c>
      <c r="C32" t="s">
        <v>12</v>
      </c>
      <c r="D32" s="1">
        <v>44522</v>
      </c>
      <c r="E32" s="1">
        <v>44533</v>
      </c>
      <c r="F32">
        <v>33</v>
      </c>
      <c r="G32">
        <v>0</v>
      </c>
      <c r="H32">
        <v>4</v>
      </c>
      <c r="I32">
        <v>29</v>
      </c>
      <c r="J32">
        <v>7</v>
      </c>
      <c r="K32">
        <v>12</v>
      </c>
      <c r="L32">
        <v>5</v>
      </c>
      <c r="M32">
        <v>2</v>
      </c>
      <c r="N32">
        <f t="shared" si="0"/>
        <v>408</v>
      </c>
      <c r="O32">
        <v>300</v>
      </c>
      <c r="P32">
        <f t="shared" si="1"/>
        <v>0.41666666666666669</v>
      </c>
      <c r="Q32">
        <f t="shared" si="2"/>
        <v>0.73529411764705888</v>
      </c>
    </row>
    <row r="33" spans="1:17">
      <c r="A33" t="s">
        <v>61</v>
      </c>
      <c r="B33" t="s">
        <v>66</v>
      </c>
      <c r="C33" t="s">
        <v>14</v>
      </c>
      <c r="D33" s="1">
        <v>44536</v>
      </c>
      <c r="E33" s="1">
        <v>44547</v>
      </c>
      <c r="F33">
        <v>31</v>
      </c>
      <c r="G33">
        <v>0</v>
      </c>
      <c r="I33">
        <v>31</v>
      </c>
      <c r="J33">
        <v>8</v>
      </c>
      <c r="K33">
        <v>13</v>
      </c>
      <c r="L33">
        <v>2</v>
      </c>
      <c r="M33">
        <v>5</v>
      </c>
      <c r="N33">
        <f t="shared" si="0"/>
        <v>450</v>
      </c>
      <c r="O33">
        <v>350</v>
      </c>
      <c r="P33">
        <f t="shared" si="1"/>
        <v>0.15384615384615385</v>
      </c>
      <c r="Q33">
        <f t="shared" si="2"/>
        <v>0.77777777777777779</v>
      </c>
    </row>
    <row r="34" spans="1:17">
      <c r="A34" t="s">
        <v>61</v>
      </c>
      <c r="B34" t="s">
        <v>66</v>
      </c>
      <c r="C34" t="s">
        <v>16</v>
      </c>
      <c r="D34" s="1">
        <v>44550</v>
      </c>
      <c r="E34" s="1">
        <v>44561</v>
      </c>
      <c r="F34">
        <v>37</v>
      </c>
      <c r="G34">
        <v>0</v>
      </c>
      <c r="I34">
        <v>47</v>
      </c>
      <c r="J34">
        <v>8</v>
      </c>
      <c r="K34">
        <v>14</v>
      </c>
      <c r="L34">
        <v>2</v>
      </c>
      <c r="M34">
        <v>2</v>
      </c>
      <c r="N34">
        <f t="shared" ref="N34:N55" si="3">(J34*10-M34)*6</f>
        <v>468</v>
      </c>
      <c r="O34">
        <v>400</v>
      </c>
      <c r="P34">
        <f t="shared" ref="P34:P55" si="4">L34/K34</f>
        <v>0.14285714285714285</v>
      </c>
      <c r="Q34">
        <f t="shared" ref="Q34:Q55" si="5">O34/N34</f>
        <v>0.85470085470085466</v>
      </c>
    </row>
    <row r="35" spans="1:17">
      <c r="A35" t="s">
        <v>61</v>
      </c>
      <c r="B35" t="s">
        <v>66</v>
      </c>
      <c r="C35" t="s">
        <v>17</v>
      </c>
      <c r="D35" s="1">
        <v>44564</v>
      </c>
      <c r="E35" s="1">
        <v>44575</v>
      </c>
      <c r="F35">
        <v>41</v>
      </c>
      <c r="G35">
        <v>0</v>
      </c>
      <c r="I35">
        <v>41</v>
      </c>
      <c r="J35">
        <v>8</v>
      </c>
      <c r="K35">
        <v>11</v>
      </c>
      <c r="L35">
        <v>1</v>
      </c>
      <c r="M35">
        <v>1</v>
      </c>
      <c r="N35">
        <f t="shared" si="3"/>
        <v>474</v>
      </c>
      <c r="O35">
        <v>430</v>
      </c>
      <c r="P35">
        <f t="shared" si="4"/>
        <v>9.0909090909090912E-2</v>
      </c>
      <c r="Q35">
        <f t="shared" si="5"/>
        <v>0.90717299578059074</v>
      </c>
    </row>
    <row r="36" spans="1:17">
      <c r="A36" t="s">
        <v>61</v>
      </c>
      <c r="B36" t="s">
        <v>66</v>
      </c>
      <c r="C36" t="s">
        <v>18</v>
      </c>
      <c r="D36" s="1">
        <v>44578</v>
      </c>
      <c r="E36" s="1">
        <v>44589</v>
      </c>
      <c r="F36">
        <v>42</v>
      </c>
      <c r="G36">
        <v>0</v>
      </c>
      <c r="I36">
        <v>42</v>
      </c>
      <c r="J36">
        <v>8</v>
      </c>
      <c r="K36">
        <v>9</v>
      </c>
      <c r="L36">
        <v>0</v>
      </c>
      <c r="M36">
        <v>1</v>
      </c>
      <c r="N36">
        <f t="shared" si="3"/>
        <v>474</v>
      </c>
      <c r="O36">
        <v>450</v>
      </c>
      <c r="P36">
        <f t="shared" si="4"/>
        <v>0</v>
      </c>
      <c r="Q36">
        <f t="shared" si="5"/>
        <v>0.94936708860759489</v>
      </c>
    </row>
    <row r="37" spans="1:17">
      <c r="A37" t="s">
        <v>61</v>
      </c>
      <c r="B37" t="s">
        <v>66</v>
      </c>
      <c r="C37" t="s">
        <v>19</v>
      </c>
      <c r="D37" s="1">
        <v>44592</v>
      </c>
      <c r="E37" s="1">
        <v>44603</v>
      </c>
      <c r="F37">
        <v>45</v>
      </c>
      <c r="G37">
        <v>0</v>
      </c>
      <c r="I37">
        <v>42</v>
      </c>
      <c r="J37">
        <v>8</v>
      </c>
      <c r="K37">
        <v>8</v>
      </c>
      <c r="L37">
        <v>0</v>
      </c>
      <c r="M37">
        <v>2</v>
      </c>
      <c r="N37">
        <f t="shared" si="3"/>
        <v>468</v>
      </c>
      <c r="O37">
        <v>450</v>
      </c>
      <c r="P37">
        <f t="shared" si="4"/>
        <v>0</v>
      </c>
      <c r="Q37">
        <f t="shared" si="5"/>
        <v>0.96153846153846156</v>
      </c>
    </row>
    <row r="38" spans="1:17">
      <c r="A38" t="s">
        <v>61</v>
      </c>
      <c r="B38" t="s">
        <v>67</v>
      </c>
      <c r="C38" t="s">
        <v>12</v>
      </c>
      <c r="D38" s="1">
        <v>44522</v>
      </c>
      <c r="E38" s="1">
        <v>44533</v>
      </c>
      <c r="F38">
        <v>37</v>
      </c>
      <c r="G38">
        <v>12</v>
      </c>
      <c r="I38">
        <v>33</v>
      </c>
      <c r="J38">
        <v>8</v>
      </c>
      <c r="K38">
        <v>7</v>
      </c>
      <c r="L38">
        <v>2</v>
      </c>
      <c r="M38">
        <v>5</v>
      </c>
      <c r="N38">
        <f t="shared" si="3"/>
        <v>450</v>
      </c>
      <c r="O38">
        <v>300</v>
      </c>
      <c r="P38">
        <f t="shared" si="4"/>
        <v>0.2857142857142857</v>
      </c>
      <c r="Q38">
        <f t="shared" si="5"/>
        <v>0.66666666666666663</v>
      </c>
    </row>
    <row r="39" spans="1:17">
      <c r="A39" t="s">
        <v>61</v>
      </c>
      <c r="B39" t="s">
        <v>67</v>
      </c>
      <c r="C39" t="s">
        <v>14</v>
      </c>
      <c r="D39" s="1">
        <v>44536</v>
      </c>
      <c r="E39" s="1">
        <v>44547</v>
      </c>
      <c r="F39">
        <v>38</v>
      </c>
      <c r="G39">
        <v>15</v>
      </c>
      <c r="I39">
        <v>35</v>
      </c>
      <c r="J39">
        <v>8</v>
      </c>
      <c r="K39">
        <v>8</v>
      </c>
      <c r="L39">
        <v>1</v>
      </c>
      <c r="M39">
        <v>1</v>
      </c>
      <c r="N39">
        <f t="shared" si="3"/>
        <v>474</v>
      </c>
      <c r="O39">
        <v>350</v>
      </c>
      <c r="P39">
        <f t="shared" si="4"/>
        <v>0.125</v>
      </c>
      <c r="Q39">
        <f t="shared" si="5"/>
        <v>0.73839662447257381</v>
      </c>
    </row>
    <row r="40" spans="1:17">
      <c r="A40" t="s">
        <v>61</v>
      </c>
      <c r="B40" t="s">
        <v>67</v>
      </c>
      <c r="C40" t="s">
        <v>16</v>
      </c>
      <c r="D40" s="1">
        <v>44550</v>
      </c>
      <c r="E40" s="1">
        <v>44561</v>
      </c>
      <c r="F40">
        <v>40</v>
      </c>
      <c r="G40">
        <v>5</v>
      </c>
      <c r="I40">
        <v>41</v>
      </c>
      <c r="J40">
        <v>8</v>
      </c>
      <c r="K40">
        <v>4</v>
      </c>
      <c r="L40">
        <v>1</v>
      </c>
      <c r="M40">
        <v>2</v>
      </c>
      <c r="N40">
        <f t="shared" si="3"/>
        <v>468</v>
      </c>
      <c r="O40">
        <v>405</v>
      </c>
      <c r="P40">
        <f t="shared" si="4"/>
        <v>0.25</v>
      </c>
      <c r="Q40">
        <f t="shared" si="5"/>
        <v>0.86538461538461542</v>
      </c>
    </row>
    <row r="41" spans="1:17">
      <c r="A41" t="s">
        <v>61</v>
      </c>
      <c r="B41" t="s">
        <v>67</v>
      </c>
      <c r="C41" t="s">
        <v>17</v>
      </c>
      <c r="D41" s="1">
        <v>44564</v>
      </c>
      <c r="E41" s="1">
        <v>44575</v>
      </c>
      <c r="F41">
        <v>40</v>
      </c>
      <c r="G41">
        <v>3</v>
      </c>
      <c r="I41">
        <v>40</v>
      </c>
      <c r="J41">
        <v>8</v>
      </c>
      <c r="K41">
        <v>3</v>
      </c>
      <c r="L41">
        <v>1</v>
      </c>
      <c r="M41">
        <v>1</v>
      </c>
      <c r="N41">
        <f t="shared" si="3"/>
        <v>474</v>
      </c>
      <c r="O41">
        <v>450</v>
      </c>
      <c r="P41">
        <f t="shared" si="4"/>
        <v>0.33333333333333331</v>
      </c>
      <c r="Q41">
        <f t="shared" si="5"/>
        <v>0.94936708860759489</v>
      </c>
    </row>
    <row r="42" spans="1:17">
      <c r="A42" t="s">
        <v>61</v>
      </c>
      <c r="B42" t="s">
        <v>67</v>
      </c>
      <c r="C42" t="s">
        <v>18</v>
      </c>
      <c r="D42" s="1">
        <v>44578</v>
      </c>
      <c r="E42" s="1">
        <v>44589</v>
      </c>
      <c r="F42">
        <v>45</v>
      </c>
      <c r="G42">
        <v>0</v>
      </c>
      <c r="H42">
        <v>4</v>
      </c>
      <c r="I42">
        <v>41</v>
      </c>
      <c r="J42">
        <v>9</v>
      </c>
      <c r="K42">
        <v>2</v>
      </c>
      <c r="L42">
        <v>0</v>
      </c>
      <c r="M42">
        <v>2</v>
      </c>
      <c r="N42">
        <f t="shared" si="3"/>
        <v>528</v>
      </c>
      <c r="O42">
        <v>498</v>
      </c>
      <c r="P42">
        <f t="shared" si="4"/>
        <v>0</v>
      </c>
      <c r="Q42">
        <f t="shared" si="5"/>
        <v>0.94318181818181823</v>
      </c>
    </row>
    <row r="43" spans="1:17">
      <c r="A43" t="s">
        <v>61</v>
      </c>
      <c r="B43" t="s">
        <v>67</v>
      </c>
      <c r="C43" t="s">
        <v>19</v>
      </c>
      <c r="D43" s="1">
        <v>44592</v>
      </c>
      <c r="E43" s="1">
        <v>44603</v>
      </c>
      <c r="F43">
        <v>45</v>
      </c>
      <c r="G43">
        <v>0</v>
      </c>
      <c r="I43">
        <v>45</v>
      </c>
      <c r="J43">
        <v>8</v>
      </c>
      <c r="K43">
        <v>3</v>
      </c>
      <c r="L43">
        <v>0</v>
      </c>
      <c r="M43">
        <v>1</v>
      </c>
      <c r="N43">
        <f t="shared" si="3"/>
        <v>474</v>
      </c>
      <c r="O43">
        <v>470</v>
      </c>
      <c r="P43">
        <f t="shared" si="4"/>
        <v>0</v>
      </c>
      <c r="Q43">
        <f t="shared" si="5"/>
        <v>0.99156118143459915</v>
      </c>
    </row>
    <row r="44" spans="1:17">
      <c r="A44" t="s">
        <v>61</v>
      </c>
      <c r="B44" t="s">
        <v>68</v>
      </c>
      <c r="C44" t="s">
        <v>12</v>
      </c>
      <c r="D44" s="1">
        <v>44522</v>
      </c>
      <c r="E44" s="1">
        <v>44533</v>
      </c>
      <c r="F44">
        <v>33</v>
      </c>
      <c r="G44">
        <v>5</v>
      </c>
      <c r="I44">
        <v>34</v>
      </c>
      <c r="J44">
        <v>8</v>
      </c>
      <c r="K44">
        <v>12</v>
      </c>
      <c r="L44">
        <v>6</v>
      </c>
      <c r="M44">
        <v>2</v>
      </c>
      <c r="N44">
        <f t="shared" si="3"/>
        <v>468</v>
      </c>
      <c r="O44">
        <v>300</v>
      </c>
      <c r="P44">
        <f t="shared" si="4"/>
        <v>0.5</v>
      </c>
      <c r="Q44">
        <f t="shared" si="5"/>
        <v>0.64102564102564108</v>
      </c>
    </row>
    <row r="45" spans="1:17">
      <c r="A45" t="s">
        <v>61</v>
      </c>
      <c r="B45" t="s">
        <v>68</v>
      </c>
      <c r="C45" t="s">
        <v>14</v>
      </c>
      <c r="D45" s="1">
        <v>44536</v>
      </c>
      <c r="E45" s="1">
        <v>44547</v>
      </c>
      <c r="F45">
        <v>35</v>
      </c>
      <c r="G45">
        <v>7</v>
      </c>
      <c r="I45">
        <v>35</v>
      </c>
      <c r="J45">
        <v>8</v>
      </c>
      <c r="K45">
        <v>8</v>
      </c>
      <c r="L45">
        <v>4</v>
      </c>
      <c r="M45">
        <v>1</v>
      </c>
      <c r="N45">
        <f t="shared" si="3"/>
        <v>474</v>
      </c>
      <c r="O45">
        <v>350</v>
      </c>
      <c r="P45">
        <f t="shared" si="4"/>
        <v>0.5</v>
      </c>
      <c r="Q45">
        <f t="shared" si="5"/>
        <v>0.73839662447257381</v>
      </c>
    </row>
    <row r="46" spans="1:17">
      <c r="A46" t="s">
        <v>61</v>
      </c>
      <c r="B46" t="s">
        <v>68</v>
      </c>
      <c r="C46" t="s">
        <v>16</v>
      </c>
      <c r="D46" s="1">
        <v>44550</v>
      </c>
      <c r="E46" s="1">
        <v>44561</v>
      </c>
      <c r="F46">
        <v>35</v>
      </c>
      <c r="G46">
        <v>5</v>
      </c>
      <c r="I46">
        <v>36</v>
      </c>
      <c r="J46">
        <v>8</v>
      </c>
      <c r="K46">
        <v>7</v>
      </c>
      <c r="L46">
        <v>2</v>
      </c>
      <c r="M46">
        <v>3</v>
      </c>
      <c r="N46">
        <f t="shared" si="3"/>
        <v>462</v>
      </c>
      <c r="O46">
        <v>450</v>
      </c>
      <c r="P46">
        <f t="shared" si="4"/>
        <v>0.2857142857142857</v>
      </c>
      <c r="Q46">
        <f t="shared" si="5"/>
        <v>0.97402597402597402</v>
      </c>
    </row>
    <row r="47" spans="1:17">
      <c r="A47" t="s">
        <v>61</v>
      </c>
      <c r="B47" t="s">
        <v>68</v>
      </c>
      <c r="C47" t="s">
        <v>17</v>
      </c>
      <c r="D47" s="1">
        <v>44564</v>
      </c>
      <c r="E47" s="1">
        <v>44575</v>
      </c>
      <c r="F47">
        <v>37</v>
      </c>
      <c r="G47">
        <v>0</v>
      </c>
      <c r="H47">
        <v>6</v>
      </c>
      <c r="I47">
        <v>31</v>
      </c>
      <c r="J47">
        <v>8</v>
      </c>
      <c r="K47">
        <v>5</v>
      </c>
      <c r="L47">
        <v>2</v>
      </c>
      <c r="M47">
        <v>1</v>
      </c>
      <c r="N47">
        <f t="shared" si="3"/>
        <v>474</v>
      </c>
      <c r="O47">
        <v>450</v>
      </c>
      <c r="P47">
        <f t="shared" si="4"/>
        <v>0.4</v>
      </c>
      <c r="Q47">
        <f t="shared" si="5"/>
        <v>0.94936708860759489</v>
      </c>
    </row>
    <row r="48" spans="1:17">
      <c r="A48" t="s">
        <v>61</v>
      </c>
      <c r="B48" t="s">
        <v>68</v>
      </c>
      <c r="C48" t="s">
        <v>18</v>
      </c>
      <c r="D48" s="1">
        <v>44578</v>
      </c>
      <c r="E48" s="1">
        <v>44589</v>
      </c>
      <c r="F48">
        <v>40</v>
      </c>
      <c r="G48">
        <v>0</v>
      </c>
      <c r="I48">
        <v>40</v>
      </c>
      <c r="J48">
        <v>8</v>
      </c>
      <c r="K48">
        <v>2</v>
      </c>
      <c r="L48">
        <v>0</v>
      </c>
      <c r="M48">
        <v>2</v>
      </c>
      <c r="N48">
        <f t="shared" si="3"/>
        <v>468</v>
      </c>
      <c r="O48">
        <v>460</v>
      </c>
      <c r="P48">
        <f t="shared" si="4"/>
        <v>0</v>
      </c>
      <c r="Q48">
        <f t="shared" si="5"/>
        <v>0.98290598290598286</v>
      </c>
    </row>
    <row r="49" spans="1:17">
      <c r="A49" t="s">
        <v>61</v>
      </c>
      <c r="B49" t="s">
        <v>68</v>
      </c>
      <c r="C49" t="s">
        <v>19</v>
      </c>
      <c r="D49" s="1">
        <v>44592</v>
      </c>
      <c r="E49" s="1">
        <v>44603</v>
      </c>
      <c r="F49">
        <v>42</v>
      </c>
      <c r="G49">
        <v>0</v>
      </c>
      <c r="I49">
        <v>42</v>
      </c>
      <c r="J49">
        <v>8</v>
      </c>
      <c r="K49">
        <v>3</v>
      </c>
      <c r="L49">
        <v>0</v>
      </c>
      <c r="M49">
        <v>2</v>
      </c>
      <c r="N49">
        <f t="shared" si="3"/>
        <v>468</v>
      </c>
      <c r="O49">
        <v>460</v>
      </c>
      <c r="P49">
        <f t="shared" si="4"/>
        <v>0</v>
      </c>
      <c r="Q49">
        <f t="shared" si="5"/>
        <v>0.98290598290598286</v>
      </c>
    </row>
    <row r="50" spans="1:17">
      <c r="A50" t="s">
        <v>61</v>
      </c>
      <c r="B50" t="s">
        <v>69</v>
      </c>
      <c r="C50" t="s">
        <v>12</v>
      </c>
      <c r="D50" s="1">
        <v>44522</v>
      </c>
      <c r="E50" s="1">
        <v>44533</v>
      </c>
      <c r="F50">
        <v>32</v>
      </c>
      <c r="G50">
        <v>23</v>
      </c>
      <c r="I50">
        <v>25</v>
      </c>
      <c r="J50">
        <v>8</v>
      </c>
      <c r="K50">
        <v>22</v>
      </c>
      <c r="L50">
        <v>17</v>
      </c>
      <c r="M50">
        <v>2</v>
      </c>
      <c r="N50">
        <f t="shared" si="3"/>
        <v>468</v>
      </c>
      <c r="O50">
        <v>320</v>
      </c>
      <c r="P50">
        <f t="shared" si="4"/>
        <v>0.77272727272727271</v>
      </c>
      <c r="Q50">
        <f t="shared" si="5"/>
        <v>0.68376068376068377</v>
      </c>
    </row>
    <row r="51" spans="1:17">
      <c r="A51" t="s">
        <v>61</v>
      </c>
      <c r="B51" t="s">
        <v>69</v>
      </c>
      <c r="C51" t="s">
        <v>14</v>
      </c>
      <c r="D51" s="1">
        <v>44536</v>
      </c>
      <c r="E51" s="1">
        <v>44547</v>
      </c>
      <c r="F51">
        <v>42</v>
      </c>
      <c r="G51">
        <v>22</v>
      </c>
      <c r="I51">
        <v>32</v>
      </c>
      <c r="J51">
        <v>8</v>
      </c>
      <c r="K51">
        <v>10</v>
      </c>
      <c r="L51">
        <v>5</v>
      </c>
      <c r="M51">
        <v>3</v>
      </c>
      <c r="N51">
        <f t="shared" si="3"/>
        <v>462</v>
      </c>
      <c r="O51">
        <v>350</v>
      </c>
      <c r="P51">
        <f t="shared" si="4"/>
        <v>0.5</v>
      </c>
      <c r="Q51">
        <f t="shared" si="5"/>
        <v>0.75757575757575757</v>
      </c>
    </row>
    <row r="52" spans="1:17">
      <c r="A52" t="s">
        <v>61</v>
      </c>
      <c r="B52" t="s">
        <v>69</v>
      </c>
      <c r="C52" t="s">
        <v>16</v>
      </c>
      <c r="D52" s="1">
        <v>44550</v>
      </c>
      <c r="E52" s="1">
        <v>44561</v>
      </c>
      <c r="F52">
        <v>42</v>
      </c>
      <c r="G52">
        <v>15</v>
      </c>
      <c r="I52">
        <v>37</v>
      </c>
      <c r="J52">
        <v>8</v>
      </c>
      <c r="K52">
        <v>8</v>
      </c>
      <c r="L52">
        <v>2</v>
      </c>
      <c r="M52">
        <v>1</v>
      </c>
      <c r="N52">
        <f t="shared" si="3"/>
        <v>474</v>
      </c>
      <c r="O52">
        <v>400</v>
      </c>
      <c r="P52">
        <f t="shared" si="4"/>
        <v>0.25</v>
      </c>
      <c r="Q52">
        <f t="shared" si="5"/>
        <v>0.84388185654008441</v>
      </c>
    </row>
    <row r="53" spans="1:17">
      <c r="A53" t="s">
        <v>61</v>
      </c>
      <c r="B53" t="s">
        <v>69</v>
      </c>
      <c r="C53" t="s">
        <v>17</v>
      </c>
      <c r="D53" s="1">
        <v>44564</v>
      </c>
      <c r="E53" s="1">
        <v>44575</v>
      </c>
      <c r="F53">
        <v>42</v>
      </c>
      <c r="G53">
        <v>12</v>
      </c>
      <c r="I53">
        <v>43</v>
      </c>
      <c r="J53">
        <v>8</v>
      </c>
      <c r="K53">
        <v>5</v>
      </c>
      <c r="L53">
        <v>1</v>
      </c>
      <c r="M53">
        <v>2</v>
      </c>
      <c r="N53">
        <f t="shared" si="3"/>
        <v>468</v>
      </c>
      <c r="O53">
        <v>420</v>
      </c>
      <c r="P53">
        <f t="shared" si="4"/>
        <v>0.2</v>
      </c>
      <c r="Q53">
        <f t="shared" si="5"/>
        <v>0.89743589743589747</v>
      </c>
    </row>
    <row r="54" spans="1:17">
      <c r="A54" t="s">
        <v>61</v>
      </c>
      <c r="B54" t="s">
        <v>69</v>
      </c>
      <c r="C54" t="s">
        <v>18</v>
      </c>
      <c r="D54" s="1">
        <v>44578</v>
      </c>
      <c r="E54" s="1">
        <v>44589</v>
      </c>
      <c r="F54">
        <v>42</v>
      </c>
      <c r="G54">
        <v>3</v>
      </c>
      <c r="I54">
        <v>42</v>
      </c>
      <c r="J54">
        <v>8</v>
      </c>
      <c r="K54">
        <v>3</v>
      </c>
      <c r="L54">
        <v>0</v>
      </c>
      <c r="M54">
        <v>3</v>
      </c>
      <c r="N54">
        <f t="shared" si="3"/>
        <v>462</v>
      </c>
      <c r="O54">
        <v>450</v>
      </c>
      <c r="P54">
        <f t="shared" si="4"/>
        <v>0</v>
      </c>
      <c r="Q54">
        <f t="shared" si="5"/>
        <v>0.97402597402597402</v>
      </c>
    </row>
    <row r="55" spans="1:17">
      <c r="A55" t="s">
        <v>61</v>
      </c>
      <c r="B55" t="s">
        <v>69</v>
      </c>
      <c r="C55" t="s">
        <v>19</v>
      </c>
      <c r="D55" s="1">
        <v>44592</v>
      </c>
      <c r="E55" s="1">
        <v>44603</v>
      </c>
      <c r="F55">
        <v>50</v>
      </c>
      <c r="G55">
        <v>0</v>
      </c>
      <c r="H55">
        <v>5</v>
      </c>
      <c r="I55">
        <v>45</v>
      </c>
      <c r="J55">
        <v>8</v>
      </c>
      <c r="K55">
        <v>2</v>
      </c>
      <c r="L55">
        <v>0</v>
      </c>
      <c r="M55">
        <v>4</v>
      </c>
      <c r="N55">
        <f t="shared" si="3"/>
        <v>456</v>
      </c>
      <c r="O55">
        <v>450</v>
      </c>
      <c r="P55">
        <f t="shared" si="4"/>
        <v>0</v>
      </c>
      <c r="Q55">
        <f t="shared" si="5"/>
        <v>0.98684210526315785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F3FD-56B0-4AE9-925C-582EB05C7CE2}">
  <dimension ref="A2:Q16"/>
  <sheetViews>
    <sheetView workbookViewId="0">
      <selection activeCell="D3" sqref="D3"/>
    </sheetView>
  </sheetViews>
  <sheetFormatPr defaultRowHeight="15"/>
  <cols>
    <col min="1" max="1" width="12.140625" bestFit="1" customWidth="1"/>
    <col min="2" max="2" width="10.140625" bestFit="1" customWidth="1"/>
    <col min="3" max="3" width="14.7109375" bestFit="1" customWidth="1"/>
    <col min="4" max="4" width="14.140625" bestFit="1" customWidth="1"/>
    <col min="10" max="10" width="10.140625" bestFit="1" customWidth="1"/>
  </cols>
  <sheetData>
    <row r="2" spans="1:17">
      <c r="A2" t="s">
        <v>46</v>
      </c>
      <c r="B2" t="s">
        <v>38</v>
      </c>
      <c r="C2" t="s">
        <v>70</v>
      </c>
      <c r="D2" t="s">
        <v>71</v>
      </c>
      <c r="E2" t="s">
        <v>72</v>
      </c>
      <c r="F2" t="s">
        <v>73</v>
      </c>
      <c r="I2" t="s">
        <v>46</v>
      </c>
      <c r="J2" t="s">
        <v>46</v>
      </c>
      <c r="K2" t="s">
        <v>46</v>
      </c>
      <c r="L2" t="s">
        <v>46</v>
      </c>
      <c r="M2" t="s">
        <v>46</v>
      </c>
      <c r="N2" t="s">
        <v>46</v>
      </c>
      <c r="O2" t="s">
        <v>46</v>
      </c>
      <c r="P2" t="s">
        <v>46</v>
      </c>
      <c r="Q2" t="s">
        <v>46</v>
      </c>
    </row>
    <row r="3" spans="1:17">
      <c r="A3" t="s">
        <v>62</v>
      </c>
      <c r="B3">
        <f>DAVERAGE(BaseData!B:O,8,I2:I3)</f>
        <v>41.333333333333336</v>
      </c>
      <c r="C3">
        <v>60</v>
      </c>
      <c r="D3" s="4">
        <f>C3/B3</f>
        <v>1.4516129032258063</v>
      </c>
      <c r="E3" t="b">
        <f>IF(A3=TRIM(PIVOTS!N$4),TRUE,FALSE)</f>
        <v>0</v>
      </c>
      <c r="F3">
        <v>3</v>
      </c>
      <c r="I3" t="s">
        <v>62</v>
      </c>
      <c r="J3" t="s">
        <v>63</v>
      </c>
      <c r="K3" t="s">
        <v>64</v>
      </c>
      <c r="L3" t="s">
        <v>65</v>
      </c>
      <c r="M3" t="s">
        <v>13</v>
      </c>
      <c r="N3" t="s">
        <v>66</v>
      </c>
      <c r="O3" t="s">
        <v>67</v>
      </c>
      <c r="P3" t="s">
        <v>68</v>
      </c>
      <c r="Q3" t="s">
        <v>69</v>
      </c>
    </row>
    <row r="4" spans="1:17">
      <c r="A4" t="s">
        <v>63</v>
      </c>
      <c r="B4">
        <f>DAVERAGE(BaseData!B:O,8,J2:J3)</f>
        <v>37</v>
      </c>
      <c r="C4">
        <v>50</v>
      </c>
      <c r="D4" s="4">
        <f t="shared" ref="D4:D11" si="0">C4/B4</f>
        <v>1.3513513513513513</v>
      </c>
      <c r="E4" t="b">
        <f>IF(A4=TRIM(PIVOTS!N$4),TRUE,FALSE)</f>
        <v>0</v>
      </c>
      <c r="F4">
        <v>3</v>
      </c>
    </row>
    <row r="5" spans="1:17">
      <c r="A5" t="s">
        <v>64</v>
      </c>
      <c r="B5">
        <f>DAVERAGE(BaseData!B:O,8,K2:K3)</f>
        <v>34.833333333333336</v>
      </c>
      <c r="C5">
        <v>20</v>
      </c>
      <c r="D5" s="4">
        <f t="shared" si="0"/>
        <v>0.57416267942583732</v>
      </c>
      <c r="E5" t="b">
        <f>IF(A5=TRIM(PIVOTS!N$4),TRUE,FALSE)</f>
        <v>0</v>
      </c>
      <c r="F5">
        <v>3</v>
      </c>
      <c r="I5" t="s">
        <v>72</v>
      </c>
    </row>
    <row r="6" spans="1:17">
      <c r="A6" t="s">
        <v>65</v>
      </c>
      <c r="B6">
        <f>DAVERAGE(BaseData!B:O,8,L2:L3)</f>
        <v>18</v>
      </c>
      <c r="C6">
        <v>5</v>
      </c>
      <c r="D6" s="4">
        <f t="shared" si="0"/>
        <v>0.27777777777777779</v>
      </c>
      <c r="E6" t="b">
        <f>IF(A6=TRIM(PIVOTS!N$4),TRUE,FALSE)</f>
        <v>0</v>
      </c>
      <c r="F6">
        <v>3</v>
      </c>
      <c r="I6" t="b">
        <v>1</v>
      </c>
    </row>
    <row r="7" spans="1:17">
      <c r="A7" t="s">
        <v>13</v>
      </c>
      <c r="B7">
        <f>DAVERAGE(BaseData!B:O,8,M2:M3)</f>
        <v>27.333333333333332</v>
      </c>
      <c r="C7">
        <v>70</v>
      </c>
      <c r="D7" s="4">
        <f t="shared" si="0"/>
        <v>2.5609756097560976</v>
      </c>
      <c r="E7" t="b">
        <f>IF(A7=TRIM(PIVOTS!N$4),TRUE,FALSE)</f>
        <v>1</v>
      </c>
      <c r="F7">
        <v>3</v>
      </c>
    </row>
    <row r="8" spans="1:17">
      <c r="A8" t="s">
        <v>66</v>
      </c>
      <c r="B8">
        <f>DAVERAGE(BaseData!B:O,8,N2:N3)</f>
        <v>38.666666666666664</v>
      </c>
      <c r="C8">
        <v>60</v>
      </c>
      <c r="D8" s="4">
        <f t="shared" si="0"/>
        <v>1.5517241379310345</v>
      </c>
      <c r="E8" t="b">
        <f>IF(A8=TRIM(PIVOTS!N$4),TRUE,FALSE)</f>
        <v>0</v>
      </c>
      <c r="F8">
        <v>3</v>
      </c>
    </row>
    <row r="9" spans="1:17">
      <c r="A9" t="s">
        <v>67</v>
      </c>
      <c r="B9">
        <f>DAVERAGE(BaseData!B:O,8,O2:O3)</f>
        <v>39.166666666666664</v>
      </c>
      <c r="C9">
        <v>80</v>
      </c>
      <c r="D9" s="4">
        <f t="shared" si="0"/>
        <v>2.042553191489362</v>
      </c>
      <c r="E9" t="b">
        <f>IF(A9=TRIM(PIVOTS!N$4),TRUE,FALSE)</f>
        <v>0</v>
      </c>
      <c r="F9">
        <v>3</v>
      </c>
    </row>
    <row r="10" spans="1:17">
      <c r="A10" t="s">
        <v>68</v>
      </c>
      <c r="B10">
        <f>DAVERAGE(BaseData!B:O,8,P2:P3)</f>
        <v>36.333333333333336</v>
      </c>
      <c r="C10">
        <v>90</v>
      </c>
      <c r="D10" s="4">
        <f t="shared" si="0"/>
        <v>2.477064220183486</v>
      </c>
      <c r="E10" t="b">
        <f>IF(A10=TRIM(PIVOTS!N$4),TRUE,FALSE)</f>
        <v>0</v>
      </c>
      <c r="F10">
        <v>3</v>
      </c>
    </row>
    <row r="11" spans="1:17">
      <c r="A11" t="s">
        <v>69</v>
      </c>
      <c r="B11">
        <f>DAVERAGE(BaseData!B:O,8,Q2:Q3)</f>
        <v>37.333333333333336</v>
      </c>
      <c r="C11">
        <v>60</v>
      </c>
      <c r="D11" s="4">
        <f t="shared" si="0"/>
        <v>1.607142857142857</v>
      </c>
      <c r="E11" t="b">
        <f>IF(A11=TRIM(PIVOTS!N$4),TRUE,FALSE)</f>
        <v>0</v>
      </c>
      <c r="F11">
        <v>3</v>
      </c>
      <c r="L11" s="4"/>
    </row>
    <row r="14" spans="1:17">
      <c r="B14" t="s">
        <v>74</v>
      </c>
      <c r="C14" t="s">
        <v>75</v>
      </c>
      <c r="D14" t="s">
        <v>71</v>
      </c>
    </row>
    <row r="15" spans="1:17">
      <c r="B15">
        <f>DSUM(A2:E11,2,I5:I6)</f>
        <v>27.333333333333332</v>
      </c>
      <c r="C15">
        <f>DSUM(A2:E11,3,I5:I6)</f>
        <v>70</v>
      </c>
      <c r="D15" s="4">
        <f>DSUM(A2:E11,4,I5:I6)</f>
        <v>2.5609756097560976</v>
      </c>
    </row>
    <row r="16" spans="1:17">
      <c r="F16"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55C-EB46-4686-9D51-8AB226297129}">
  <dimension ref="B5:D10"/>
  <sheetViews>
    <sheetView workbookViewId="0">
      <selection activeCell="C6" sqref="C6"/>
    </sheetView>
  </sheetViews>
  <sheetFormatPr defaultRowHeight="15"/>
  <cols>
    <col min="2" max="2" width="30.140625" bestFit="1" customWidth="1"/>
    <col min="3" max="3" width="5.85546875" bestFit="1" customWidth="1"/>
    <col min="4" max="4" width="6.140625" bestFit="1" customWidth="1"/>
    <col min="6" max="6" width="16" customWidth="1"/>
    <col min="7" max="7" width="10.85546875" bestFit="1" customWidth="1"/>
  </cols>
  <sheetData>
    <row r="5" spans="2:4">
      <c r="B5" t="s">
        <v>76</v>
      </c>
      <c r="C5" t="s">
        <v>77</v>
      </c>
      <c r="D5" t="s">
        <v>78</v>
      </c>
    </row>
    <row r="6" spans="2:4">
      <c r="B6" t="s">
        <v>79</v>
      </c>
      <c r="C6">
        <v>30</v>
      </c>
      <c r="D6">
        <f>30*'Backlog Health'!D15</f>
        <v>76.829268292682926</v>
      </c>
    </row>
    <row r="7" spans="2:4">
      <c r="B7" t="s">
        <v>80</v>
      </c>
      <c r="C7">
        <v>30</v>
      </c>
      <c r="D7">
        <v>1</v>
      </c>
    </row>
    <row r="8" spans="2:4">
      <c r="B8" t="s">
        <v>81</v>
      </c>
      <c r="C8">
        <v>30</v>
      </c>
      <c r="D8">
        <f>200-(D6+D7)</f>
        <v>122.17073170731707</v>
      </c>
    </row>
    <row r="9" spans="2:4">
      <c r="B9" t="s">
        <v>82</v>
      </c>
      <c r="C9">
        <v>30</v>
      </c>
    </row>
    <row r="10" spans="2:4">
      <c r="B10" t="str">
        <f>" Backlog Health " &amp; ROUND('Backlog Health'!D15,2)</f>
        <v xml:space="preserve"> Backlog Health 2.56</v>
      </c>
      <c r="C10">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Mallikarjun Naik</dc:creator>
  <cp:keywords/>
  <dc:description/>
  <cp:lastModifiedBy/>
  <cp:revision/>
  <dcterms:created xsi:type="dcterms:W3CDTF">2022-06-21T02:28:34Z</dcterms:created>
  <dcterms:modified xsi:type="dcterms:W3CDTF">2022-07-01T15:12:02Z</dcterms:modified>
  <cp:category/>
  <cp:contentStatus/>
</cp:coreProperties>
</file>