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57B5A842-4591-443F-B625-41295687BE46}" xr6:coauthVersionLast="47" xr6:coauthVersionMax="47" xr10:uidLastSave="{00000000-0000-0000-0000-000000000000}"/>
  <bookViews>
    <workbookView xWindow="23880" yWindow="-120" windowWidth="24240" windowHeight="13020" firstSheet="1" activeTab="6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1" l="1"/>
  <c r="D47" i="1" l="1"/>
  <c r="C47" i="1"/>
  <c r="D59" i="1" l="1"/>
  <c r="C59" i="1"/>
  <c r="D57" i="1"/>
  <c r="C57" i="1"/>
  <c r="D55" i="1"/>
  <c r="C55" i="1"/>
  <c r="D44" i="1"/>
  <c r="C44" i="1"/>
  <c r="D41" i="1"/>
  <c r="C41" i="1"/>
  <c r="D31" i="1"/>
  <c r="C31" i="1"/>
  <c r="D28" i="1"/>
  <c r="C28" i="1"/>
  <c r="D25" i="1"/>
  <c r="C25" i="1"/>
  <c r="E97" i="1" l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B68" i="1"/>
  <c r="C33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C27" i="1" l="1"/>
  <c r="C34" i="1"/>
  <c r="E2" i="7"/>
  <c r="E6" i="7" s="1"/>
  <c r="B3" i="7"/>
  <c r="C3" i="7"/>
  <c r="D3" i="7" l="1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R65" i="1" s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D33" i="1"/>
  <c r="H31" i="1" s="1"/>
  <c r="R10" i="6"/>
  <c r="D30" i="1"/>
  <c r="S7" i="6" s="1"/>
  <c r="C30" i="1"/>
  <c r="R7" i="6" s="1"/>
  <c r="D27" i="1"/>
  <c r="R4" i="6"/>
  <c r="G25" i="1"/>
  <c r="K4" i="6"/>
  <c r="B12" i="1"/>
  <c r="C2" i="1" s="1"/>
  <c r="C6" i="1" s="1"/>
  <c r="C6" i="6" s="1"/>
  <c r="I8" i="1"/>
  <c r="I7" i="1"/>
  <c r="H2" i="1"/>
  <c r="F2" i="6"/>
  <c r="F97" i="1" l="1"/>
  <c r="C50" i="1"/>
  <c r="W12" i="6" s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C49" i="1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H40" i="1"/>
  <c r="S4" i="6"/>
  <c r="W8" i="6"/>
  <c r="X5" i="6"/>
  <c r="AL2" i="6"/>
  <c r="AN4" i="6"/>
  <c r="AG6" i="6"/>
  <c r="AE3" i="6"/>
  <c r="G65" i="1"/>
  <c r="D36" i="1"/>
  <c r="S13" i="6" s="1"/>
  <c r="D34" i="1"/>
  <c r="E3" i="2" s="1"/>
  <c r="D3" i="2" s="1"/>
  <c r="D35" i="1"/>
  <c r="G3" i="2" s="1"/>
  <c r="AB2" i="6"/>
  <c r="C2" i="6"/>
  <c r="R11" i="6"/>
  <c r="G2" i="1"/>
  <c r="G40" i="1"/>
  <c r="AG3" i="6"/>
  <c r="G3" i="1"/>
  <c r="G3" i="6" s="1"/>
  <c r="G43" i="1"/>
  <c r="K2" i="6"/>
  <c r="C2" i="2"/>
  <c r="C6" i="2" s="1"/>
  <c r="S10" i="6"/>
  <c r="D46" i="1"/>
  <c r="G2" i="2"/>
  <c r="G6" i="2" s="1"/>
  <c r="E3" i="1"/>
  <c r="H54" i="1"/>
  <c r="G5" i="1" l="1"/>
  <c r="G5" i="6" s="1"/>
  <c r="C5" i="7"/>
  <c r="AF5" i="6" s="1"/>
  <c r="D49" i="1"/>
  <c r="X11" i="6" s="1"/>
  <c r="E4" i="7"/>
  <c r="I3" i="2"/>
  <c r="C60" i="1"/>
  <c r="D4" i="1" s="1"/>
  <c r="D4" i="6" s="1"/>
  <c r="V65" i="1"/>
  <c r="E5" i="7"/>
  <c r="AH5" i="6" s="1"/>
  <c r="C5" i="1"/>
  <c r="C5" i="6" s="1"/>
  <c r="D50" i="1"/>
  <c r="G5" i="2" s="1"/>
  <c r="G68" i="1"/>
  <c r="D51" i="1"/>
  <c r="C5" i="2" s="1"/>
  <c r="D61" i="1"/>
  <c r="G4" i="2" s="1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60" i="1"/>
  <c r="D4" i="2" s="1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G49" i="1"/>
  <c r="E5" i="1"/>
  <c r="E5" i="6" s="1"/>
  <c r="W11" i="6"/>
  <c r="H46" i="1"/>
  <c r="X8" i="6"/>
  <c r="I4" i="2" l="1"/>
  <c r="E5" i="2"/>
  <c r="I5" i="2" s="1"/>
  <c r="H49" i="1"/>
  <c r="X13" i="6"/>
  <c r="I4" i="1"/>
  <c r="G60" i="1"/>
  <c r="X12" i="6"/>
  <c r="H60" i="1"/>
  <c r="B6" i="1"/>
  <c r="B6" i="6" s="1"/>
  <c r="AH4" i="6"/>
  <c r="I2" i="1"/>
  <c r="B2" i="6"/>
  <c r="I5" i="1"/>
  <c r="AP2" i="6"/>
  <c r="C3" i="3"/>
  <c r="D3" i="6"/>
  <c r="I3" i="1"/>
  <c r="I6" i="1" l="1"/>
  <c r="C4" i="3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<sst xmlns="http://schemas.openxmlformats.org/spreadsheetml/2006/main" count="244" uniqueCount="133">
  <si>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</si>
  <si>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</si>
  <si>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</si>
  <si>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</si>
  <si>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</si>
  <si>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</si>
  <si>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</si>
  <si>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</si>
  <si>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</si>
  <si>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</si>
  <si>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</si>
  <si>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</si>
  <si>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</si>
  <si>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</si>
  <si>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</si>
  <si>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</si>
  <si>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</si>
  <si>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</si>
  <si>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</si>
  <si>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</si>
  <si>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</si>
  <si>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</si>
  <si>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</si>
  <si>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</si>
  <si>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</si>
  <si>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</si>
  <si>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</si>
  <si>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</si>
  <si>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</si>
  <si>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</si>
  <si>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</si>
  <si>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</si>
  <si>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</si>
  <si>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</si>
  <si>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</si>
  <si>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</si>
  <si>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</si>
  <si>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</si>
  <si>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</si>
  <si>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</si>
  <si>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</si>
  <si>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</si>
  <si>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</si>
  <si>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</si>
  <si>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</si>
  <si>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Annual Death Rate by Treatment and HCC stage</t>
  </si>
  <si>
    <t xml:space="preserve"> Annual Death %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</si>
  <si>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</si>
  <si>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</si>
  <si>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</si>
  <si>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</si>
  <si>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</si>
  <si>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</si>
  <si>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</si>
  <si>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</si>
  <si>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</si>
  <si>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</si>
  <si>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</si>
  <si>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</si>
  <si>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</si>
  <si>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</si>
  <si>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</si>
  <si>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</si>
  <si>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</si>
  <si>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</si>
  <si>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</si>
  <si>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</si>
  <si>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</si>
  <si>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</si>
  <si>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</si>
  <si>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</si>
  <si>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</si>
  <si>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</si>
  <si>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</si>
  <si>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</si>
  <si>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</si>
  <si>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</si>
  <si>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</si>
  <si>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</si>
  <si>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</si>
  <si>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</si>
  <si>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</si>
  <si>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</si>
  <si>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</si>
  <si>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</si>
  <si>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</si>
  <si>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</si>
  <si>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</si>
  <si>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</si>
  <si>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</si>
  <si>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</si>
  <si>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</si>
  <si>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</si>
  <si>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</si>
  <si>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</si>
  <si>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</si>
  <si>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</si>
  <si>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</si>
  <si>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</si>
  <si>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</si>
  <si>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</si>
  <si>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</si>
  <si>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</si>
  <si>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</si>
  <si>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</si>
  <si>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</si>
  <si>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</si>
  <si>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</si>
  <si>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</si>
  <si>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Early - Treated</t>
  </si>
  <si>
    <t>Intermediate - Treated</t>
  </si>
  <si>
    <t>Late - Treated</t>
  </si>
  <si>
    <t>Early - Untreated</t>
  </si>
  <si>
    <t>Intermediate - Untreated</t>
  </si>
  <si>
    <t>Late - Untreated</t>
  </si>
  <si>
    <t>&lt;&lt; Use this to weigh the cost, utility, and transitions from the treated HCC node</t>
  </si>
  <si>
    <t>&lt;&lt; Use this to weigh the cost, utility, and transitions from the HCC node</t>
  </si>
  <si>
    <t>&lt;&lt; Use this to weigh the cost, utility, and transitions from the untreated HCC node</t>
  </si>
  <si>
    <t>HCC early</t>
  </si>
  <si>
    <t>HCC intermediate</t>
  </si>
  <si>
    <t>HCC late</t>
  </si>
  <si>
    <t xml:space="preserve">Cost  for confirming false positive HCC </t>
  </si>
  <si>
    <t>Utility (Adjusted for undiagnosed cirrhosis)</t>
  </si>
  <si>
    <t>Utility (raw)</t>
  </si>
  <si>
    <t>Compensated cirrhosis</t>
  </si>
  <si>
    <t>control</t>
  </si>
  <si>
    <t>intervention</t>
  </si>
  <si>
    <t>% Receiving this treatment (no cirrhosis)</t>
  </si>
  <si>
    <t>% Receiving this treatment (with cirrhosis)</t>
  </si>
  <si>
    <t>Total treated </t>
  </si>
  <si>
    <t>Total untreated %:</t>
  </si>
  <si>
    <t>Total treated %:</t>
  </si>
  <si>
    <t xml:space="preserve">Weighed LT %: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</si>
</sst>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opLeftCell="A79" zoomScale="110" zoomScaleNormal="110" workbookViewId="0">
      <selection activeCell="J88" sqref="J88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0.8956313600000001</v>
      </c>
      <c r="C2" s="80">
        <f>B12</f>
        <v>5.7234399999999998E-3</v>
      </c>
      <c r="D2" s="21">
        <v>0</v>
      </c>
      <c r="E2" s="21">
        <v>0</v>
      </c>
      <c r="F2" s="81">
        <f>B13*E65</f>
        <v>0.09</v>
      </c>
      <c r="G2" s="79">
        <f>B14</f>
        <v>3.3652000000000005E-3</v>
      </c>
      <c r="H2" s="79">
        <f>B15</f>
        <v>5.28E-3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0.51560485599999994</v>
      </c>
      <c r="E3" s="89">
        <f>C34</f>
        <v>0.484395144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0.39380200051490599</v>
      </c>
      <c r="E4" s="85">
        <v>0</v>
      </c>
      <c r="F4" s="85">
        <v>0</v>
      </c>
      <c r="G4" s="89">
        <f>C61</f>
        <v>0.60619799948509401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0.60767603239770651</v>
      </c>
      <c r="F5" s="85">
        <v>0</v>
      </c>
      <c r="G5" s="86">
        <f>C50</f>
        <v>0.39232396760229349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0.98563136000000007</v>
      </c>
      <c r="C6" s="79">
        <f>C2</f>
        <v>5.7234399999999998E-3</v>
      </c>
      <c r="D6" s="93">
        <v>0</v>
      </c>
      <c r="E6" s="93">
        <v>0</v>
      </c>
      <c r="F6" s="94">
        <v>0</v>
      </c>
      <c r="G6" s="79">
        <f>G2</f>
        <v>3.3652000000000005E-3</v>
      </c>
      <c r="H6" s="79">
        <f>H2</f>
        <v>5.28E-3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0.10436863999999998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5.7234399999999998E-3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3.3652000000000005E-3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5.28E-3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0.224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2.4199999999999999E-2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3.8999999999999999E-4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0.01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1.4499999999999999E-3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3">
        <f>F84</f>
        <v>0.52811999999999992</v>
      </c>
      <c r="D25" s="203">
        <f>F84</f>
        <v>0.52811999999999992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0.47188000000000008</v>
      </c>
      <c r="D27" s="116">
        <f>1-D26-D25</f>
        <v>0.47188000000000008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3">
        <f>F93</f>
        <v>0.52917599999999998</v>
      </c>
      <c r="D28" s="203">
        <f>F93</f>
        <v>0.52917599999999998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0.47082400000000002</v>
      </c>
      <c r="D30" s="116">
        <f>1-D29-D28</f>
        <v>0.47082400000000002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3">
        <f>F100</f>
        <v>0.38764800000000005</v>
      </c>
      <c r="D31" s="203">
        <f>F100</f>
        <v>0.38764800000000005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0.61235200000000001</v>
      </c>
      <c r="D33" s="116">
        <f>1-D32-D31</f>
        <v>0.61235200000000001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0.484395144</v>
      </c>
      <c r="D34" s="117">
        <f>D25*C$65+D28*C$66+D31*C$67</f>
        <v>0.49918210079999997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0.51560485600000006</v>
      </c>
      <c r="D36" s="116">
        <f>D27*C$65+D30*C$66+D33*C$67</f>
        <v>0.50081789920000008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0.79796861200000002</v>
      </c>
      <c r="D40" s="148">
        <f>1-SUM(D41,D42)</f>
        <v>0.79796861200000002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4">
        <f>F79</f>
        <v>0.20203138799999998</v>
      </c>
      <c r="D41" s="204">
        <f>F79</f>
        <v>0.20203138799999998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0.62948937599999999</v>
      </c>
      <c r="D43" s="148">
        <f>1-SUM(D44,D45)</f>
        <v>0.62948937599999999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4">
        <f>F88</f>
        <v>0.37051062400000001</v>
      </c>
      <c r="D44" s="204">
        <f>F88</f>
        <v>0.37051062400000001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0.20727501599999987</v>
      </c>
      <c r="D46" s="148">
        <f>1-SUM(D47,D48)</f>
        <v>0.20727501599999987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4">
        <f>F97</f>
        <v>0.79272498400000013</v>
      </c>
      <c r="D47" s="204">
        <f>F97</f>
        <v>0.79272498400000013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0.60767603239770651</v>
      </c>
      <c r="D49" s="148">
        <f>D40*C$68+D43*C$69+D46*C$70</f>
        <v>0.66968296604445132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0.39232396760229349</v>
      </c>
      <c r="D50" s="148">
        <f>D41*C$68+D44*C$69+D47*C$70</f>
        <v>0.33031703395554873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5">
        <f>B85</f>
        <v>0.35699999999999998</v>
      </c>
      <c r="D55" s="205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5">
        <f>B94</f>
        <v>0.63200000000000001</v>
      </c>
      <c r="D57" s="205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5">
        <f>B101</f>
        <v>0.872</v>
      </c>
      <c r="D59" s="205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0.39380200051490599</v>
      </c>
      <c r="D60" s="148">
        <f>D54*C$71+D56*C$72+D58*C$73</f>
        <v>0.46441855038554897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0.60619799948509401</v>
      </c>
      <c r="D61" s="150">
        <f>D55*C$71+D57*C$72+D59*C$73</f>
        <v>0.53558144961445098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125</v>
      </c>
      <c r="V64" t="s">
        <v>126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116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109</v>
      </c>
      <c r="B68" s="117">
        <f>C25*B65/(C25*B65+C28*B66+C31*B67)</f>
        <v>0.49825198082497701</v>
      </c>
      <c r="C68" s="117">
        <f>D25*C65/(D25*C65+D28*C66+D31*C67)</f>
        <v>0.64218817038160914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115</v>
      </c>
      <c r="I68" s="104"/>
    </row>
    <row r="69" spans="1:22" ht="17.25" customHeight="1">
      <c r="A69" s="20" t="s">
        <v>110</v>
      </c>
      <c r="B69" s="117">
        <f>C28*B66/(C25*B65+C28*B66+C31*B67)</f>
        <v>0.25126279961221082</v>
      </c>
      <c r="C69" s="117">
        <f>D28*C66/(D25*C65+D28*C66+D31*C67)</f>
        <v>0.19675197777043371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111</v>
      </c>
      <c r="B70" s="168">
        <f>C31*B67/(C25*B65+C28*B66+C31*B67)</f>
        <v>0.25048521956281217</v>
      </c>
      <c r="C70" s="168">
        <f>D31*C67/(D25*C65+D28*C66+D31*C67)</f>
        <v>0.16105985184795718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112</v>
      </c>
      <c r="B71" s="117">
        <f>C27*B65/(C27*B65+C30*B66+C33*B67)</f>
        <v>0.41824501358070998</v>
      </c>
      <c r="C71" s="117">
        <f>D27*C65/(D27*C65+D30*C66+D33*C67)</f>
        <v>0.57192676311597768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117</v>
      </c>
      <c r="I71" s="104"/>
    </row>
    <row r="72" spans="1:22" ht="17.25" customHeight="1">
      <c r="A72" s="20" t="s">
        <v>113</v>
      </c>
      <c r="B72" s="117">
        <f>C30*B66/(C27*B65+C30*B66+C33*B67)</f>
        <v>0.21002424383683463</v>
      </c>
      <c r="C72" s="117">
        <f>D30*C66/(D27*C65+D30*C66+D33*C67)</f>
        <v>0.17448444742008534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114</v>
      </c>
      <c r="B73" s="168">
        <f>C33*B67/(C27*B65+C30*B66+C33*B67)</f>
        <v>0.37173074258245536</v>
      </c>
      <c r="C73" s="168">
        <f>D33*C67/(D27*C65+D30*C66+D33*C67)</f>
        <v>0.25358878946393693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45</v>
      </c>
      <c r="B76" s="122" t="s">
        <v>46</v>
      </c>
      <c r="C76" s="122" t="s">
        <v>127</v>
      </c>
      <c r="D76" s="122" t="s">
        <v>128</v>
      </c>
      <c r="E76" s="126" t="s">
        <v>47</v>
      </c>
      <c r="F76" s="126" t="s">
        <v>48</v>
      </c>
      <c r="G76" s="108"/>
      <c r="H76" s="109"/>
      <c r="I76" s="109"/>
      <c r="J76" s="28"/>
    </row>
    <row r="77" spans="1:22" ht="17.25" customHeight="1">
      <c r="A77" s="127" t="s">
        <v>49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49" t="s">
        <v>50</v>
      </c>
      <c r="B78" s="145">
        <v>8.2500000000000004E-2</v>
      </c>
      <c r="C78" s="145">
        <v>2.3E-2</v>
      </c>
      <c r="D78" s="145">
        <v>0.122</v>
      </c>
      <c r="E78" s="50">
        <f>B78*(C78*(1-B18)+D78*(B18))</f>
        <v>3.7270200000000002E-3</v>
      </c>
      <c r="F78" s="144" t="s">
        <v>51</v>
      </c>
      <c r="G78" s="117" t="b">
        <f>SUM(C78:C83)=100%</f>
        <v>1</v>
      </c>
      <c r="H78" s="104"/>
      <c r="I78" s="104"/>
    </row>
    <row r="79" spans="1:22" ht="17.25" customHeight="1">
      <c r="A79" s="49" t="s">
        <v>52</v>
      </c>
      <c r="B79" s="145">
        <v>0.111</v>
      </c>
      <c r="C79" s="145">
        <v>0.34</v>
      </c>
      <c r="D79" s="145">
        <v>0.18099999999999999</v>
      </c>
      <c r="E79" s="50">
        <f>B79*(C79*(1-B18)+D79*(B18))</f>
        <v>3.3786624000000001E-2</v>
      </c>
      <c r="F79" s="50">
        <f>SUM(E78:E83)</f>
        <v>0.20203138799999998</v>
      </c>
      <c r="G79" s="117">
        <f>SUM(C78:C83)</f>
        <v>1</v>
      </c>
      <c r="H79" s="104"/>
      <c r="I79" s="104"/>
    </row>
    <row r="80" spans="1:22" ht="17.25" customHeight="1">
      <c r="A80" s="49" t="s">
        <v>53</v>
      </c>
      <c r="B80" s="145">
        <v>6.7000000000000004E-2</v>
      </c>
      <c r="C80" s="145">
        <v>0.307</v>
      </c>
      <c r="D80" s="145">
        <v>0.44700000000000001</v>
      </c>
      <c r="E80" s="50">
        <f>B80*(C80*(1-B18)+D80*(B18))</f>
        <v>2.2670120000000002E-2</v>
      </c>
      <c r="F80" s="50"/>
      <c r="G80" s="117"/>
      <c r="H80" s="104"/>
      <c r="I80" s="104"/>
    </row>
    <row r="81" spans="1:9" ht="17.25" customHeight="1">
      <c r="A81" s="49" t="s">
        <v>54</v>
      </c>
      <c r="B81" s="145">
        <v>0.155</v>
      </c>
      <c r="C81" s="145">
        <v>8.5000000000000006E-2</v>
      </c>
      <c r="D81" s="145">
        <v>0.16300000000000001</v>
      </c>
      <c r="E81" s="50">
        <f>B81*(C81*(1-B18)+D81*(B18))</f>
        <v>1.588316E-2</v>
      </c>
      <c r="F81" s="50"/>
      <c r="G81" s="117"/>
      <c r="H81" s="104"/>
      <c r="I81" s="104"/>
    </row>
    <row r="82" spans="1:9" ht="17.25" customHeight="1">
      <c r="A82" s="49" t="s">
        <v>55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B82*(C82*(1-B18)+D82*(B18))</f>
        <v>0.12514694399999998</v>
      </c>
      <c r="F82" s="50"/>
      <c r="G82" s="117"/>
      <c r="H82" s="104"/>
      <c r="I82" s="104"/>
    </row>
    <row r="83" spans="1:9" ht="17.25" customHeight="1">
      <c r="A83" s="49" t="s">
        <v>56</v>
      </c>
      <c r="B83" s="145">
        <v>0.11</v>
      </c>
      <c r="C83" s="145">
        <v>8.9999999999999993E-3</v>
      </c>
      <c r="D83" s="145">
        <v>2E-3</v>
      </c>
      <c r="E83" s="50">
        <f>B83*(C83*(1-B18)+D83*(B18))</f>
        <v>8.1751999999999997E-4</v>
      </c>
      <c r="F83" s="50"/>
      <c r="G83" s="117"/>
      <c r="H83" s="104"/>
      <c r="I83" s="104"/>
    </row>
    <row r="84" spans="1:9" ht="17.25" customHeight="1">
      <c r="A84" s="188" t="s">
        <v>129</v>
      </c>
      <c r="B84" s="189"/>
      <c r="C84" s="190">
        <f>1-C85</f>
        <v>0.47099999999999997</v>
      </c>
      <c r="D84" s="190">
        <f>1-D85</f>
        <v>0.72599999999999998</v>
      </c>
      <c r="E84" s="192" t="s">
        <v>131</v>
      </c>
      <c r="F84" s="193">
        <f>(C84*(1-B18)+D84*B18)</f>
        <v>0.52811999999999992</v>
      </c>
      <c r="G84" s="117"/>
      <c r="H84" s="104"/>
      <c r="I84" s="104"/>
    </row>
    <row r="85" spans="1:9" ht="17.25" customHeight="1">
      <c r="A85" s="132" t="s">
        <v>57</v>
      </c>
      <c r="B85" s="146">
        <v>0.35699999999999998</v>
      </c>
      <c r="C85" s="146">
        <v>0.52900000000000003</v>
      </c>
      <c r="D85" s="146">
        <v>0.27400000000000002</v>
      </c>
      <c r="E85" s="191" t="s">
        <v>130</v>
      </c>
      <c r="F85" s="50">
        <f>(C85*(1-B18)+D85*B18)</f>
        <v>0.47188000000000002</v>
      </c>
      <c r="G85" s="117"/>
      <c r="H85" s="104"/>
      <c r="I85" s="104"/>
    </row>
    <row r="86" spans="1:9" ht="17.25" customHeight="1">
      <c r="A86" s="194" t="s">
        <v>58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50</v>
      </c>
      <c r="B87" s="145">
        <v>0.12</v>
      </c>
      <c r="C87" s="145">
        <v>2.8000000000000001E-2</v>
      </c>
      <c r="D87" s="145">
        <v>6.5000000000000002E-2</v>
      </c>
      <c r="E87" s="50">
        <f>B87*(C87*(1-B18)+D87*B18)</f>
        <v>4.3545599999999995E-3</v>
      </c>
      <c r="F87" s="144" t="s">
        <v>51</v>
      </c>
      <c r="G87" s="117" t="b">
        <f>SUM(C87:C92)=100%</f>
        <v>1</v>
      </c>
      <c r="H87" s="207" t="s">
        <v>132</v>
      </c>
      <c r="I87" s="206">
        <f>C87*(1-B18)+D87*B18</f>
        <v>3.6288000000000001E-2</v>
      </c>
    </row>
    <row r="88" spans="1:9" ht="17.25" customHeight="1">
      <c r="A88" s="49" t="s">
        <v>52</v>
      </c>
      <c r="B88" s="145">
        <v>0.08</v>
      </c>
      <c r="C88" s="145">
        <v>0.2</v>
      </c>
      <c r="D88" s="145">
        <v>0.104</v>
      </c>
      <c r="E88" s="50">
        <f>B88*(C88*(1-B18)+D88*B18)</f>
        <v>1.4279680000000001E-2</v>
      </c>
      <c r="F88" s="50">
        <f>SUM(E87:E92)</f>
        <v>0.37051062400000001</v>
      </c>
      <c r="G88" s="117">
        <f>SUM(C87:C92)</f>
        <v>1</v>
      </c>
      <c r="H88" s="104"/>
      <c r="I88" s="104"/>
    </row>
    <row r="89" spans="1:9" ht="17.25" customHeight="1">
      <c r="A89" s="49" t="s">
        <v>53</v>
      </c>
      <c r="B89" s="145">
        <v>0.3</v>
      </c>
      <c r="C89" s="145">
        <v>0.32800000000000001</v>
      </c>
      <c r="D89" s="145">
        <v>0.52100000000000002</v>
      </c>
      <c r="E89" s="50">
        <f>B89*(C89*(1-B18)+D89*B18)</f>
        <v>0.1113696</v>
      </c>
      <c r="F89" s="50"/>
      <c r="G89" s="117"/>
      <c r="H89" s="104"/>
      <c r="I89" s="104"/>
    </row>
    <row r="90" spans="1:9" ht="17.25" customHeight="1">
      <c r="A90" s="49" t="s">
        <v>54</v>
      </c>
      <c r="B90" s="145">
        <v>7.0000000000000007E-2</v>
      </c>
      <c r="C90" s="145">
        <v>6.6000000000000003E-2</v>
      </c>
      <c r="D90" s="145">
        <v>0.111</v>
      </c>
      <c r="E90" s="50">
        <f>B90*(C90*(1-B18)+D90*B18)</f>
        <v>5.3256000000000015E-3</v>
      </c>
      <c r="F90" s="50"/>
      <c r="G90" s="117"/>
      <c r="H90" s="104"/>
      <c r="I90" s="104"/>
    </row>
    <row r="91" spans="1:9" ht="17.25" customHeight="1">
      <c r="A91" s="49" t="s">
        <v>55</v>
      </c>
      <c r="B91" s="145">
        <v>0.69599999999999995</v>
      </c>
      <c r="C91" s="145">
        <v>0.378</v>
      </c>
      <c r="D91" s="145">
        <v>0.19900000000000001</v>
      </c>
      <c r="E91" s="50">
        <f>B91*(C91*(1-B18)+D91*B18)</f>
        <v>0.23518118400000002</v>
      </c>
      <c r="F91" s="50"/>
      <c r="G91" s="117"/>
      <c r="H91" s="104"/>
      <c r="I91" s="104"/>
    </row>
    <row r="92" spans="1:9" ht="17.25" customHeight="1">
      <c r="A92" s="49" t="s">
        <v>56</v>
      </c>
      <c r="B92" s="145">
        <v>0.20599999999999999</v>
      </c>
      <c r="C92" s="145">
        <v>0</v>
      </c>
      <c r="D92" s="145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8" t="s">
        <v>129</v>
      </c>
      <c r="B93" s="189"/>
      <c r="C93" s="190">
        <f>1-C94</f>
        <v>0.47899999999999998</v>
      </c>
      <c r="D93" s="190">
        <f>1-D94</f>
        <v>0.70300000000000007</v>
      </c>
      <c r="E93" s="192" t="s">
        <v>131</v>
      </c>
      <c r="F93" s="193">
        <f>(C93*(1-B18)+D93*B18)</f>
        <v>0.52917599999999998</v>
      </c>
      <c r="G93" s="117"/>
      <c r="H93" s="104"/>
      <c r="I93" s="104"/>
    </row>
    <row r="94" spans="1:9" ht="17.25" customHeight="1">
      <c r="A94" s="132" t="s">
        <v>57</v>
      </c>
      <c r="B94" s="146">
        <v>0.63200000000000001</v>
      </c>
      <c r="C94" s="146">
        <v>0.52100000000000002</v>
      </c>
      <c r="D94" s="146">
        <v>0.29699999999999999</v>
      </c>
      <c r="E94" s="191" t="s">
        <v>130</v>
      </c>
      <c r="F94" s="50">
        <f>(C94*(1-B18)+D94*B18)</f>
        <v>0.47082400000000002</v>
      </c>
      <c r="G94" s="117"/>
      <c r="H94" s="104"/>
      <c r="I94" s="104"/>
    </row>
    <row r="95" spans="1:9" ht="17.25" customHeight="1">
      <c r="A95" s="194" t="s">
        <v>59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53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B96*(C96*(1-B18)+D96*B18)</f>
        <v>0.19210667200000001</v>
      </c>
      <c r="F96" s="144" t="s">
        <v>51</v>
      </c>
      <c r="G96" s="117" t="b">
        <f>SUM(C96:C99)=100%</f>
        <v>1</v>
      </c>
      <c r="H96" s="104"/>
      <c r="I96" s="104"/>
    </row>
    <row r="97" spans="1:9" ht="17.25" customHeight="1">
      <c r="A97" s="49" t="s">
        <v>54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B97*(C97*(1-B18)+D97*B18)</f>
        <v>3.5701680000000007E-3</v>
      </c>
      <c r="F97" s="50">
        <f>SUM(E96:E99)</f>
        <v>0.79272498400000013</v>
      </c>
      <c r="G97" s="117">
        <f>SUM(C96:C99)</f>
        <v>1</v>
      </c>
      <c r="H97" s="104"/>
      <c r="I97" s="104"/>
    </row>
    <row r="98" spans="1:9" ht="17.25" customHeight="1">
      <c r="A98" s="49" t="s">
        <v>55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B98*(C98*(1-B18)+D98*B18)</f>
        <v>0.57647112</v>
      </c>
      <c r="F98" s="50"/>
      <c r="G98" s="103"/>
      <c r="H98" s="104"/>
      <c r="I98" s="104"/>
    </row>
    <row r="99" spans="1:9" ht="17.25" customHeight="1">
      <c r="A99" s="49" t="s">
        <v>56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B99*(C99*(1-B18)+D99*B18)</f>
        <v>2.0577024000000003E-2</v>
      </c>
      <c r="F99" s="50"/>
      <c r="G99" s="103"/>
      <c r="H99" s="104"/>
      <c r="I99" s="104"/>
    </row>
    <row r="100" spans="1:9" ht="17.25" customHeight="1">
      <c r="A100" s="188" t="s">
        <v>129</v>
      </c>
      <c r="B100" s="189"/>
      <c r="C100" s="190">
        <f>1-C101</f>
        <v>0.376</v>
      </c>
      <c r="D100" s="190">
        <f>1-D101</f>
        <v>0.42800000000000005</v>
      </c>
      <c r="E100" s="192" t="s">
        <v>131</v>
      </c>
      <c r="F100" s="193">
        <f>(C100*(1-B18)+D100*B18)</f>
        <v>0.38764800000000005</v>
      </c>
      <c r="G100" s="103"/>
      <c r="H100" s="104"/>
      <c r="I100" s="104"/>
    </row>
    <row r="101" spans="1:9" ht="17.25" customHeight="1">
      <c r="A101" s="132" t="s">
        <v>57</v>
      </c>
      <c r="B101" s="146">
        <v>0.872</v>
      </c>
      <c r="C101" s="146">
        <v>0.624</v>
      </c>
      <c r="D101" s="146">
        <v>0.57199999999999995</v>
      </c>
      <c r="E101" s="191" t="s">
        <v>130</v>
      </c>
      <c r="F101" s="50">
        <f>(C101*(1-B18)+D101*B18)</f>
        <v>0.61235200000000001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60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0.8956313600000001</v>
      </c>
      <c r="C2" s="80">
        <f>'FinalTransition-Control'!B12</f>
        <v>5.7234399999999998E-3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3.3652000000000005E-3</v>
      </c>
      <c r="H2" s="79">
        <f>'FinalTransition-Control'!B15</f>
        <v>5.28E-3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0.50081789920000008</v>
      </c>
      <c r="E3" s="87">
        <f>'FinalTransition-Control'!D34</f>
        <v>0.49918210079999997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0.46441855038554897</v>
      </c>
      <c r="E4" s="85">
        <v>0</v>
      </c>
      <c r="F4" s="85">
        <v>0</v>
      </c>
      <c r="G4" s="89">
        <f>'FinalTransition-Control'!D61</f>
        <v>0.53558144961445098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0.66968296604445132</v>
      </c>
      <c r="F5" s="85">
        <v>0</v>
      </c>
      <c r="G5" s="86">
        <f>'FinalTransition-Control'!D50</f>
        <v>0.33031703395554873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0.98563136000000007</v>
      </c>
      <c r="C6" s="79">
        <f>C2</f>
        <v>5.7234399999999998E-3</v>
      </c>
      <c r="D6" s="93">
        <v>0</v>
      </c>
      <c r="E6" s="93">
        <v>0</v>
      </c>
      <c r="F6" s="94">
        <v>0</v>
      </c>
      <c r="G6" s="79">
        <f>G2</f>
        <v>3.3652000000000005E-3</v>
      </c>
      <c r="H6" s="79">
        <f>H2</f>
        <v>5.28E-3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2" sqref="B2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61</v>
      </c>
      <c r="B1" s="69" t="s">
        <v>62</v>
      </c>
      <c r="C1" s="70" t="s">
        <v>63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3.3652000000000005E-3</v>
      </c>
      <c r="D2" t="s">
        <v>64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3.4717000000000003E-3</v>
      </c>
    </row>
    <row r="4" spans="1:4" ht="17.25" customHeight="1">
      <c r="A4" s="11">
        <v>20</v>
      </c>
      <c r="B4" s="71">
        <v>9.4000000000000008E-4</v>
      </c>
      <c r="C4" s="72">
        <f t="shared" si="0"/>
        <v>3.5462000000000002E-3</v>
      </c>
    </row>
    <row r="5" spans="1:4" ht="17.25" customHeight="1">
      <c r="A5" s="11">
        <v>21</v>
      </c>
      <c r="B5" s="71">
        <v>1.0219999999999999E-3</v>
      </c>
      <c r="C5" s="72">
        <f t="shared" si="0"/>
        <v>3.6281999999999998E-3</v>
      </c>
    </row>
    <row r="6" spans="1:4" ht="17.25" customHeight="1">
      <c r="A6" s="11">
        <v>22</v>
      </c>
      <c r="B6" s="71">
        <v>1.1075E-3</v>
      </c>
      <c r="C6" s="72">
        <f t="shared" si="0"/>
        <v>3.7136999999999999E-3</v>
      </c>
    </row>
    <row r="7" spans="1:4" ht="17.25" customHeight="1">
      <c r="A7" s="11">
        <v>23</v>
      </c>
      <c r="B7" s="71">
        <v>1.1900000000000001E-3</v>
      </c>
      <c r="C7" s="72">
        <f t="shared" si="0"/>
        <v>3.7962E-3</v>
      </c>
    </row>
    <row r="8" spans="1:4" ht="17.25" customHeight="1">
      <c r="A8" s="11">
        <v>24</v>
      </c>
      <c r="B8" s="71">
        <v>1.2785000000000001E-3</v>
      </c>
      <c r="C8" s="72">
        <f t="shared" si="0"/>
        <v>3.8847E-3</v>
      </c>
    </row>
    <row r="9" spans="1:4" ht="17.25" customHeight="1">
      <c r="A9" s="11">
        <v>25</v>
      </c>
      <c r="B9" s="71">
        <v>1.369E-3</v>
      </c>
      <c r="C9" s="72">
        <f t="shared" si="0"/>
        <v>3.9751999999999999E-3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4.0626999999999998E-3</v>
      </c>
    </row>
    <row r="11" spans="1:4" ht="17.25" customHeight="1">
      <c r="A11" s="11">
        <v>27</v>
      </c>
      <c r="B11" s="71">
        <v>1.5455E-3</v>
      </c>
      <c r="C11" s="72">
        <f t="shared" si="0"/>
        <v>4.1516999999999995E-3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4.2471999999999996E-3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4.347199999999999E-3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4.445199999999999E-3</v>
      </c>
    </row>
    <row r="15" spans="1:4" ht="17.25" customHeight="1">
      <c r="A15" s="11">
        <v>31</v>
      </c>
      <c r="B15" s="71">
        <v>1.9375E-3</v>
      </c>
      <c r="C15" s="72">
        <f t="shared" si="0"/>
        <v>4.5436999999999995E-3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4.6441999999999994E-3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4.7381999999999997E-3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4.8257000000000005E-3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4.9151999999999998E-3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5.0066999999999993E-3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5.1132E-3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5.2402000000000004E-3</v>
      </c>
    </row>
    <row r="23" spans="1:3" ht="17.25" customHeight="1">
      <c r="A23" s="11">
        <v>39</v>
      </c>
      <c r="B23" s="71">
        <v>2.774E-3</v>
      </c>
      <c r="C23" s="72">
        <f t="shared" si="0"/>
        <v>5.3801999999999999E-3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5.5291999999999997E-3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5.6861999999999989E-3</v>
      </c>
    </row>
    <row r="26" spans="1:3" ht="17.25" customHeight="1">
      <c r="A26" s="11">
        <v>42</v>
      </c>
      <c r="B26" s="71">
        <v>3.2475E-3</v>
      </c>
      <c r="C26" s="72">
        <f t="shared" si="0"/>
        <v>5.853699999999999E-3</v>
      </c>
    </row>
    <row r="27" spans="1:3" ht="17.25" customHeight="1">
      <c r="A27" s="11" t="s">
        <v>65</v>
      </c>
      <c r="B27" s="71">
        <v>3.4094999999999998E-3</v>
      </c>
      <c r="C27" s="72">
        <f t="shared" si="0"/>
        <v>6.0156999999999988E-3</v>
      </c>
    </row>
    <row r="28" spans="1:3" ht="17.25" customHeight="1">
      <c r="A28" s="11">
        <v>44</v>
      </c>
      <c r="B28" s="71">
        <v>3.581E-3</v>
      </c>
      <c r="C28" s="72">
        <f t="shared" si="0"/>
        <v>6.1871999999999986E-3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6.3876999999999979E-3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6.6351999999999974E-3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6.9151999999999981E-3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7.237699999999998E-3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7.577699999999998E-3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7.947199999999998E-3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8.342699999999998E-3</v>
      </c>
    </row>
    <row r="36" spans="1:3" ht="17.25" customHeight="1">
      <c r="A36" s="11">
        <v>52</v>
      </c>
      <c r="B36" s="71">
        <v>6.1849999999999995E-3</v>
      </c>
      <c r="C36" s="72">
        <f t="shared" si="1"/>
        <v>8.7911999999999973E-3</v>
      </c>
    </row>
    <row r="37" spans="1:3" ht="17.25" customHeight="1">
      <c r="A37" s="11">
        <v>53</v>
      </c>
      <c r="B37" s="71">
        <v>6.6660000000000001E-3</v>
      </c>
      <c r="C37" s="72">
        <f t="shared" si="1"/>
        <v>9.2721999999999978E-3</v>
      </c>
    </row>
    <row r="38" spans="1:3" ht="17.25" customHeight="1">
      <c r="A38" s="11">
        <v>54</v>
      </c>
      <c r="B38" s="71">
        <v>7.2024999999999997E-3</v>
      </c>
      <c r="C38" s="72">
        <f t="shared" si="1"/>
        <v>9.8086999999999966E-3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1.0406699999999998E-2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1.1052699999999997E-2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1.1723699999999998E-2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1.2451199999999997E-2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1.3234699999999997E-2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1.4083199999999999E-2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1.4988199999999998E-2</v>
      </c>
    </row>
    <row r="46" spans="1:3" ht="17.25" customHeight="1">
      <c r="A46" s="11">
        <v>62</v>
      </c>
      <c r="B46" s="71">
        <v>1.33115E-2</v>
      </c>
      <c r="C46" s="72">
        <f t="shared" si="1"/>
        <v>1.59177E-2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1.6839199999999999E-2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1.7760700000000001E-2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1.8671199999999999E-2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1.9634200000000001E-2</v>
      </c>
    </row>
    <row r="51" spans="1:3" ht="17.25" customHeight="1">
      <c r="A51" s="11">
        <v>67</v>
      </c>
      <c r="B51" s="71">
        <v>1.81335E-2</v>
      </c>
      <c r="C51" s="72">
        <f t="shared" si="1"/>
        <v>2.07397E-2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2.19612E-2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2.3298700000000002E-2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2.47957E-2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2.6520699999999998E-2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2.8504699999999997E-2</v>
      </c>
    </row>
    <row r="57" spans="1:3" ht="17.25" customHeight="1">
      <c r="A57" s="11">
        <v>73</v>
      </c>
      <c r="B57" s="71">
        <v>2.8187E-2</v>
      </c>
      <c r="C57" s="72">
        <f t="shared" si="1"/>
        <v>3.07932E-2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3.3458700000000001E-2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3.6840700000000004E-2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4.02227E-2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4.3925199999999998E-2</v>
      </c>
    </row>
    <row r="62" spans="1:3" ht="17.25" customHeight="1">
      <c r="A62" s="11">
        <v>78</v>
      </c>
      <c r="B62" s="71">
        <v>4.54245E-2</v>
      </c>
      <c r="C62" s="72">
        <f t="shared" si="1"/>
        <v>4.8030700000000003E-2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5.2857700000000001E-2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5.8076699999999995E-2</v>
      </c>
    </row>
    <row r="65" spans="1:3" ht="17.25" customHeight="1">
      <c r="A65" s="11">
        <v>81</v>
      </c>
      <c r="B65" s="71">
        <v>6.11405E-2</v>
      </c>
      <c r="C65" s="72">
        <f t="shared" si="1"/>
        <v>6.3746700000000003E-2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6.9978700000000005E-2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7.708870000000001E-2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8.5362700000000014E-2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9.47432E-2</v>
      </c>
    </row>
    <row r="70" spans="1:3" ht="17.25" customHeight="1">
      <c r="A70" s="11">
        <v>86</v>
      </c>
      <c r="B70" s="71">
        <v>0.1026445</v>
      </c>
      <c r="C70" s="72">
        <f t="shared" si="2"/>
        <v>0.1052507</v>
      </c>
    </row>
    <row r="71" spans="1:3" ht="17.25" customHeight="1">
      <c r="A71" s="11">
        <v>87</v>
      </c>
      <c r="B71" s="71">
        <v>0.114273</v>
      </c>
      <c r="C71" s="72">
        <f t="shared" si="2"/>
        <v>0.1168792</v>
      </c>
    </row>
    <row r="72" spans="1:3" ht="17.25" customHeight="1">
      <c r="A72" s="11">
        <v>88</v>
      </c>
      <c r="B72" s="71">
        <v>0.126606</v>
      </c>
      <c r="C72" s="72">
        <f t="shared" si="2"/>
        <v>0.1292122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0.14296420000000001</v>
      </c>
    </row>
    <row r="74" spans="1:3" ht="17.25" customHeight="1">
      <c r="A74" s="11">
        <v>90</v>
      </c>
      <c r="B74" s="71">
        <v>0.155805</v>
      </c>
      <c r="C74" s="72">
        <f t="shared" si="2"/>
        <v>0.1584112</v>
      </c>
    </row>
    <row r="75" spans="1:3" ht="17.25" customHeight="1">
      <c r="A75" s="11">
        <v>91</v>
      </c>
      <c r="B75" s="71">
        <v>0.172816</v>
      </c>
      <c r="C75" s="72">
        <f t="shared" si="2"/>
        <v>0.1754222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0.1938182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0.2127462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0.23184270000000001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0.25102269999999999</v>
      </c>
    </row>
    <row r="80" spans="1:3" ht="17.25" customHeight="1">
      <c r="A80" s="11">
        <v>96</v>
      </c>
      <c r="B80" s="71">
        <v>0.267405</v>
      </c>
      <c r="C80" s="72">
        <f t="shared" si="2"/>
        <v>0.27001120000000001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0.28851270000000001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0.30621670000000001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0.32280620000000004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12" sqref="D1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66</v>
      </c>
      <c r="B1" s="65" t="s">
        <v>67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0" workbookViewId="0">
      <selection activeCell="S2" sqref="S2:S84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68</v>
      </c>
      <c r="B1" s="200" t="s">
        <v>69</v>
      </c>
      <c r="C1" s="201"/>
      <c r="D1" s="202"/>
      <c r="E1" s="200" t="s">
        <v>70</v>
      </c>
      <c r="F1" s="201"/>
      <c r="G1" s="202"/>
      <c r="H1" s="23"/>
      <c r="I1" s="24" t="s">
        <v>71</v>
      </c>
      <c r="J1" s="25" t="s">
        <v>61</v>
      </c>
      <c r="K1" s="26" t="s">
        <v>72</v>
      </c>
      <c r="L1" s="26" t="s">
        <v>73</v>
      </c>
      <c r="M1" s="27" t="s">
        <v>74</v>
      </c>
      <c r="N1" s="28"/>
      <c r="O1" s="29" t="s">
        <v>75</v>
      </c>
      <c r="P1" s="30"/>
      <c r="Q1" s="31"/>
      <c r="R1" s="32"/>
      <c r="S1" s="33" t="s">
        <v>76</v>
      </c>
      <c r="T1" s="33" t="s">
        <v>77</v>
      </c>
    </row>
    <row r="2" spans="1:20" ht="41.25" customHeight="1">
      <c r="A2" s="34" t="s">
        <v>78</v>
      </c>
      <c r="B2" s="35" t="s">
        <v>6</v>
      </c>
      <c r="C2" s="22" t="s">
        <v>79</v>
      </c>
      <c r="D2" s="35" t="s">
        <v>80</v>
      </c>
      <c r="E2" s="35" t="s">
        <v>6</v>
      </c>
      <c r="F2" s="22" t="s">
        <v>79</v>
      </c>
      <c r="G2" s="35" t="s">
        <v>80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81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82</v>
      </c>
      <c r="C3" s="44" t="s">
        <v>83</v>
      </c>
      <c r="D3" s="45" t="s">
        <v>84</v>
      </c>
      <c r="E3" s="43" t="s">
        <v>82</v>
      </c>
      <c r="F3" s="44" t="s">
        <v>83</v>
      </c>
      <c r="G3" s="45" t="s">
        <v>84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85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86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87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88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89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90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91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65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92</v>
      </c>
      <c r="J1" s="18" t="str">
        <f>'FinalTransition-Control'!A11</f>
        <v>MALSD Incidence Rates</v>
      </c>
      <c r="K1" s="12">
        <f>'FinalTransition-Control'!B11</f>
        <v>0</v>
      </c>
      <c r="L1" s="20" t="s">
        <v>92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92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92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92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92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92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0.8956313600000001</v>
      </c>
      <c r="C2" s="8">
        <f>'FinalTransition-Control'!C2</f>
        <v>5.7234399999999998E-3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3.3652000000000005E-3</v>
      </c>
      <c r="H2" s="8">
        <f>'FinalTransition-Control'!H2</f>
        <v>5.28E-3</v>
      </c>
      <c r="J2" t="str">
        <f>'FinalTransition-Control'!A12</f>
        <v>MASLD to HCC</v>
      </c>
      <c r="K2" s="13">
        <f>'FinalTransition-Control'!B12</f>
        <v>5.7234399999999998E-3</v>
      </c>
      <c r="M2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0.52811999999999992</v>
      </c>
      <c r="S2" s="13">
        <f>'FinalTransition-Control'!D25</f>
        <v>0.52811999999999992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0.79796861200000002</v>
      </c>
      <c r="X2" s="13">
        <f>'FinalTransition-Control'!D40</f>
        <v>0.79796861200000002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0.85760000000000003</v>
      </c>
      <c r="AH2" s="13">
        <f>FinalRewards!E2</f>
        <v>0.85760000000000003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0.51560485599999994</v>
      </c>
      <c r="E3" s="21">
        <f>'FinalTransition-Control'!E3</f>
        <v>0.484395144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0.20203138799999998</v>
      </c>
      <c r="X3" s="13">
        <f>'FinalTransition-Control'!D41</f>
        <v>0.20203138799999998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0.39380200051490599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0.60619799948509401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3.3652000000000005E-3</v>
      </c>
      <c r="M4" t="str">
        <f>'FinalTransition-Control'!A20</f>
        <v>MALSD to HCC for non-cirrhotic</v>
      </c>
      <c r="N4" s="13">
        <f>'FinalTransition-Control'!B20</f>
        <v>3.8999999999999999E-4</v>
      </c>
      <c r="P4" s="12"/>
      <c r="Q4" s="12" t="str">
        <f>'FinalTransition-Control'!B27</f>
        <v>Untreated</v>
      </c>
      <c r="R4" s="13">
        <f>'FinalTransition-Control'!C27</f>
        <v>0.47188000000000008</v>
      </c>
      <c r="S4" s="13">
        <f>'FinalTransition-Control'!D27</f>
        <v>0.47188000000000008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87664.671144184715</v>
      </c>
      <c r="AF4" s="13">
        <f>FinalRewards!C4</f>
        <v>80883.631033972371</v>
      </c>
      <c r="AG4" s="13">
        <f>FinalRewards!D4</f>
        <v>0.66486992429469938</v>
      </c>
      <c r="AH4" s="13">
        <f>FinalRewards!E4</f>
        <v>0.68349606881577518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0.60767603239770651</v>
      </c>
      <c r="F5" s="11">
        <f>'FinalTransition-Control'!F5</f>
        <v>0</v>
      </c>
      <c r="G5" s="8">
        <f>'FinalTransition-Control'!G5</f>
        <v>0.39232396760229349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5.28E-3</v>
      </c>
      <c r="M5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0.52917599999999998</v>
      </c>
      <c r="S5" s="13">
        <f>'FinalTransition-Control'!D28</f>
        <v>0.52917599999999998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0.62948937599999999</v>
      </c>
      <c r="X5" s="13">
        <f>'FinalTransition-Control'!D43</f>
        <v>0.62948937599999999</v>
      </c>
      <c r="AA5" s="13"/>
      <c r="AB5" s="13"/>
      <c r="AD5" s="12" t="str">
        <f>FinalRewards!A5</f>
        <v>Untreated</v>
      </c>
      <c r="AE5" s="12">
        <f>FinalRewards!B5</f>
        <v>59832.075006973944</v>
      </c>
      <c r="AF5" s="12">
        <f>FinalRewards!C5</f>
        <v>55951.943826100367</v>
      </c>
      <c r="AG5" s="13">
        <f>FinalRewards!D5</f>
        <v>0.64307043159422839</v>
      </c>
      <c r="AH5" s="13">
        <f>FinalRewards!E5</f>
        <v>0.66658359657924937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0.98563136000000007</v>
      </c>
      <c r="C6" s="11">
        <f>'FinalTransition-Control'!C6</f>
        <v>5.7234399999999998E-3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0.37051062400000001</v>
      </c>
      <c r="X6" s="13">
        <f>'FinalTransition-Control'!D44</f>
        <v>0.37051062400000001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0.85760000000000003</v>
      </c>
      <c r="AH6" s="13">
        <f>FinalRewards!E6</f>
        <v>0.85760000000000003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0.47082400000000002</v>
      </c>
      <c r="S7" s="13">
        <f>'FinalTransition-Control'!D30</f>
        <v>0.47082400000000002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0.38764800000000005</v>
      </c>
      <c r="S8" s="13">
        <f>'FinalTransition-Control'!D31</f>
        <v>0.38764800000000005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0.20727501599999987</v>
      </c>
      <c r="X8" s="13">
        <f>'FinalTransition-Control'!D46</f>
        <v>0.20727501599999987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0.79272498400000013</v>
      </c>
      <c r="X9" s="13">
        <f>'FinalTransition-Control'!D47</f>
        <v>0.79272498400000013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0.61235200000000001</v>
      </c>
      <c r="S10" s="13">
        <f>'FinalTransition-Control'!D33</f>
        <v>0.61235200000000001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0.484395144</v>
      </c>
      <c r="S11" s="13">
        <f>'FinalTransition-Control'!D34</f>
        <v>0.49918210079999997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0.60767603239770651</v>
      </c>
      <c r="X11" s="13">
        <f>'FinalTransition-Control'!D49</f>
        <v>0.66968296604445132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0.39232396760229349</v>
      </c>
      <c r="X12" s="13">
        <f>'FinalTransition-Control'!D50</f>
        <v>0.33031703395554873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0.51560485600000006</v>
      </c>
      <c r="S13" s="13">
        <f>'FinalTransition-Control'!D36</f>
        <v>0.50081789920000008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tabSelected="1" zoomScale="90" zoomScaleNormal="90" workbookViewId="0">
      <selection activeCell="B17" sqref="B17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93</v>
      </c>
      <c r="B1" s="2" t="s">
        <v>94</v>
      </c>
      <c r="C1" s="2" t="s">
        <v>95</v>
      </c>
      <c r="D1" s="3" t="s">
        <v>96</v>
      </c>
      <c r="E1" s="3" t="s">
        <v>97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0.85760000000000003</v>
      </c>
      <c r="E2" s="181">
        <f>B27</f>
        <v>0.85760000000000003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0.65363000000000004</v>
      </c>
      <c r="E3" s="182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87664.671144184715</v>
      </c>
      <c r="C4" s="6">
        <f>SUMPRODUCT('FinalTransition-Control'!C68:C70,FinalRewards!C15:C17)</f>
        <v>80883.631033972371</v>
      </c>
      <c r="D4" s="181">
        <f>SUMPRODUCT(D12:D14,'FinalTransition-Control'!B68:B70)</f>
        <v>0.66486992429469938</v>
      </c>
      <c r="E4" s="181">
        <f>SUMPRODUCT(E12:E14,'FinalTransition-Control'!C68:C70)</f>
        <v>0.68349606881577518</v>
      </c>
    </row>
    <row r="5" spans="1:5" ht="17.25" customHeight="1">
      <c r="A5" s="10" t="s">
        <v>3</v>
      </c>
      <c r="B5" s="6">
        <f>SUMPRODUCT('FinalTransition-Control'!B71:B73,FinalRewards!B18:B20)</f>
        <v>59832.075006973944</v>
      </c>
      <c r="C5" s="6">
        <f>SUMPRODUCT('FinalTransition-Control'!C71:C73,FinalRewards!C18:C20)</f>
        <v>55951.943826100367</v>
      </c>
      <c r="D5" s="181">
        <f>SUMPRODUCT(D12:D14,'FinalTransition-Control'!B71:B73)</f>
        <v>0.64307043159422839</v>
      </c>
      <c r="E5" s="181">
        <f>SUMPRODUCT(E12:E14,'FinalTransition-Control'!C71:C73)</f>
        <v>0.66658359657924937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0.85760000000000003</v>
      </c>
      <c r="E6" s="182">
        <f>E2</f>
        <v>0.85760000000000003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98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118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119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120</v>
      </c>
      <c r="B14" s="143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47" t="s">
        <v>106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107</v>
      </c>
      <c r="B16" s="5">
        <v>118194</v>
      </c>
      <c r="C16" s="6">
        <f t="shared" si="1"/>
        <v>118194</v>
      </c>
      <c r="D16" s="171"/>
      <c r="E16" s="8"/>
    </row>
    <row r="17" spans="1:5" ht="17.25" customHeight="1">
      <c r="A17" s="147" t="s">
        <v>108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103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104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105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99</v>
      </c>
      <c r="C22" s="139" t="s">
        <v>100</v>
      </c>
      <c r="D22" s="13"/>
      <c r="E22" s="13"/>
    </row>
    <row r="23" spans="1:5" ht="17.25" customHeight="1">
      <c r="A23" s="18" t="s">
        <v>101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102</v>
      </c>
      <c r="B24" s="142"/>
      <c r="C24" s="143">
        <v>630</v>
      </c>
      <c r="D24" s="13"/>
      <c r="E24" s="13"/>
    </row>
    <row r="25" spans="1:5" ht="33.950000000000003" customHeight="1">
      <c r="A25" s="186" t="s">
        <v>121</v>
      </c>
      <c r="C25" s="143">
        <v>1050</v>
      </c>
      <c r="D25" s="13"/>
      <c r="E25" s="13"/>
    </row>
    <row r="26" spans="1:5" ht="45">
      <c r="B26" s="139" t="s">
        <v>122</v>
      </c>
      <c r="C26" s="139" t="s">
        <v>123</v>
      </c>
    </row>
    <row r="27" spans="1:5">
      <c r="A27" s="14" t="s">
        <v>1</v>
      </c>
      <c r="B27" s="185">
        <f>(C28*'FinalTransition-Control'!B18)+(C27*(1-'FinalTransition-Control'!B18))</f>
        <v>0.85760000000000003</v>
      </c>
      <c r="C27" s="180">
        <v>0.88</v>
      </c>
    </row>
    <row r="28" spans="1:5">
      <c r="A28" s="14" t="s">
        <v>124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Kimiko Liu</cp:lastModifiedBy>
  <cp:revision/>
  <dcterms:created xsi:type="dcterms:W3CDTF">2025-02-05T07:50:19Z</dcterms:created>
  <dcterms:modified xsi:type="dcterms:W3CDTF">2025-03-08T00:50:02Z</dcterms:modified>
  <cp:category/>
  <cp:contentStatus/>
</cp:coreProperties>
</file>