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01C076C3-7836-4D28-BE0C-512292AC81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06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MBIS5006!$C$22:$R$820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<sst xmlns="http://schemas.openxmlformats.org/spreadsheetml/2006/main" count="1758" uniqueCount="733">
  <si>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</si>
  <si>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</si>
  <si>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</si>
  <si>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</si>
  <si>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</si>
  <si>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</si>
  <si>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</si>
  <si>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</si>
  <si>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</si>
  <si>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</si>
  <si>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</si>
  <si>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</si>
  <si>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</si>
  <si>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</si>
  <si>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</si>
  <si>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</si>
  <si>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</si>
  <si>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</si>
  <si>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</si>
  <si>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</si>
  <si>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</si>
  <si>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</si>
  <si>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</si>
  <si>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</si>
  <si>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</si>
  <si>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</si>
  <si>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</si>
  <si>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</si>
  <si>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</si>
  <si>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</si>
  <si>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</si>
  <si>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</si>
  <si>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</si>
  <si>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</si>
  <si>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</si>
  <si>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</si>
  <si>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</si>
  <si>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</si>
  <si>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</si>
  <si>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</si>
  <si>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</si>
  <si>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</si>
  <si>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</si>
  <si>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</si>
  <si>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</si>
  <si>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</si>
  <si>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</si>
  <si>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</si>
  <si>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</si>
  <si>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</si>
  <si>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</si>
  <si>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</si>
  <si>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</si>
  <si>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</si>
  <si>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</si>
  <si>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</si>
  <si>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</si>
  <si>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</si>
  <si>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</si>
  <si>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</si>
  <si>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</si>
  <si>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</si>
  <si>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</si>
  <si>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</si>
  <si>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</si>
  <si>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</si>
  <si>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</si>
  <si>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</si>
  <si>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</si>
  <si>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</si>
  <si>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</si>
  <si>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</si>
  <si>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</si>
  <si>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</si>
  <si>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</si>
  <si>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</si>
  <si>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</si>
  <si>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</si>
  <si>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</si>
  <si>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</si>
  <si>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</si>
  <si>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</si>
  <si>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</si>
  <si>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</si>
  <si>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</si>
  <si>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</si>
  <si>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</si>
  <si>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</si>
  <si>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</si>
  <si>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</si>
  <si>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</si>
  <si>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</si>
  <si>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</si>
  <si>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</si>
  <si>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</si>
  <si>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</si>
  <si>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</si>
  <si>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</si>
  <si>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</si>
  <si>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</si>
  <si>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</si>
  <si>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</si>
  <si>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</si>
  <si>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</si>
  <si>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</si>
  <si>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</si>
  <si>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</si>
  <si>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</si>
  <si>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</si>
  <si>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</si>
  <si>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</si>
  <si>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</si>
  <si>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</si>
  <si>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</si>
  <si>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</si>
  <si>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</si>
  <si>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</si>
  <si>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</si>
  <si>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</si>
  <si>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</si>
  <si>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</si>
  <si>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</si>
  <si>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</si>
  <si>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</si>
  <si>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</si>
  <si>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</si>
  <si>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</si>
  <si>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</si>
  <si>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</si>
  <si>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</si>
  <si>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</si>
  <si>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</si>
  <si>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</si>
  <si>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</si>
  <si>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</si>
  <si>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</si>
  <si>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</si>
  <si>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</si>
  <si>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</si>
  <si>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</si>
  <si>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</si>
  <si>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</si>
  <si>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</si>
  <si>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</si>
  <si>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</si>
  <si>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</si>
  <si>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</si>
  <si>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</si>
  <si>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</si>
  <si>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</si>
  <si>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</si>
  <si>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</si>
  <si>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</si>
  <si>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</si>
  <si>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</si>
  <si>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</si>
  <si>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</si>
  <si>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</si>
  <si>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</si>
  <si>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</si>
  <si>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</si>
  <si>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</si>
  <si>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</si>
  <si>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</si>
  <si>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</si>
  <si>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</si>
  <si>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</si>
  <si>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</si>
  <si>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</si>
  <si>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</si>
  <si>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</si>
  <si>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</si>
  <si>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</si>
  <si>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</si>
  <si>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</si>
  <si>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</si>
  <si>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</si>
  <si>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</si>
  <si>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</si>
  <si>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</si>
  <si>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</si>
  <si>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</si>
  <si>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</si>
  <si>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</si>
  <si>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</si>
  <si>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</si>
  <si>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</si>
  <si>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</si>
  <si>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</si>
  <si>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</si>
  <si>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</si>
  <si>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</si>
  <si>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</si>
  <si>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</si>
  <si>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</si>
  <si>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</si>
  <si>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</si>
  <si>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</si>
  <si>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</si>
  <si>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</si>
  <si>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</si>
  <si>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</si>
  <si>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</si>
  <si>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</si>
  <si>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</si>
  <si>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</si>
  <si>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</si>
  <si>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</si>
  <si>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</si>
  <si>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</si>
  <si>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</si>
  <si>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</si>
  <si>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</si>
  <si>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</si>
  <si>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</si>
  <si>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</si>
  <si>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</si>
  <si>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</si>
  <si>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</si>
  <si>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</si>
  <si>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</si>
  <si>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</si>
  <si>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</si>
  <si>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</si>
  <si>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</si>
  <si>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</si>
  <si>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</si>
  <si>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</si>
  <si>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</si>
  <si>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</si>
  <si>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</si>
  <si>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</si>
  <si>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</si>
  <si>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</si>
  <si>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</si>
  <si>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</si>
  <si>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</si>
  <si>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</si>
  <si>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</si>
  <si>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</si>
  <si>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</si>
  <si>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</si>
  <si>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</si>
  <si>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</si>
  <si>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</si>
  <si>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</si>
  <si>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</si>
  <si>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</si>
  <si>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</si>
  <si>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</si>
  <si>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</si>
  <si>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</si>
  <si>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</si>
  <si>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</si>
  <si>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</si>
  <si>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</si>
  <si>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</si>
  <si>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</si>
  <si>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</si>
  <si>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</si>
  <si>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</si>
  <si>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</si>
  <si>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</si>
  <si>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</si>
  <si>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</si>
  <si>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</si>
  <si>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</si>
  <si>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</si>
  <si>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</si>
  <si>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</si>
  <si>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</si>
  <si>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</si>
  <si>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</si>
  <si>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</si>
  <si>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</si>
  <si>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</si>
  <si>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</si>
  <si>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</si>
  <si>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</si>
  <si>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</si>
  <si>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</si>
  <si>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</si>
  <si>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</si>
  <si>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</si>
  <si>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</si>
  <si>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</si>
  <si>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</si>
  <si>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</si>
  <si>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</si>
  <si>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</si>
  <si>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</si>
  <si>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</si>
  <si>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</si>
  <si>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</si>
  <si>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</si>
  <si>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</si>
  <si>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</si>
  <si>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</si>
  <si>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</si>
  <si>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</si>
  <si>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</si>
  <si>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</si>
  <si>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</si>
  <si>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</si>
  <si>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</si>
  <si>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</si>
  <si>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</si>
  <si>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</si>
  <si>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</si>
  <si>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</si>
  <si>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</si>
  <si>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</si>
  <si>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</si>
  <si>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</si>
  <si>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</si>
  <si>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</si>
  <si>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</si>
  <si>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</si>
  <si>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</si>
  <si>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</si>
  <si>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</si>
  <si>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</si>
  <si>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</si>
  <si>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</si>
  <si>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</si>
  <si>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</si>
  <si>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</si>
  <si>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</si>
  <si>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</si>
  <si>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</si>
  <si>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</si>
  <si>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</si>
  <si>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</si>
  <si>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</si>
  <si>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</si>
  <si>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</si>
  <si>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</si>
  <si>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</si>
  <si>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</si>
  <si>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</si>
  <si>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</si>
  <si>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</si>
  <si>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</si>
  <si>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</si>
  <si>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</si>
  <si>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</si>
  <si>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</si>
  <si>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</si>
  <si>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</si>
  <si>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</si>
  <si>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</si>
  <si>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</si>
  <si>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</si>
  <si>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</si>
  <si>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</si>
  <si>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</si>
  <si>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</si>
  <si>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</si>
  <si>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</si>
  <si>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</si>
  <si>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</si>
  <si>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</si>
  <si>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</si>
  <si>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</si>
  <si>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</si>
  <si>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</si>
  <si>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</si>
  <si>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</si>
  <si>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</si>
  <si>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</si>
  <si>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</si>
  <si>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</si>
  <si>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</si>
  <si>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</si>
  <si>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</si>
  <si>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</si>
  <si>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</si>
  <si>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</si>
  <si>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</si>
  <si>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</si>
  <si>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</si>
  <si>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</si>
  <si>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</si>
  <si>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</si>
  <si>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</si>
  <si>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</si>
  <si>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</si>
  <si>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</si>
  <si>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</si>
  <si>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</si>
  <si>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</si>
  <si>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</si>
  <si>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</si>
  <si>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</si>
  <si>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</si>
  <si>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</si>
  <si>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</si>
  <si>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</si>
  <si>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</si>
  <si>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</si>
  <si>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</si>
  <si>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</si>
  <si>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</si>
  <si>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</si>
  <si>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</si>
  <si>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</si>
  <si>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</si>
  <si>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</si>
  <si>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</si>
  <si>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</si>
  <si>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</si>
  <si>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</si>
  <si>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</si>
  <si>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</si>
  <si>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</si>
  <si>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</si>
  <si>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</si>
  <si>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</si>
  <si>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</si>
  <si>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</si>
  <si>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</si>
  <si>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</si>
  <si>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</si>
  <si>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</si>
  <si>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</si>
  <si>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</si>
  <si>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</si>
  <si>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</si>
  <si>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</si>
  <si>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</si>
  <si>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</si>
  <si>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</si>
  <si>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</si>
  <si>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</si>
  <si>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</si>
  <si>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</si>
  <si>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</si>
  <si>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</si>
  <si>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</si>
  <si>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</si>
  <si>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</si>
  <si>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</si>
  <si>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</si>
  <si>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</si>
  <si>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</si>
  <si>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</si>
  <si>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</si>
  <si>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</si>
  <si>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</si>
  <si>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</si>
  <si>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</si>
  <si>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</si>
  <si>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</si>
  <si>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</si>
  <si>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</si>
  <si>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</si>
  <si>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</si>
  <si>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</si>
  <si>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</si>
  <si>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</si>
  <si>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</si>
  <si>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</si>
  <si>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</si>
  <si>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</si>
  <si>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</si>
  <si>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</si>
  <si>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</si>
  <si>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</si>
  <si>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</si>
  <si>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</si>
  <si>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</si>
  <si>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</si>
  <si>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</si>
  <si>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</si>
  <si>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</si>
  <si>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</si>
  <si>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</si>
  <si>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</si>
  <si>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</si>
  <si>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</si>
  <si>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</si>
  <si>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</si>
  <si>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</si>
  <si>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</si>
  <si>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</si>
  <si>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</si>
  <si>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</si>
  <si>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</si>
  <si>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</si>
  <si>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</si>
  <si>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</si>
  <si>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</si>
  <si>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</si>
  <si>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</si>
  <si>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</si>
  <si>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</si>
  <si>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</si>
  <si>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</si>
  <si>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</si>
  <si>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</si>
  <si>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</si>
  <si>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</si>
  <si>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</si>
  <si>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</si>
  <si>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</si>
  <si>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</si>
  <si>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</si>
  <si>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</si>
  <si>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</si>
  <si>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</si>
  <si>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</si>
  <si>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</si>
  <si>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</si>
  <si>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</si>
  <si>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</si>
  <si>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</si>
  <si>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</si>
  <si>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</si>
  <si>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</si>
  <si>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</si>
  <si>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</si>
  <si>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</si>
  <si>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</si>
  <si>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</si>
  <si>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</si>
  <si>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</si>
  <si>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</si>
  <si>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</si>
  <si>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</si>
  <si>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</si>
  <si>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</si>
  <si>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</si>
  <si>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</si>
  <si>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</si>
  <si>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</si>
  <si>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</si>
  <si>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</si>
  <si>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</si>
  <si>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</si>
  <si>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</si>
  <si>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</si>
  <si>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</si>
  <si>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</si>
  <si>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</si>
  <si>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</si>
  <si>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</si>
  <si>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</si>
  <si>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</si>
  <si>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</si>
  <si>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</si>
  <si>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</si>
  <si>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</si>
  <si>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</si>
  <si>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</si>
  <si>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</si>
  <si>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</si>
  <si>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</si>
  <si>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</si>
  <si>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</si>
  <si>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</si>
  <si>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</si>
  <si>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</si>
  <si>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</si>
  <si>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</si>
  <si>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</si>
  <si>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</si>
  <si>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</si>
  <si>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</si>
  <si>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</si>
  <si>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</si>
  <si>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</si>
  <si>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</si>
  <si>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</si>
  <si>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</si>
  <si>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</si>
  <si>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</si>
  <si>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</si>
  <si>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</si>
  <si>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</si>
  <si>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</si>
  <si>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</si>
  <si>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</si>
  <si>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</si>
  <si>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</si>
  <si>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</si>
  <si>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</si>
  <si>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</si>
  <si>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</si>
  <si>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</si>
  <si>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</si>
  <si>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</si>
  <si>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</si>
  <si>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</si>
  <si>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</si>
  <si>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</si>
  <si>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</si>
  <si>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</si>
  <si>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</si>
  <si>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</si>
  <si>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</si>
  <si>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</si>
  <si>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</si>
  <si>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</si>
  <si>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</si>
  <si>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</si>
  <si>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</si>
  <si>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</si>
  <si>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</si>
  <si>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</si>
  <si>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</si>
  <si>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</si>
  <si>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</si>
  <si>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</si>
  <si>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</si>
  <si>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</si>
  <si>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</si>
  <si>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</si>
  <si>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</si>
  <si>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</si>
  <si>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</si>
  <si>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</si>
  <si>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</si>
  <si>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</si>
  <si>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</si>
  <si>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</si>
  <si>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</si>
  <si>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</si>
  <si>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</si>
  <si>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</si>
  <si>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</si>
  <si>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</si>
  <si>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</si>
  <si>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</si>
  <si>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</si>
  <si>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</si>
  <si>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</si>
  <si>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</si>
  <si>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</si>
  <si>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</si>
  <si>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</si>
  <si>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</si>
  <si>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</si>
  <si>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</si>
  <si>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</si>
  <si>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</si>
  <si>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</si>
  <si>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</si>
  <si>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</si>
  <si>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</si>
  <si>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</si>
  <si>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</si>
  <si>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</si>
  <si>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</si>
  <si>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</si>
  <si>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</si>
  <si>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</si>
  <si>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</si>
  <si>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</si>
  <si>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</si>
  <si>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</si>
  <si>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</si>
  <si>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</si>
  <si>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</si>
  <si>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</si>
  <si>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</si>
  <si>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</si>
  <si>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</si>
  <si>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</si>
  <si>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</si>
  <si>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</si>
  <si>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</si>
  <si>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</si>
  <si>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</si>
  <si>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</si>
  <si>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</si>
  <si>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</si>
  <si>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</si>
  <si>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</si>
  <si>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</si>
  <si>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</si>
  <si>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</si>
  <si>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</si>
  <si>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</si>
  <si>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</si>
  <si>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</si>
  <si>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</si>
  <si>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S. Baker</t>
  </si>
  <si>
    <t>231328</t>
  </si>
  <si>
    <t>233459</t>
  </si>
  <si>
    <t>233629</t>
  </si>
  <si>
    <t>230917</t>
  </si>
  <si>
    <t>233836</t>
  </si>
  <si>
    <t>234101</t>
  </si>
  <si>
    <t>233122</t>
  </si>
  <si>
    <t>234270</t>
  </si>
  <si>
    <t>233555</t>
  </si>
  <si>
    <t>231736</t>
  </si>
  <si>
    <t>233633</t>
  </si>
  <si>
    <t>232357</t>
  </si>
  <si>
    <t>231664</t>
  </si>
  <si>
    <t>222665</t>
  </si>
  <si>
    <t xml:space="preserve">A3: Report Individual </t>
  </si>
  <si>
    <t xml:space="preserve">A2: Quiz Individual </t>
  </si>
  <si>
    <t>M. Al-Zobbi</t>
  </si>
  <si>
    <t>Lecturer1</t>
  </si>
  <si>
    <t>Fstudent1</t>
  </si>
  <si>
    <t>Fstudent2</t>
  </si>
  <si>
    <t>Fstudent3</t>
  </si>
  <si>
    <t>Fstudent4</t>
  </si>
  <si>
    <t>Fstudent5</t>
  </si>
  <si>
    <t>Fstudent6</t>
  </si>
  <si>
    <t>Fstudent7</t>
  </si>
  <si>
    <t>Fstudent8</t>
  </si>
  <si>
    <t>Fstudent9</t>
  </si>
  <si>
    <t>Fstudent10</t>
  </si>
  <si>
    <t>Fstudent11</t>
  </si>
  <si>
    <t>Fstudent12</t>
  </si>
  <si>
    <t>Fstudent13</t>
  </si>
  <si>
    <t>Fstudent14</t>
  </si>
  <si>
    <t>Sstudent1</t>
  </si>
  <si>
    <t>Sstudent2</t>
  </si>
  <si>
    <t>Sstudent3</t>
  </si>
  <si>
    <t>Sstudent4</t>
  </si>
  <si>
    <t>Sstudent5</t>
  </si>
  <si>
    <t>Sstudent6</t>
  </si>
  <si>
    <t>Sstudent7</t>
  </si>
  <si>
    <t>Sstudent8</t>
  </si>
  <si>
    <t>Sstudent9</t>
  </si>
  <si>
    <t>Sstudent10</t>
  </si>
  <si>
    <t>Sstudent11</t>
  </si>
  <si>
    <t>Sstudent12</t>
  </si>
  <si>
    <t>Sstudent13</t>
  </si>
  <si>
    <t>Sstudent14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</si>
</sst>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MBIS5006!$D$14:$K$14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 formatCode="@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MBIS5006!$D$15:$K$15</c:f>
              <c:numCache>
                <c:formatCode>0.0%</c:formatCode>
                <c:ptCount val="8"/>
                <c:pt idx="0">
                  <c:v>0.21428571428571427</c:v>
                </c:pt>
                <c:pt idx="1">
                  <c:v>0.14285714285714285</c:v>
                </c:pt>
                <c:pt idx="2">
                  <c:v>0.5</c:v>
                </c:pt>
                <c:pt idx="3" formatCode="@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MBIS5006!$AH$3:$AO$3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MBIS5006!$AH$14:$AO$14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MBIS5006!$AH$4:$AO$4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MBIS5006!$AH$15:$AO$15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21" zoomScale="85" zoomScaleNormal="85" workbookViewId="0">
      <selection activeCell="F23" sqref="F23:F36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0</v>
      </c>
      <c r="AJ3" s="9">
        <f>COUNTIFS($R:$R,AJ2,$C:$C,U3)</f>
        <v>0</v>
      </c>
      <c r="AK3" s="9">
        <f>COUNTIFS($R:$R,AK2,$C:$C,U3)</f>
        <v>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 t="e">
        <f>AH3/COUNTIF($C:$C,U3)</f>
        <v>#DIV/0!</v>
      </c>
      <c r="AI4" s="47" t="e">
        <f>AI3/COUNTIF($C:$C,U3)</f>
        <v>#DIV/0!</v>
      </c>
      <c r="AJ4" s="47" t="e">
        <f>AJ3/COUNTIF($C:$C,U3)</f>
        <v>#DIV/0!</v>
      </c>
      <c r="AK4" s="47" t="e">
        <f>AK3/COUNTIF($C:$C,U3)</f>
        <v>#DIV/0!</v>
      </c>
      <c r="AL4" s="47" t="e">
        <f>AL3/COUNTIF($C:$C,U3)</f>
        <v>#DIV/0!</v>
      </c>
      <c r="AM4" s="47" t="e">
        <f>AM3/COUNTIF($C:$C,U3)</f>
        <v>#DIV/0!</v>
      </c>
      <c r="AN4" s="47" t="e">
        <f>AN3/COUNTIF($C:$C,U3)</f>
        <v>#DIV/0!</v>
      </c>
      <c r="AO4" s="47" t="e">
        <f>AO3/COUNTIF($C:$C,U3)</f>
        <v>#DIV/0!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3</v>
      </c>
      <c r="I6" s="115">
        <f>E14</f>
        <v>2</v>
      </c>
      <c r="J6" s="115">
        <f t="shared" ref="J6:Q6" si="1">F14</f>
        <v>7</v>
      </c>
      <c r="K6" s="115">
        <f t="shared" si="1"/>
        <v>2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 t="e">
        <f>SUM(AH4:AK4)</f>
        <v>#DIV/0!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385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Organizational Cyber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14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3</v>
      </c>
      <c r="E14" s="9">
        <f t="shared" si="2"/>
        <v>2</v>
      </c>
      <c r="F14" s="9">
        <f t="shared" si="2"/>
        <v>7</v>
      </c>
      <c r="G14" s="62">
        <f t="shared" si="2"/>
        <v>2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0</v>
      </c>
      <c r="AJ14" s="9">
        <f>COUNTIFS($R:$R,AJ13,$C:$C,U14)</f>
        <v>0</v>
      </c>
      <c r="AK14" s="9">
        <f>COUNTIFS($R:$R,AK13,$C:$C,U14)</f>
        <v>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0.21428571428571427</v>
      </c>
      <c r="E15" s="47">
        <f t="shared" si="4"/>
        <v>0.14285714285714285</v>
      </c>
      <c r="F15" s="47">
        <f t="shared" si="4"/>
        <v>0.5</v>
      </c>
      <c r="G15" s="63">
        <f t="shared" si="4"/>
        <v>0.14285714285714285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 t="e">
        <f>AH14/COUNTIF($C:$C,U14)</f>
        <v>#DIV/0!</v>
      </c>
      <c r="AI15" s="47" t="e">
        <f>AI14/COUNTIF($C:$C,U14)</f>
        <v>#DIV/0!</v>
      </c>
      <c r="AJ15" s="47" t="e">
        <f>AJ14/COUNTIF($C:$C,U14)</f>
        <v>#DIV/0!</v>
      </c>
      <c r="AK15" s="47" t="e">
        <f>AK14/COUNTIF($C:$C,U14)</f>
        <v>#DIV/0!</v>
      </c>
      <c r="AL15" s="47" t="e">
        <f>AL14/COUNTIF($C:$C,U14)</f>
        <v>#DIV/0!</v>
      </c>
      <c r="AM15" s="47" t="e">
        <f>AM14/COUNTIF($C:$C,U14)</f>
        <v>#DIV/0!</v>
      </c>
      <c r="AN15" s="47" t="e">
        <f>AN14/COUNTIF($C:$C,U14)</f>
        <v>#DIV/0!</v>
      </c>
      <c r="AO15" s="47" t="e">
        <f>AO14/COUNTIF($C:$C,U14)</f>
        <v>#DIV/0!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702</v>
      </c>
      <c r="J20" s="25" t="s">
        <v>701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 t="e">
        <f>SUM(AH15:AK15)</f>
        <v>#DIV/0!</v>
      </c>
    </row>
    <row r="23" spans="2:32" ht="15" customHeight="1" x14ac:dyDescent="0.35">
      <c r="B23" s="120" t="str">
        <f t="shared" ref="B23:B86" si="9">E$8&amp;" "&amp;G23</f>
        <v>MBIS5006 232357</v>
      </c>
      <c r="C23" s="6" t="s">
        <v>587</v>
      </c>
      <c r="D23" s="6" t="s">
        <v>704</v>
      </c>
      <c r="E23" s="23" t="s">
        <v>705</v>
      </c>
      <c r="F23" s="23" t="s">
        <v>719</v>
      </c>
      <c r="G23" s="87" t="s">
        <v>698</v>
      </c>
      <c r="H23" s="37">
        <v>25</v>
      </c>
      <c r="I23" s="37">
        <v>30</v>
      </c>
      <c r="J23" s="37">
        <v>34.5</v>
      </c>
      <c r="K23" s="132"/>
      <c r="L23" s="40"/>
      <c r="M23" s="19">
        <f t="shared" ref="M23:M86" si="10">IF(G23="","",SUM(H23:L23))</f>
        <v>89.5</v>
      </c>
      <c r="N23" s="20">
        <f t="shared" ref="N23:N86" si="11">IF(G23="","",ROUND(M23,0))</f>
        <v>90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MBIS5006 222665</v>
      </c>
      <c r="C24" s="6" t="s">
        <v>587</v>
      </c>
      <c r="D24" s="6" t="s">
        <v>704</v>
      </c>
      <c r="E24" s="82" t="s">
        <v>706</v>
      </c>
      <c r="F24" s="82" t="s">
        <v>720</v>
      </c>
      <c r="G24" s="87" t="s">
        <v>700</v>
      </c>
      <c r="H24" s="138">
        <v>28</v>
      </c>
      <c r="I24" s="138">
        <v>25</v>
      </c>
      <c r="J24" s="138">
        <v>36</v>
      </c>
      <c r="K24" s="132"/>
      <c r="L24" s="42"/>
      <c r="M24" s="19">
        <f t="shared" si="10"/>
        <v>89</v>
      </c>
      <c r="N24" s="20">
        <f t="shared" si="11"/>
        <v>89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MBIS5006 234101</v>
      </c>
      <c r="C25" s="6" t="s">
        <v>587</v>
      </c>
      <c r="D25" s="6" t="s">
        <v>704</v>
      </c>
      <c r="E25" s="82" t="s">
        <v>707</v>
      </c>
      <c r="F25" s="82" t="s">
        <v>721</v>
      </c>
      <c r="G25" s="87" t="s">
        <v>692</v>
      </c>
      <c r="H25" s="132">
        <v>27</v>
      </c>
      <c r="I25" s="132">
        <v>30</v>
      </c>
      <c r="J25" s="132">
        <v>27.75</v>
      </c>
      <c r="K25" s="132"/>
      <c r="L25" s="44"/>
      <c r="M25" s="19">
        <f t="shared" si="10"/>
        <v>84.75</v>
      </c>
      <c r="N25" s="20">
        <f t="shared" si="11"/>
        <v>85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MBIS5006 231328</v>
      </c>
      <c r="C26" s="6" t="s">
        <v>587</v>
      </c>
      <c r="D26" s="6" t="s">
        <v>704</v>
      </c>
      <c r="E26" s="23" t="s">
        <v>708</v>
      </c>
      <c r="F26" s="23" t="s">
        <v>722</v>
      </c>
      <c r="G26" s="66" t="s">
        <v>687</v>
      </c>
      <c r="H26" s="132">
        <v>25</v>
      </c>
      <c r="I26" s="132">
        <v>27</v>
      </c>
      <c r="J26" s="132">
        <v>25.5</v>
      </c>
      <c r="K26" s="132"/>
      <c r="L26" s="44"/>
      <c r="M26" s="19">
        <f t="shared" si="10"/>
        <v>77.5</v>
      </c>
      <c r="N26" s="20">
        <f t="shared" si="11"/>
        <v>78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MBIS5006 231736</v>
      </c>
      <c r="C27" s="6" t="s">
        <v>587</v>
      </c>
      <c r="D27" s="6" t="s">
        <v>704</v>
      </c>
      <c r="E27" s="82" t="s">
        <v>709</v>
      </c>
      <c r="F27" s="82" t="s">
        <v>723</v>
      </c>
      <c r="G27" s="87" t="s">
        <v>696</v>
      </c>
      <c r="H27" s="37">
        <v>17.5</v>
      </c>
      <c r="I27" s="37">
        <v>26.5</v>
      </c>
      <c r="J27" s="37">
        <v>33</v>
      </c>
      <c r="K27" s="132"/>
      <c r="L27" s="44"/>
      <c r="M27" s="19">
        <f t="shared" si="10"/>
        <v>77</v>
      </c>
      <c r="N27" s="20">
        <f t="shared" si="11"/>
        <v>77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MBIS5006 230917</v>
      </c>
      <c r="C28" s="6" t="s">
        <v>587</v>
      </c>
      <c r="D28" s="6" t="s">
        <v>704</v>
      </c>
      <c r="E28" s="82" t="s">
        <v>710</v>
      </c>
      <c r="F28" s="82" t="s">
        <v>724</v>
      </c>
      <c r="G28" s="87" t="s">
        <v>690</v>
      </c>
      <c r="H28" s="135">
        <v>13.5</v>
      </c>
      <c r="I28" s="135">
        <v>30</v>
      </c>
      <c r="J28" s="135">
        <v>28.5</v>
      </c>
      <c r="K28" s="132"/>
      <c r="L28" s="39"/>
      <c r="M28" s="19">
        <f t="shared" si="10"/>
        <v>72</v>
      </c>
      <c r="N28" s="20">
        <f t="shared" si="11"/>
        <v>72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MBIS5006 233555</v>
      </c>
      <c r="C29" s="6" t="s">
        <v>587</v>
      </c>
      <c r="D29" s="6" t="s">
        <v>704</v>
      </c>
      <c r="E29" s="23" t="s">
        <v>711</v>
      </c>
      <c r="F29" s="23" t="s">
        <v>725</v>
      </c>
      <c r="G29" s="66" t="s">
        <v>695</v>
      </c>
      <c r="H29" s="141">
        <v>29</v>
      </c>
      <c r="I29" s="141">
        <v>26</v>
      </c>
      <c r="J29" s="141">
        <v>15</v>
      </c>
      <c r="K29" s="141"/>
      <c r="L29" s="44"/>
      <c r="M29" s="19">
        <f t="shared" si="10"/>
        <v>70</v>
      </c>
      <c r="N29" s="20">
        <f t="shared" si="11"/>
        <v>70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MBIS5006 233633</v>
      </c>
      <c r="C30" s="6" t="s">
        <v>587</v>
      </c>
      <c r="D30" s="6" t="s">
        <v>704</v>
      </c>
      <c r="E30" s="23" t="s">
        <v>712</v>
      </c>
      <c r="F30" s="23" t="s">
        <v>726</v>
      </c>
      <c r="G30" s="66" t="s">
        <v>697</v>
      </c>
      <c r="H30" s="141">
        <v>15.8</v>
      </c>
      <c r="I30" s="141">
        <v>28</v>
      </c>
      <c r="J30" s="141">
        <v>25.5</v>
      </c>
      <c r="K30" s="141"/>
      <c r="L30" s="44"/>
      <c r="M30" s="19">
        <f t="shared" si="10"/>
        <v>69.3</v>
      </c>
      <c r="N30" s="20">
        <f t="shared" si="11"/>
        <v>69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686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MBIS5006 233629</v>
      </c>
      <c r="C31" s="6" t="s">
        <v>587</v>
      </c>
      <c r="D31" s="6" t="s">
        <v>704</v>
      </c>
      <c r="E31" s="23" t="s">
        <v>713</v>
      </c>
      <c r="F31" s="23" t="s">
        <v>727</v>
      </c>
      <c r="G31" s="66" t="s">
        <v>689</v>
      </c>
      <c r="H31" s="132">
        <v>15</v>
      </c>
      <c r="I31" s="132">
        <v>29</v>
      </c>
      <c r="J31" s="132">
        <v>25.2</v>
      </c>
      <c r="K31" s="132"/>
      <c r="L31" s="44"/>
      <c r="M31" s="19">
        <f t="shared" si="10"/>
        <v>69.2</v>
      </c>
      <c r="N31" s="20">
        <f t="shared" si="11"/>
        <v>69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MBIS5006 231664</v>
      </c>
      <c r="C32" s="6" t="s">
        <v>587</v>
      </c>
      <c r="D32" s="6" t="s">
        <v>704</v>
      </c>
      <c r="E32" s="32" t="s">
        <v>714</v>
      </c>
      <c r="F32" s="32" t="s">
        <v>728</v>
      </c>
      <c r="G32" s="87" t="s">
        <v>699</v>
      </c>
      <c r="H32" s="37">
        <v>24.5</v>
      </c>
      <c r="I32" s="37">
        <v>27</v>
      </c>
      <c r="J32" s="132">
        <v>15</v>
      </c>
      <c r="K32" s="132"/>
      <c r="L32" s="40"/>
      <c r="M32" s="19">
        <f t="shared" si="10"/>
        <v>66.5</v>
      </c>
      <c r="N32" s="20">
        <f t="shared" si="11"/>
        <v>67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MBIS5006 233122</v>
      </c>
      <c r="C33" s="6" t="s">
        <v>587</v>
      </c>
      <c r="D33" s="6" t="s">
        <v>704</v>
      </c>
      <c r="E33" s="23" t="s">
        <v>715</v>
      </c>
      <c r="F33" s="23" t="s">
        <v>729</v>
      </c>
      <c r="G33" s="66" t="s">
        <v>693</v>
      </c>
      <c r="H33" s="132">
        <v>27</v>
      </c>
      <c r="I33" s="132">
        <v>23.5</v>
      </c>
      <c r="J33" s="132">
        <v>15</v>
      </c>
      <c r="K33" s="132"/>
      <c r="L33" s="44"/>
      <c r="M33" s="19">
        <f t="shared" si="10"/>
        <v>65.5</v>
      </c>
      <c r="N33" s="20">
        <f t="shared" si="11"/>
        <v>66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5">
      <c r="B34" s="120" t="str">
        <f t="shared" si="9"/>
        <v>MBIS5006 233459</v>
      </c>
      <c r="C34" s="6" t="s">
        <v>587</v>
      </c>
      <c r="D34" s="6" t="s">
        <v>704</v>
      </c>
      <c r="E34" s="32" t="s">
        <v>716</v>
      </c>
      <c r="F34" s="32" t="s">
        <v>730</v>
      </c>
      <c r="G34" s="87" t="s">
        <v>688</v>
      </c>
      <c r="H34" s="37">
        <v>15</v>
      </c>
      <c r="I34" s="132">
        <v>25</v>
      </c>
      <c r="J34" s="37">
        <v>24.75</v>
      </c>
      <c r="K34" s="132"/>
      <c r="L34" s="44"/>
      <c r="M34" s="19">
        <f t="shared" si="10"/>
        <v>64.75</v>
      </c>
      <c r="N34" s="20">
        <f t="shared" si="11"/>
        <v>65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5">
      <c r="B35" s="120" t="str">
        <f t="shared" si="9"/>
        <v>MBIS5006 233836</v>
      </c>
      <c r="C35" s="6" t="s">
        <v>587</v>
      </c>
      <c r="D35" s="6" t="s">
        <v>704</v>
      </c>
      <c r="E35" s="82" t="s">
        <v>717</v>
      </c>
      <c r="F35" s="82" t="s">
        <v>731</v>
      </c>
      <c r="G35" s="87" t="s">
        <v>691</v>
      </c>
      <c r="H35" s="134">
        <v>17</v>
      </c>
      <c r="I35" s="134">
        <v>22.5</v>
      </c>
      <c r="J35" s="134">
        <v>22.5</v>
      </c>
      <c r="K35" s="132"/>
      <c r="L35" s="71"/>
      <c r="M35" s="72">
        <f t="shared" si="10"/>
        <v>62</v>
      </c>
      <c r="N35" s="73">
        <f t="shared" si="11"/>
        <v>62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5">
      <c r="B36" s="120" t="str">
        <f t="shared" si="9"/>
        <v>MBIS5006 234270</v>
      </c>
      <c r="C36" s="6" t="s">
        <v>587</v>
      </c>
      <c r="D36" s="6" t="s">
        <v>704</v>
      </c>
      <c r="E36" s="82" t="s">
        <v>718</v>
      </c>
      <c r="F36" s="82" t="s">
        <v>732</v>
      </c>
      <c r="G36" s="87" t="s">
        <v>694</v>
      </c>
      <c r="H36" s="134">
        <v>15.5</v>
      </c>
      <c r="I36" s="134">
        <v>15</v>
      </c>
      <c r="J36" s="134">
        <v>24.75</v>
      </c>
      <c r="K36" s="132"/>
      <c r="L36" s="76"/>
      <c r="M36" s="72">
        <f t="shared" si="10"/>
        <v>55.25</v>
      </c>
      <c r="N36" s="73">
        <f t="shared" si="11"/>
        <v>55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5">
      <c r="B37" s="120" t="str">
        <f t="shared" si="9"/>
        <v xml:space="preserve">MBIS5006 </v>
      </c>
      <c r="C37" s="6"/>
      <c r="D37" s="6"/>
      <c r="E37" s="23"/>
      <c r="F37" s="23"/>
      <c r="G37" s="66"/>
      <c r="H37" s="139"/>
      <c r="I37" s="139"/>
      <c r="J37" s="139"/>
      <c r="K37" s="139"/>
      <c r="L37" s="44"/>
      <c r="M37" s="19" t="str">
        <f t="shared" si="10"/>
        <v/>
      </c>
      <c r="N37" s="20" t="str">
        <f t="shared" si="11"/>
        <v/>
      </c>
      <c r="O37" s="21" t="str">
        <f>IF(G37="","",LOOKUP(N37,{0,50,65,75,85},{"F","P","C","D","HD"}))</f>
        <v/>
      </c>
      <c r="P37" s="23"/>
      <c r="Q37" s="23"/>
      <c r="R37" s="31" t="str">
        <f t="shared" si="12"/>
        <v/>
      </c>
      <c r="S37" s="5"/>
      <c r="T37" s="146"/>
      <c r="AE37" s="50"/>
    </row>
    <row r="38" spans="2:31" x14ac:dyDescent="0.35">
      <c r="B38" s="120" t="str">
        <f t="shared" si="9"/>
        <v xml:space="preserve">MBIS5006 </v>
      </c>
      <c r="C38" s="6"/>
      <c r="D38" s="6"/>
      <c r="E38" s="23"/>
      <c r="F38" s="23"/>
      <c r="G38" s="66"/>
      <c r="H38" s="132"/>
      <c r="I38" s="132"/>
      <c r="J38" s="132"/>
      <c r="K38" s="132"/>
      <c r="L38" s="44"/>
      <c r="M38" s="19" t="str">
        <f t="shared" si="10"/>
        <v/>
      </c>
      <c r="N38" s="20" t="str">
        <f t="shared" si="11"/>
        <v/>
      </c>
      <c r="O38" s="21" t="str">
        <f>IF(G38="","",LOOKUP(N38,{0,50,65,75,85},{"F","P","C","D","HD"}))</f>
        <v/>
      </c>
      <c r="P38" s="23"/>
      <c r="Q38" s="23"/>
      <c r="R38" s="31" t="str">
        <f t="shared" si="12"/>
        <v/>
      </c>
      <c r="S38" s="5"/>
      <c r="T38" s="146"/>
      <c r="AE38" s="50"/>
    </row>
    <row r="39" spans="2:31" x14ac:dyDescent="0.35">
      <c r="B39" s="120" t="str">
        <f t="shared" si="9"/>
        <v xml:space="preserve">MBIS5006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 xml:space="preserve">MBIS5006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 xml:space="preserve">MBIS5006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 xml:space="preserve">MBIS5006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 xml:space="preserve">MBIS5006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 xml:space="preserve">MBIS5006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5">
      <c r="B45" s="120" t="str">
        <f t="shared" si="9"/>
        <v xml:space="preserve">MBIS5006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5">
      <c r="B46" s="120" t="str">
        <f t="shared" si="9"/>
        <v xml:space="preserve">MBIS5006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 xml:space="preserve">MBIS5006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 xml:space="preserve">MBIS5006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5">
      <c r="B49" s="120" t="str">
        <f t="shared" si="9"/>
        <v xml:space="preserve">MBIS5006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5">
      <c r="B50" s="120" t="str">
        <f t="shared" si="9"/>
        <v xml:space="preserve">MBIS5006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5">
      <c r="B51" s="120" t="str">
        <f t="shared" si="9"/>
        <v xml:space="preserve">MBIS5006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5">
      <c r="B52" s="120" t="str">
        <f t="shared" si="9"/>
        <v xml:space="preserve">MBIS5006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5">
      <c r="B53" s="120" t="str">
        <f t="shared" si="9"/>
        <v xml:space="preserve">MBIS5006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5">
      <c r="B54" s="120" t="str">
        <f t="shared" si="9"/>
        <v xml:space="preserve">MBIS5006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5">
      <c r="B55" s="120" t="str">
        <f t="shared" si="9"/>
        <v xml:space="preserve">MBIS5006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5">
      <c r="B56" s="120" t="str">
        <f t="shared" si="9"/>
        <v xml:space="preserve">MBIS5006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5">
      <c r="B57" s="120" t="str">
        <f t="shared" si="9"/>
        <v xml:space="preserve">MBIS5006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5">
      <c r="B58" s="120" t="str">
        <f t="shared" si="9"/>
        <v xml:space="preserve">MBIS5006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5">
      <c r="B59" s="120" t="str">
        <f t="shared" si="9"/>
        <v xml:space="preserve">MBIS5006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5">
      <c r="B60" s="120" t="str">
        <f t="shared" si="9"/>
        <v xml:space="preserve">MBIS5006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5">
      <c r="B61" s="120" t="str">
        <f t="shared" si="9"/>
        <v xml:space="preserve">MBIS5006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5">
      <c r="B62" s="120" t="str">
        <f t="shared" si="9"/>
        <v xml:space="preserve">MBIS5006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5">
      <c r="B63" s="120" t="str">
        <f t="shared" si="9"/>
        <v xml:space="preserve">MBIS5006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5">
      <c r="B64" s="120" t="str">
        <f t="shared" si="9"/>
        <v xml:space="preserve">MBIS5006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5">
      <c r="B65" s="120" t="str">
        <f t="shared" si="9"/>
        <v xml:space="preserve">MBIS5006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5">
      <c r="B66" s="120" t="str">
        <f t="shared" si="9"/>
        <v xml:space="preserve">MBIS5006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5">
      <c r="B67" s="120" t="str">
        <f t="shared" si="9"/>
        <v xml:space="preserve">MBIS5006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5">
      <c r="B68" s="120" t="str">
        <f t="shared" si="9"/>
        <v xml:space="preserve">MBIS5006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5">
      <c r="B69" s="120" t="str">
        <f t="shared" si="9"/>
        <v xml:space="preserve">MBIS5006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5">
      <c r="B70" s="120" t="str">
        <f t="shared" si="9"/>
        <v xml:space="preserve">MBIS5006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5">
      <c r="B71" s="120" t="str">
        <f t="shared" si="9"/>
        <v xml:space="preserve">MBIS5006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5">
      <c r="B72" s="120" t="str">
        <f t="shared" si="9"/>
        <v xml:space="preserve">MBIS5006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5">
      <c r="B73" s="120" t="str">
        <f t="shared" si="9"/>
        <v xml:space="preserve">MBIS5006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5">
      <c r="B74" s="120" t="str">
        <f t="shared" si="9"/>
        <v xml:space="preserve">MBIS5006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5">
      <c r="B75" s="120" t="str">
        <f t="shared" si="9"/>
        <v xml:space="preserve">MBIS5006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5">
      <c r="B76" s="120" t="str">
        <f t="shared" si="9"/>
        <v xml:space="preserve">MBIS5006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5">
      <c r="B77" s="120" t="str">
        <f t="shared" si="9"/>
        <v xml:space="preserve">MBIS5006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5">
      <c r="B78" s="120" t="str">
        <f t="shared" si="9"/>
        <v xml:space="preserve">MBIS5006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5">
      <c r="B79" s="120" t="str">
        <f t="shared" si="9"/>
        <v xml:space="preserve">MBIS5006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5">
      <c r="B80" s="120" t="str">
        <f t="shared" si="9"/>
        <v xml:space="preserve">MBIS5006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5">
      <c r="B81" s="120" t="str">
        <f t="shared" si="9"/>
        <v xml:space="preserve">MBIS5006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5">
      <c r="B82" s="120" t="str">
        <f t="shared" si="9"/>
        <v xml:space="preserve">MBIS5006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5">
      <c r="B83" s="120" t="str">
        <f t="shared" si="9"/>
        <v xml:space="preserve">MBIS5006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5">
      <c r="B84" s="120" t="str">
        <f t="shared" si="9"/>
        <v xml:space="preserve">MBIS5006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5">
      <c r="B85" s="120" t="str">
        <f t="shared" si="9"/>
        <v xml:space="preserve">MBIS5006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5">
      <c r="B86" s="120" t="str">
        <f t="shared" si="9"/>
        <v xml:space="preserve">MBIS5006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5">
      <c r="B87" s="120" t="str">
        <f t="shared" ref="B87:B150" si="15">E$8&amp;" "&amp;G87</f>
        <v xml:space="preserve">MBIS5006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5">
      <c r="B88" s="120" t="str">
        <f t="shared" si="15"/>
        <v xml:space="preserve">MBIS5006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5">
      <c r="B89" s="120" t="str">
        <f t="shared" si="15"/>
        <v xml:space="preserve">MBIS5006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5">
      <c r="B90" s="120" t="str">
        <f t="shared" si="15"/>
        <v xml:space="preserve">MBIS5006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5">
      <c r="B91" s="120" t="str">
        <f t="shared" si="15"/>
        <v xml:space="preserve">MBIS5006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5">
      <c r="B92" s="120" t="str">
        <f t="shared" si="15"/>
        <v xml:space="preserve">MBIS5006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MBIS5006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MBIS5006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MBIS5006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MBIS5006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MBIS5006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MBIS5006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MBIS5006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MBIS5006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MBIS5006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MBIS5006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MBIS5006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MBIS5006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MBIS5006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MBIS5006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MBIS5006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MBIS5006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MBIS5006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MBIS5006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MBIS5006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MBIS5006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MBIS5006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MBIS5006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MBIS5006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MBIS5006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MBIS5006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MBIS5006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MBIS5006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MBIS5006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MBIS5006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MBIS5006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MBIS5006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MBIS5006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MBIS5006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MBIS5006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MBIS5006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MBIS5006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MBIS5006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MBIS5006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MBIS5006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MBIS5006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MBIS5006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MBIS5006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MBIS5006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MBIS5006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MBIS5006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MBIS5006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MBIS5006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MBIS5006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MBIS5006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MBIS5006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MBIS5006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MBIS5006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MBIS5006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MBIS5006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MBIS5006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MBIS5006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MBIS5006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MBIS5006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MBIS5006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MBIS5006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MBIS5006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MBIS5006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MBIS5006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MBIS5006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MBIS5006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MBIS5006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MBIS5006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MBIS5006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MBIS5006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MBIS5006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MBIS5006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MBIS5006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MBIS5006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MBIS5006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MBIS5006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MBIS5006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MBIS5006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MBIS5006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MBIS5006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MBIS5006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MBIS5006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MBIS5006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MBIS5006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MBIS5006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MBIS5006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MBIS5006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MBIS5006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MBIS5006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MBIS5006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MBIS5006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MBIS5006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MBIS5006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MBIS5006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MBIS5006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MBIS5006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MBIS5006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MBIS5006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MBIS5006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MBIS5006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MBIS5006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MBIS5006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MBIS5006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MBIS5006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MBIS5006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MBIS5006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MBIS5006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MBIS5006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MBIS5006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MBIS5006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MBIS5006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MBIS5006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MBIS5006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MBIS5006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MBIS5006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MBIS5006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MBIS5006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MBIS5006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MBIS5006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MBIS5006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MBIS5006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MBIS5006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MBIS5006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MBIS5006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MBIS5006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MBIS5006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MBIS5006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MBIS5006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MBIS5006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MBIS5006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MBIS5006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MBIS5006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MBIS5006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MBIS5006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MBIS5006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MBIS5006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MBIS5006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MBIS5006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MBIS5006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MBIS5006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MBIS5006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MBIS5006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MBIS5006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MBIS5006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MBIS5006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MBIS5006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MBIS5006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MBIS5006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MBIS5006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MBIS5006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MBIS5006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MBIS5006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MBIS5006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MBIS5006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MBIS5006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MBIS5006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MBIS5006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MBIS5006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MBIS5006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MBIS5006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MBIS5006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MBIS5006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MBIS5006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MBIS5006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MBIS5006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MBIS5006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MBIS5006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MBIS5006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MBIS5006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MBIS5006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MBIS5006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MBIS5006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MBIS5006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MBIS5006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MBIS5006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MBIS5006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MBIS5006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MBIS5006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MBIS5006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MBIS5006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MBIS5006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MBIS5006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MBIS5006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MBIS5006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MBIS5006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MBIS5006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MBIS5006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MBIS5006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MBIS5006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MBIS5006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MBIS5006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MBIS5006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MBIS5006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MBIS5006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MBIS5006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MBIS5006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MBIS5006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MBIS5006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MBIS5006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MBIS5006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MBIS5006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MBIS5006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MBIS5006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MBIS5006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MBIS5006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MBIS5006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MBIS5006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MBIS5006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MBIS5006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MBIS5006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MBIS5006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MBIS5006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MBIS5006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MBIS5006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MBIS5006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MBIS5006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MBIS5006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MBIS5006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MBIS5006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MBIS5006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MBIS5006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MBIS5006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MBIS5006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MBIS5006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MBIS5006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MBIS5006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MBIS5006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MBIS5006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MBIS5006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MBIS5006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MBIS5006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MBIS5006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MBIS5006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MBIS5006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MBIS5006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MBIS5006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MBIS5006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MBIS5006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MBIS5006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MBIS5006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MBIS5006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MBIS5006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MBIS5006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MBIS5006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MBIS5006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MBIS5006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MBIS5006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MBIS5006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MBIS5006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MBIS5006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MBIS5006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MBIS5006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MBIS5006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MBIS5006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MBIS5006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MBIS5006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MBIS5006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MBIS5006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MBIS5006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MBIS5006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MBIS5006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MBIS5006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MBIS5006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MBIS5006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MBIS5006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MBIS5006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MBIS5006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MBIS5006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MBIS5006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MBIS5006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MBIS5006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MBIS5006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MBIS5006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MBIS5006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MBIS5006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MBIS5006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MBIS5006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MBIS5006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MBIS5006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MBIS5006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MBIS5006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MBIS5006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MBIS5006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MBIS5006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MBIS5006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MBIS5006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MBIS5006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MBIS5006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MBIS5006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MBIS5006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MBIS5006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MBIS5006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MBIS5006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MBIS5006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MBIS5006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MBIS5006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MBIS5006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MBIS5006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MBIS5006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MBIS5006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MBIS5006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MBIS5006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MBIS5006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MBIS5006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MBIS5006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MBIS5006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MBIS5006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MBIS5006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MBIS5006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MBIS5006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MBIS5006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MBIS5006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MBIS5006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MBIS5006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MBIS5006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MBIS5006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MBIS5006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MBIS5006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MBIS5006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MBIS5006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MBIS5006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MBIS5006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MBIS5006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MBIS5006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MBIS5006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MBIS5006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MBIS5006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MBIS5006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MBIS5006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MBIS5006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MBIS5006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MBIS5006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MBIS5006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MBIS5006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MBIS5006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MBIS5006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MBIS5006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MBIS5006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MBIS5006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MBIS5006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MBIS5006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MBIS5006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MBIS5006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MBIS5006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MBIS5006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MBIS5006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MBIS5006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MBIS5006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MBIS5006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MBIS5006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MBIS5006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MBIS5006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MBIS5006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MBIS5006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MBIS5006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MBIS5006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MBIS5006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MBIS5006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MBIS5006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MBIS5006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MBIS5006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MBIS5006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MBIS5006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MBIS5006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MBIS5006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MBIS5006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MBIS5006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MBIS5006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MBIS5006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MBIS5006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MBIS5006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MBIS5006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MBIS5006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MBIS5006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MBIS5006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MBIS5006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MBIS5006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MBIS5006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MBIS5006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MBIS5006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MBIS5006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MBIS5006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MBIS5006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MBIS5006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MBIS5006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MBIS5006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MBIS5006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MBIS5006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MBIS5006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MBIS5006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MBIS5006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MBIS5006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MBIS5006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MBIS5006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MBIS5006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MBIS5006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MBIS5006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MBIS5006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MBIS5006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MBIS5006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MBIS5006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MBIS5006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MBIS5006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MBIS5006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MBIS5006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MBIS5006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MBIS5006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MBIS5006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MBIS5006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MBIS5006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MBIS5006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MBIS5006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MBIS5006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MBIS5006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MBIS5006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MBIS5006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MBIS5006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MBIS5006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MBIS5006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MBIS5006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MBIS5006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MBIS5006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MBIS5006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MBIS5006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MBIS5006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MBIS5006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MBIS5006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MBIS5006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MBIS5006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MBIS5006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MBIS5006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MBIS5006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MBIS5006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MBIS5006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MBIS5006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MBIS5006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MBIS5006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MBIS5006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MBIS5006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MBIS5006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MBIS5006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MBIS5006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MBIS5006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MBIS5006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MBIS5006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MBIS5006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MBIS5006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MBIS5006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MBIS5006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MBIS5006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MBIS5006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MBIS5006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MBIS5006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MBIS5006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MBIS5006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MBIS5006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MBIS5006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MBIS5006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MBIS5006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MBIS5006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MBIS5006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MBIS5006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MBIS5006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MBIS5006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MBIS5006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MBIS5006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MBIS5006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MBIS5006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MBIS5006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MBIS5006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MBIS5006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MBIS5006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MBIS5006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MBIS5006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MBIS5006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MBIS5006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MBIS5006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MBIS5006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MBIS5006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MBIS5006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MBIS5006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MBIS5006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MBIS5006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MBIS5006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MBIS5006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MBIS5006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MBIS5006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MBIS5006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MBIS5006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MBIS5006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MBIS5006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MBIS5006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MBIS5006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MBIS5006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MBIS5006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MBIS5006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MBIS5006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MBIS5006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MBIS5006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MBIS5006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MBIS5006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MBIS5006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MBIS5006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MBIS5006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MBIS5006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MBIS5006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MBIS5006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MBIS5006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MBIS5006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MBIS5006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MBIS5006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MBIS5006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MBIS5006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MBIS5006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MBIS5006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MBIS5006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MBIS5006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MBIS5006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MBIS5006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MBIS5006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MBIS5006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MBIS5006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MBIS5006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MBIS5006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MBIS5006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MBIS5006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MBIS5006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MBIS5006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MBIS5006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MBIS5006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MBIS5006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MBIS5006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MBIS5006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MBIS5006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MBIS5006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MBIS5006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MBIS5006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MBIS5006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MBIS5006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MBIS5006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MBIS5006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MBIS5006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MBIS5006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MBIS5006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MBIS5006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MBIS5006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MBIS5006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MBIS5006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MBIS5006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MBIS5006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MBIS5006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MBIS5006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MBIS5006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MBIS5006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MBIS5006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MBIS5006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MBIS5006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MBIS5006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MBIS5006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MBIS5006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MBIS5006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MBIS5006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MBIS5006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MBIS5006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MBIS5006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MBIS5006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MBIS5006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MBIS5006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MBIS5006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MBIS5006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MBIS5006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MBIS5006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MBIS5006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MBIS5006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MBIS5006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MBIS5006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MBIS5006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MBIS5006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MBIS5006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MBIS5006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MBIS5006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MBIS5006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MBIS5006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MBIS5006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MBIS5006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MBIS5006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MBIS5006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MBIS5006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MBIS5006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MBIS5006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MBIS5006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MBIS5006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MBIS5006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MBIS5006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MBIS5006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MBIS5006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MBIS5006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MBIS5006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MBIS5006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MBIS5006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MBIS5006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MBIS5006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MBIS5006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MBIS5006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MBIS5006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MBIS5006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MBIS5006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MBIS5006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MBIS5006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MBIS5006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MBIS5006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MBIS5006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MBIS5006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MBIS5006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MBIS5006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MBIS5006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MBIS5006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MBIS5006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MBIS5006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MBIS5006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MBIS5006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MBIS5006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MBIS5006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MBIS5006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MBIS5006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MBIS5006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MBIS5006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MBIS5006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MBIS5006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MBIS5006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MBIS5006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MBIS5006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MBIS5006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MBIS5006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MBIS5006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MBIS5006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MBIS5006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MBIS5006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MBIS5006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MBIS5006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MBIS5006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MBIS5006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MBIS5006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MBIS5006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MBIS5006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MBIS5006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MBIS5006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MBIS5006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MBIS5006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MBIS5006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MBIS5006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MBIS5006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MBIS5006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MBIS5006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MBIS5006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MBIS5006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MBIS5006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MBIS5006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MBIS5006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MBIS5006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MBIS5006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MBIS5006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MBIS5006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MBIS5006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MBIS5006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MBIS5006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MBIS5006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MBIS5006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MBIS5006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MBIS5006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MBIS5006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MBIS5006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MBIS5006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MBIS5006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MBIS5006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MBIS5006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MBIS5006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MBIS5006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MBIS5006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MBIS5006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MBIS5006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MBIS5006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MBIS5006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MBIS5006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MBIS5006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MBIS5006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MBIS5006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MBIS5006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MBIS5006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MBIS5006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MBIS5006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MBIS5006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MBIS5006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MBIS5006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MBIS5006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MBIS5006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MBIS5006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MBIS5006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MBIS5006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MBIS5006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MBIS5006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MBIS5006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MBIS5006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MBIS5006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MBIS5006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MBIS5006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MBIS5006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MBIS5006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MBIS5006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MBIS5006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MBIS5006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MBIS5006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MBIS5006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MBIS5006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MBIS5006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MBIS5006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MBIS5006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MBIS5006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MBIS5006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MBIS5006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MBIS5006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MBIS5006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MBIS5006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MBIS5006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MBIS5006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MBIS5006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MBIS5006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MBIS5006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MBIS5006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B1" zoomScale="80" zoomScaleNormal="80" workbookViewId="0">
      <selection activeCell="P21" sqref="P21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MBIS5006!C2</f>
        <v>Purpose: Grade Book</v>
      </c>
    </row>
    <row r="4" spans="1:26" x14ac:dyDescent="0.35">
      <c r="A4" s="35" t="s">
        <v>588</v>
      </c>
      <c r="C4" s="28" t="str">
        <f>MBIS5006!C3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MBIS5006!C4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MBIS5006!C7</f>
        <v>Term</v>
      </c>
      <c r="D7" s="56" t="str">
        <f>MBIS5006!E7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MBIS5006!C8</f>
        <v>Unit Code</v>
      </c>
      <c r="D8" s="58" t="str">
        <f>MBIS5006!E8</f>
        <v>MBIS5006</v>
      </c>
      <c r="E8" s="59"/>
      <c r="F8" s="59"/>
      <c r="G8" s="59"/>
      <c r="T8" s="166" t="s">
        <v>338</v>
      </c>
      <c r="U8" s="167" t="s">
        <v>587</v>
      </c>
      <c r="V8" s="167"/>
    </row>
    <row r="9" spans="1:26" ht="15" customHeight="1" thickBot="1" x14ac:dyDescent="0.4">
      <c r="A9" s="35" t="s">
        <v>593</v>
      </c>
      <c r="C9" s="60" t="str">
        <f>MBIS5006!C9</f>
        <v>Unit Name</v>
      </c>
      <c r="D9" s="58" t="str">
        <f>MBIS5006!E9</f>
        <v>Organizational Cyber security</v>
      </c>
      <c r="E9" s="59"/>
      <c r="F9" s="59"/>
      <c r="G9" s="59"/>
      <c r="T9" s="166"/>
      <c r="U9" s="167"/>
      <c r="V9" s="167"/>
    </row>
    <row r="10" spans="1:26" ht="15" customHeight="1" thickBot="1" x14ac:dyDescent="0.4">
      <c r="A10" s="35" t="s">
        <v>594</v>
      </c>
      <c r="C10" s="60" t="str">
        <f>MBIS5006!C10</f>
        <v>Discipline</v>
      </c>
      <c r="D10" s="58" t="str">
        <f>MBIS5006!E10</f>
        <v>ISY</v>
      </c>
      <c r="E10" s="59"/>
      <c r="F10" s="59"/>
      <c r="G10" s="59"/>
      <c r="L10" s="168" t="s">
        <v>338</v>
      </c>
      <c r="M10" s="170" t="s">
        <v>587</v>
      </c>
      <c r="N10" s="170"/>
      <c r="T10" s="166" t="s">
        <v>339</v>
      </c>
      <c r="U10" s="167" t="s">
        <v>703</v>
      </c>
      <c r="V10" s="167"/>
    </row>
    <row r="11" spans="1:26" ht="15" customHeight="1" thickBot="1" x14ac:dyDescent="0.4">
      <c r="C11" s="60" t="str">
        <f>MBIS5006!C11</f>
        <v>No. of Students</v>
      </c>
      <c r="D11" s="58">
        <f>MBIS5006!E11</f>
        <v>14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" customHeight="1" thickBot="1" x14ac:dyDescent="0.4"/>
    <row r="14" spans="1:26" ht="7" customHeight="1" x14ac:dyDescent="0.35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B3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B3 - M. Al-Zobbi</v>
      </c>
      <c r="U14" s="154"/>
      <c r="V14" s="154"/>
      <c r="W14" s="154"/>
      <c r="X14" s="154"/>
      <c r="Y14" s="154"/>
      <c r="Z14" s="159"/>
    </row>
    <row r="15" spans="1:26" ht="7" customHeight="1" x14ac:dyDescent="0.35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" customHeight="1" x14ac:dyDescent="0.35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4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14</v>
      </c>
      <c r="F19" s="104">
        <f>MBIS5006!$H$21</f>
        <v>0.3</v>
      </c>
      <c r="G19" s="104">
        <f>MBIS5006!$I$21</f>
        <v>0.3</v>
      </c>
      <c r="H19" s="104">
        <f>MBIS5006!$J$21</f>
        <v>0.4</v>
      </c>
      <c r="I19" s="104">
        <f>MBIS5006!$K$21</f>
        <v>0</v>
      </c>
      <c r="J19" s="104">
        <f>MBIS5006!$L$21</f>
        <v>0</v>
      </c>
      <c r="L19" s="107" t="s">
        <v>302</v>
      </c>
      <c r="M19" s="113">
        <f>COUNTIF(MBIS5006!$C$23:$C$820,$M$10)</f>
        <v>14</v>
      </c>
      <c r="N19" s="104">
        <f>MBIS5006!$H$21</f>
        <v>0.3</v>
      </c>
      <c r="O19" s="104">
        <f>MBIS5006!$I$21</f>
        <v>0.3</v>
      </c>
      <c r="P19" s="104">
        <f>MBIS5006!$J$21</f>
        <v>0.4</v>
      </c>
      <c r="Q19" s="104">
        <f>MBIS5006!$K$21</f>
        <v>0</v>
      </c>
      <c r="R19" s="104">
        <f>MBIS5006!$L$21</f>
        <v>0</v>
      </c>
      <c r="T19" s="107" t="s">
        <v>302</v>
      </c>
      <c r="U19" s="113">
        <f>COUNTIFS(MBIS5006!$C$23:$C$820,$U$8, MBIS5006!$D$23:$D$820,$U$10)</f>
        <v>0</v>
      </c>
      <c r="V19" s="104">
        <f>MBIS5006!$H$21</f>
        <v>0.3</v>
      </c>
      <c r="W19" s="104">
        <f>MBIS5006!$I$21</f>
        <v>0.3</v>
      </c>
      <c r="X19" s="104">
        <f>MBIS5006!$J$21</f>
        <v>0.4</v>
      </c>
      <c r="Y19" s="104">
        <f>MBIS5006!$K$21</f>
        <v>0</v>
      </c>
      <c r="Z19" s="104">
        <f>MBIS5006!$L$21</f>
        <v>0</v>
      </c>
    </row>
    <row r="20" spans="4:26" ht="15" thickBot="1" x14ac:dyDescent="0.4">
      <c r="D20" s="107" t="s">
        <v>288</v>
      </c>
      <c r="E20" s="107"/>
      <c r="F20" s="108">
        <f>AVERAGEA(MBIS5006!$H$23:$H$820)</f>
        <v>21.057142857142857</v>
      </c>
      <c r="G20" s="108">
        <f>AVERAGEA(MBIS5006!$I$23:$I$820)</f>
        <v>26.035714285714285</v>
      </c>
      <c r="H20" s="108">
        <f>AVERAGEA(MBIS5006!$J$23:$J$820)</f>
        <v>25.210714285714285</v>
      </c>
      <c r="I20" s="108" t="e">
        <f>AVERAGEA(MBIS5006!$K$23:$K$820)</f>
        <v>#DIV/0!</v>
      </c>
      <c r="J20" s="108" t="e">
        <f>AVERAGEA(MBIS5006!$L$23:$L$820)</f>
        <v>#DIV/0!</v>
      </c>
      <c r="L20" s="107" t="s">
        <v>288</v>
      </c>
      <c r="M20" s="107"/>
      <c r="N20" s="108">
        <f>SUMIF(MBIS5006!$C$23:$C$820,$M$10,MBIS5006!$H$23:$H$820)/$M$19</f>
        <v>21.057142857142857</v>
      </c>
      <c r="O20" s="108">
        <f>SUMIF(MBIS5006!$C$23:$C$820,$M$10,MBIS5006!$I$23:$I$820)/$M$19</f>
        <v>26.035714285714285</v>
      </c>
      <c r="P20" s="108">
        <f>SUMIF(MBIS5006!$C$23:$C$820,$M$10,MBIS5006!$J$23:$J$820)/$M$19</f>
        <v>25.210714285714285</v>
      </c>
      <c r="Q20" s="108">
        <f>SUMIF(MBIS5006!$C$23:$C$820,$M$10,MBIS5006!$K$23:$K$820)/$M$19</f>
        <v>0</v>
      </c>
      <c r="R20" s="108">
        <f>SUMIF(MBIS5006!$C$23:$C$820,$M$10,MBIS5006!$L$23:$L$820)/$M$19</f>
        <v>0</v>
      </c>
      <c r="T20" s="107" t="s">
        <v>288</v>
      </c>
      <c r="U20" s="107"/>
      <c r="V20" s="108" t="e">
        <f>SUMIFS(MBIS5006!$H$23:$H$820,MBIS5006!$D$23:$D$820,$U$10,MBIS5006!$C$23:$C$820,$U$8)/$U$19</f>
        <v>#DIV/0!</v>
      </c>
      <c r="W20" s="108" t="e">
        <f>SUMIFS(MBIS5006!$I$23:$I$820,MBIS5006!$D$23:$D$820,$U$10,MBIS5006!$C$23:$C$820,$U$8)/$U$19</f>
        <v>#DIV/0!</v>
      </c>
      <c r="X20" s="108" t="e">
        <f>SUMIFS(MBIS5006!$J$23:$J$820,MBIS5006!$D$23:$D$820,$U$10,MBIS5006!$C$23:$C$820,$U$8)/$U$19</f>
        <v>#DIV/0!</v>
      </c>
      <c r="Y20" s="108" t="e">
        <f>SUMIFS(MBIS5006!$K$23:$K$820,MBIS5006!$D$23:$D$820,$U$10,MBIS5006!$C$23:$C$820,$U$8)/$U$19</f>
        <v>#DIV/0!</v>
      </c>
      <c r="Z20" s="108" t="e">
        <f>SUMIFS(MBIS5006!$L$23:$L$820,MBIS5006!$D$23:$D$820,$U$10,MBIS5006!$C$23:$C$820,$U$8)/$U$19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0.70190476190476192</v>
      </c>
      <c r="G21" s="109">
        <f>G20/G19/100</f>
        <v>0.86785714285714288</v>
      </c>
      <c r="H21" s="109">
        <f>H20/H19/100</f>
        <v>0.63026785714285705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0.70190476190476192</v>
      </c>
      <c r="O21" s="109">
        <f>O20/O19/100</f>
        <v>0.86785714285714288</v>
      </c>
      <c r="P21" s="109">
        <f>P20/P19/100</f>
        <v>0.63026785714285705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52" t="s">
        <v>290</v>
      </c>
      <c r="E23" s="152"/>
      <c r="F23" s="110">
        <f>COUNTIF(MBIS5006!$H$23:$H$820,"DNS")</f>
        <v>0</v>
      </c>
      <c r="G23" s="110">
        <f>COUNTIF(MBIS5006!$I$23:$I$820,"DNS")</f>
        <v>0</v>
      </c>
      <c r="H23" s="110">
        <f>COUNTIF(MBIS5006!$J$23:$J$820,"DNS")</f>
        <v>0</v>
      </c>
      <c r="I23" s="110">
        <f>COUNTIF(MBIS5006!$K$23:$K$820,"DNS")</f>
        <v>0</v>
      </c>
      <c r="J23" s="110">
        <f>COUNTIF(MBIS5006!$L$23:$L$820,"DNS")</f>
        <v>0</v>
      </c>
      <c r="L23" s="152" t="s">
        <v>290</v>
      </c>
      <c r="M23" s="152"/>
      <c r="N23" s="110">
        <f>COUNTIFS(MBIS5006!$H$23:$H$820,"DNS",MBIS5006!$C$23:$C$820,$M$10)</f>
        <v>0</v>
      </c>
      <c r="O23" s="110">
        <f>COUNTIFS(MBIS5006!$I$23:$I$820,"DNS",MBIS5006!$C$23:$C$820,$M$10)</f>
        <v>0</v>
      </c>
      <c r="P23" s="110">
        <f>COUNTIFS(MBIS5006!$J$23:$J$820,"DNS",MBIS5006!$C$23:$C$820,$M$10)</f>
        <v>0</v>
      </c>
      <c r="Q23" s="110">
        <f>COUNTIFS(MBIS5006!$K$23:$K$820,"DNS",MBIS5006!$C$23:$C$820,$M$10)</f>
        <v>0</v>
      </c>
      <c r="R23" s="110">
        <f>COUNTIFS(MBIS5006!$L$23:$L$820,"DNS",MBIS5006!$C$23:$C$820,$M$10)</f>
        <v>0</v>
      </c>
      <c r="T23" s="152" t="s">
        <v>290</v>
      </c>
      <c r="U23" s="152"/>
      <c r="V23" s="110">
        <f>COUNTIFS(MBIS5006!$H$23:$H$820,"DNS",MBIS5006!$D$23:$D$820,$U$10,MBIS5006!$C$23:$C$820,$U$8)</f>
        <v>0</v>
      </c>
      <c r="W23" s="110">
        <f>COUNTIFS(MBIS5006!$I$23:$I$820,"DNS",MBIS5006!$D$23:$D$820,$U$10,MBIS5006!$C$23:$C$820,$U$8)</f>
        <v>0</v>
      </c>
      <c r="X23" s="110">
        <f>COUNTIFS(MBIS5006!$J$23:$J$820,"DNS",MBIS5006!$D$23:$D$820,$U$10,MBIS5006!$C$23:$C$820,$U$8)</f>
        <v>0</v>
      </c>
      <c r="Y23" s="110">
        <f>COUNTIFS(MBIS5006!$K$23:$K$820,"DNS",MBIS5006!$D$23:$D$820,$U$10,MBIS5006!$C$23:$C$820,$U$8)</f>
        <v>0</v>
      </c>
      <c r="Z23" s="110">
        <f>COUNTIFS(MBIS5006!$L$23:$L$820,"DNS",MBIS5006!$D$23:$D$820,$U$10,MBIS5006!$C$23:$C$820,$U$8)</f>
        <v>0</v>
      </c>
    </row>
    <row r="24" spans="4:26" ht="15" thickBot="1" x14ac:dyDescent="0.4">
      <c r="D24" s="152" t="s">
        <v>291</v>
      </c>
      <c r="E24" s="152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52" t="s">
        <v>292</v>
      </c>
      <c r="E26" s="152"/>
      <c r="F26" s="110">
        <f>COUNTIF(MBIS5006!$H$23:$H$820,"&lt;"&amp;F25)</f>
        <v>1</v>
      </c>
      <c r="G26" s="110">
        <f>COUNTIF(MBIS5006!$I$23:$I$820,"&lt;"&amp;G25)</f>
        <v>0</v>
      </c>
      <c r="H26" s="110">
        <f>COUNTIF(MBIS5006!$J$23:$J$820,"&lt;"&amp;H25)</f>
        <v>3</v>
      </c>
      <c r="I26" s="110">
        <f>COUNTIF(MBIS5006!$K$23:$K$820,"&lt;"&amp;I25)</f>
        <v>0</v>
      </c>
      <c r="J26" s="110">
        <f>COUNTIF(MBIS5006!$L$23:$L$820,"&lt;"&amp;J25)</f>
        <v>0</v>
      </c>
      <c r="L26" s="152" t="s">
        <v>292</v>
      </c>
      <c r="M26" s="152"/>
      <c r="N26" s="110">
        <f>COUNTIFS(MBIS5006!$H$23:$H$820,"&lt;"&amp;N25,MBIS5006!$C$23:$C$820,$M$10)</f>
        <v>1</v>
      </c>
      <c r="O26" s="110">
        <f>COUNTIFS(MBIS5006!$I$23:$I$820,"&lt;"&amp;O25,MBIS5006!$C$23:$C$820,$M$10)</f>
        <v>0</v>
      </c>
      <c r="P26" s="110">
        <f>COUNTIFS(MBIS5006!$J$23:$J$820,"&lt;"&amp;P25,MBIS5006!$C$23:$C$820,$M$10)</f>
        <v>3</v>
      </c>
      <c r="Q26" s="110">
        <f>COUNTIFS(MBIS5006!$K$23:$K$820,"&lt;"&amp;Q25,MBIS5006!$C$23:$C$820,$M$10)</f>
        <v>0</v>
      </c>
      <c r="R26" s="110">
        <f>COUNTIFS(MBIS5006!$L$23:$L$820,"&lt;"&amp;R25,MBIS5006!$C$23:$C$820,$M$10)</f>
        <v>0</v>
      </c>
      <c r="T26" s="152" t="s">
        <v>292</v>
      </c>
      <c r="U26" s="152"/>
      <c r="V26" s="110">
        <f>COUNTIFS(MBIS5006!$H$23:$H$820,"&lt;"&amp;V25,MBIS5006!$D$23:$D$820,$U$10,MBIS5006!$C$23:$C$820,$U$8)</f>
        <v>0</v>
      </c>
      <c r="W26" s="110">
        <f>COUNTIFS(MBIS5006!$I$23:$I$820,"&lt;"&amp;W25,MBIS5006!$D$23:$D$820,$U$10,MBIS5006!$C$23:$C$820,$U$8)</f>
        <v>0</v>
      </c>
      <c r="X26" s="110">
        <f>COUNTIFS(MBIS5006!$J$23:$J$820,"&lt;"&amp;X25,MBIS5006!$D$23:$D$820,$U$10,MBIS5006!$C$23:$C$820,$U$8)</f>
        <v>0</v>
      </c>
      <c r="Y26" s="110">
        <f>COUNTIFS(MBIS5006!$K$23:$K$820,"&lt;"&amp;Y25,MBIS5006!$D$23:$D$820,$U$10,MBIS5006!$C$23:$C$820,$U$8)</f>
        <v>0</v>
      </c>
      <c r="Z26" s="110">
        <f>COUNTIFS(MBIS5006!$L$23:$L$820,"&lt;"&amp;Z25,MBIS5006!$D$23:$D$820,$U$10,MBIS5006!$C$23:$C$820,$U$8)</f>
        <v>0</v>
      </c>
    </row>
    <row r="27" spans="4:26" ht="15" thickBot="1" x14ac:dyDescent="0.4">
      <c r="D27" s="152" t="s">
        <v>293</v>
      </c>
      <c r="E27" s="152"/>
      <c r="F27" s="111">
        <f>F26/$D$11</f>
        <v>7.1428571428571425E-2</v>
      </c>
      <c r="G27" s="111">
        <f>G26/$D$11</f>
        <v>0</v>
      </c>
      <c r="H27" s="111">
        <f>H26/$D$11</f>
        <v>0.21428571428571427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7.1428571428571425E-2</v>
      </c>
      <c r="O27" s="111">
        <f>O26/$M$19</f>
        <v>0</v>
      </c>
      <c r="P27" s="111">
        <f>P26/$M$19</f>
        <v>0.21428571428571427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4">
      <c r="D30" s="107" t="s">
        <v>288</v>
      </c>
      <c r="E30" s="107"/>
      <c r="F30" s="108">
        <f>SUMIF(MBIS5006!$M$23:$M$820,"&gt;=15",MBIS5006!$H$23:$H$820)/COUNTIF(MBIS5006!$M$23:$M$820,"&gt;=15")</f>
        <v>21.057142857142857</v>
      </c>
      <c r="G30" s="108">
        <f>SUMIF(MBIS5006!$M$23:$M$820,"&gt;=15",MBIS5006!$I$23:$I$820)/COUNTIF(MBIS5006!$M$23:$M$820,"&gt;=15")</f>
        <v>26.035714285714285</v>
      </c>
      <c r="H30" s="108">
        <f>SUMIF(MBIS5006!$M$23:$M$820,"&gt;=15",MBIS5006!$J$23:$J$820)/COUNTIF(MBIS5006!$M$23:$M$820,"&gt;=15")</f>
        <v>25.210714285714285</v>
      </c>
      <c r="I30" s="108">
        <f>SUMIF(MBIS5006!$M$23:$M$820,"&gt;=15",MBIS5006!$K$23:$K$820)/COUNTIF(MBIS5006!$M$23:$M$820,"&gt;=15")</f>
        <v>0</v>
      </c>
      <c r="J30" s="108">
        <f>SUMIF(MBIS5006!$M$23:$M$820,"&gt;=15",MBIS5006!$L$23:$L$820)/COUNTIF(MBIS5006!$M$23:$M$820,"&gt;=15")</f>
        <v>0</v>
      </c>
      <c r="L30" s="107" t="s">
        <v>288</v>
      </c>
      <c r="M30" s="107"/>
      <c r="N30" s="108">
        <f>SUMIFS(MBIS5006!$H$23:$H$820,MBIS5006!$M$23:$M$820,"&gt;=15",MBIS5006!$C$23:$C$820,$M$10)/COUNTIFS(MBIS5006!$M$23:$M$820,"&gt;=15",MBIS5006!$C$23:$C$820,$M$10)</f>
        <v>21.057142857142857</v>
      </c>
      <c r="O30" s="108">
        <f>SUMIFS(MBIS5006!$I$23:$I$820,MBIS5006!$M$23:$M$820,"&gt;=15",MBIS5006!$C$23:$C$820,$M$10)/COUNTIFS(MBIS5006!$M$23:$M$820,"&gt;=15",MBIS5006!$C$23:$C$820,$M$10)</f>
        <v>26.035714285714285</v>
      </c>
      <c r="P30" s="108">
        <f>SUMIFS(MBIS5006!$J$23:$J$820,MBIS5006!$M$23:$M$820,"&gt;=15",MBIS5006!$C$23:$C$820,$M$10)/COUNTIFS(MBIS5006!$M$23:$M$820,"&gt;=15",MBIS5006!$C$23:$C$820,$M$10)</f>
        <v>25.210714285714285</v>
      </c>
      <c r="Q30" s="108">
        <f>SUMIFS(MBIS5006!$K$23:$K$820,MBIS5006!$M$23:$M$820,"&gt;=15",MBIS5006!$C$23:$C$820,$M$10)/COUNTIFS(MBIS5006!$M$23:$M$820,"&gt;=15",MBIS5006!$C$23:$C$820,$M$10)</f>
        <v>0</v>
      </c>
      <c r="R30" s="108">
        <f>SUMIFS(MBIS5006!$L$23:$L$820,MBIS5006!$M$23:$M$820,"&gt;=15",MBIS5006!$C$23:$C$820,$M$10)/COUNTIFS(MBIS5006!$M$23:$M$820,"&gt;=15",MBIS5006!$C$23:$C$820,$M$10)</f>
        <v>0</v>
      </c>
      <c r="T30" s="107" t="s">
        <v>288</v>
      </c>
      <c r="U30" s="107"/>
      <c r="V30" s="108" t="e">
        <f>SUMIFS(MBIS5006!$H$23:$H$820,MBIS5006!$M$23:$M$820,"&gt;=15",MBIS5006!$D$23:$D$820,$U$10,MBIS5006!$C$23:$C$820,$U$8)/COUNTIFS(MBIS5006!$M$23:$M$820,"&gt;=15",MBIS5006!$D$23:$D$820,$U$10,MBIS5006!$C$23:$C$820,$U$8)</f>
        <v>#DIV/0!</v>
      </c>
      <c r="W30" s="108" t="e">
        <f>SUMIFS(MBIS5006!$I$23:$I$820,MBIS5006!$M$23:$M$820,"&gt;=15",MBIS5006!$D$23:$D$820,$U$10,MBIS5006!$C$23:$C$820,$U$8)/COUNTIFS(MBIS5006!$M$23:$M$820,"&gt;=15",MBIS5006!$D$23:$D$820,$U$10,MBIS5006!$C$23:$C$820,$U$8)</f>
        <v>#DIV/0!</v>
      </c>
      <c r="X30" s="108" t="e">
        <f>SUMIFS(MBIS5006!$J$23:$J$820,MBIS5006!$M$23:$M$820,"&gt;=15",MBIS5006!$D$23:$D$820,$U$10,MBIS5006!$C$23:$C$820,$U$8)/COUNTIFS(MBIS5006!$M$23:$M$820,"&gt;=15",MBIS5006!$D$23:$D$820,$U$10,MBIS5006!$C$23:$C$820,$U$8)</f>
        <v>#DIV/0!</v>
      </c>
      <c r="Y30" s="108" t="e">
        <f>SUMIFS(MBIS5006!$K$23:$K$820,MBIS5006!$M$23:$M$820,"&gt;=15",MBIS5006!$D$23:$D$820,$U$10,MBIS5006!$C$23:$C$820,$U$8)/COUNTIFS(MBIS5006!$M$23:$M$820,"&gt;=15",MBIS5006!$D$23:$D$820,$U$10,MBIS5006!$C$23:$C$820,$U$8)</f>
        <v>#DIV/0!</v>
      </c>
      <c r="Z30" s="108" t="e">
        <f>SUMIFS(MBIS5006!$L$23:$L$820,MBIS5006!$M$23:$M$820,"&gt;=15",MBIS5006!$D$23:$D$820,$U$10,MBIS5006!$C$23:$C$820,$U$8)/COUNTIFS(MBIS5006!$M$23:$M$820,"&gt;=15",MBIS5006!$D$23:$D$820,$U$10,MBIS5006!$C$23:$C$820,$U$8)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0.70190476190476192</v>
      </c>
      <c r="G31" s="109">
        <f>G30/G19/100</f>
        <v>0.86785714285714288</v>
      </c>
      <c r="H31" s="109">
        <f>H30/H19/100</f>
        <v>0.63026785714285705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0.70190476190476192</v>
      </c>
      <c r="O31" s="109">
        <f>O30/O19/100</f>
        <v>0.86785714285714288</v>
      </c>
      <c r="P31" s="109">
        <f>P30/P19/100</f>
        <v>0.63026785714285705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52" t="s">
        <v>290</v>
      </c>
      <c r="E33" s="152"/>
      <c r="F33" s="110">
        <f>COUNTIFS(MBIS5006!$H$23:$H$820,"DNS",MBIS5006!$M$23:$M$820,"&gt;=15")</f>
        <v>0</v>
      </c>
      <c r="G33" s="110">
        <f>COUNTIFS(MBIS5006!$I$23:$I$820,"DNS",MBIS5006!$M$23:$M$820,"&gt;=15")</f>
        <v>0</v>
      </c>
      <c r="H33" s="110">
        <f>COUNTIFS(MBIS5006!$J$23:$J$820,"DNS",MBIS5006!$M$23:$M$820,"&gt;=15")</f>
        <v>0</v>
      </c>
      <c r="I33" s="110">
        <f>COUNTIFS(MBIS5006!$K$23:$K$820,"DNS",MBIS5006!$M$23:$M$820,"&gt;=15")</f>
        <v>0</v>
      </c>
      <c r="J33" s="110">
        <f>COUNTIFS(MBIS5006!$L$23:$L$820,"DNS",MBIS5006!$M$23:$M$820,"&gt;=15")</f>
        <v>0</v>
      </c>
      <c r="L33" s="152" t="s">
        <v>290</v>
      </c>
      <c r="M33" s="152"/>
      <c r="N33" s="110">
        <f>COUNTIFS(MBIS5006!$H$23:$H$820,"DNS",MBIS5006!$M$23:$M$820,"&gt;=15",MBIS5006!$C$23:$C$820,$M$10)</f>
        <v>0</v>
      </c>
      <c r="O33" s="110">
        <f>COUNTIFS(MBIS5006!$I$23:$I$820,"DNS",MBIS5006!$M$23:$M$820,"&gt;=15",MBIS5006!$C$23:$C$820,$M$10)</f>
        <v>0</v>
      </c>
      <c r="P33" s="110">
        <f>COUNTIFS(MBIS5006!$J$23:$J$820,"DNS",MBIS5006!$M$23:$M$820,"&gt;=15",MBIS5006!$C$23:$C$820,$M$10)</f>
        <v>0</v>
      </c>
      <c r="Q33" s="110">
        <f>COUNTIFS(MBIS5006!$K$23:$K$820,"DNS",MBIS5006!$M$23:$M$820,"&gt;=15",MBIS5006!$C$23:$C$820,$M$10)</f>
        <v>0</v>
      </c>
      <c r="R33" s="110">
        <f>COUNTIFS(MBIS5006!$L$23:$L$820,"DNS",MBIS5006!$M$23:$M$820,"&gt;=15",MBIS5006!$C$23:$C$820,$M$10)</f>
        <v>0</v>
      </c>
      <c r="T33" s="152" t="s">
        <v>290</v>
      </c>
      <c r="U33" s="152"/>
      <c r="V33" s="110">
        <f>COUNTIFS(MBIS5006!$H$23:$H$820,"DNS",MBIS5006!$M$23:$M$820,"&gt;=15",MBIS5006!$D$23:$D$820,$U$10,MBIS5006!$C$23:$C$820,$U$8)</f>
        <v>0</v>
      </c>
      <c r="W33" s="110">
        <f>COUNTIFS(MBIS5006!$I$23:$I$820,"DNS",MBIS5006!$M$23:$M$820,"&gt;=15",MBIS5006!$D$23:$D$820,$U$10,MBIS5006!$C$23:$C$820,$U$8)</f>
        <v>0</v>
      </c>
      <c r="X33" s="110">
        <f>COUNTIFS(MBIS5006!$J$23:$J$820,"DNS",MBIS5006!$M$23:$M$820,"&gt;=15",MBIS5006!$D$23:$D$820,$U$10,MBIS5006!$C$23:$C$820,$U$8)</f>
        <v>0</v>
      </c>
      <c r="Y33" s="110">
        <f>COUNTIFS(MBIS5006!$K$23:$K$820,"DNS",MBIS5006!$M$23:$M$820,"&gt;=15",MBIS5006!$D$23:$D$820,$U$10,MBIS5006!$C$23:$C$820,$U$8)</f>
        <v>0</v>
      </c>
      <c r="Z33" s="110">
        <f>COUNTIFS(MBIS5006!$L$23:$L$820,"DNS",MBIS5006!$M$23:$M$820,"&gt;=15",MBIS5006!$D$23:$D$820,$U$10,MBIS5006!$C$23:$C$820,$U$8)</f>
        <v>0</v>
      </c>
    </row>
    <row r="34" spans="4:26" ht="15" thickBot="1" x14ac:dyDescent="0.4">
      <c r="D34" s="152" t="s">
        <v>291</v>
      </c>
      <c r="E34" s="152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52" t="s">
        <v>292</v>
      </c>
      <c r="E36" s="152"/>
      <c r="F36" s="110">
        <f>COUNTIFS(MBIS5006!$H$23:$H$820,"&lt;"&amp;F25,MBIS5006!$M$23:$M$820,"&gt;=15")</f>
        <v>1</v>
      </c>
      <c r="G36" s="110">
        <f>COUNTIFS(MBIS5006!$I$23:$I$820,"&lt;"&amp;G25,MBIS5006!$M$23:$M$820,"&gt;=15")</f>
        <v>0</v>
      </c>
      <c r="H36" s="110">
        <f>COUNTIFS(MBIS5006!$J$23:$J$820,"&lt;"&amp;H25,MBIS5006!$M$23:$M$820,"&gt;=15")</f>
        <v>3</v>
      </c>
      <c r="I36" s="110">
        <f>COUNTIFS(MBIS5006!$K$23:$K$820,"&lt;"&amp;I25,MBIS5006!$M$23:$M$820,"&gt;=15")</f>
        <v>0</v>
      </c>
      <c r="J36" s="110">
        <f>COUNTIFS(MBIS5006!$L$23:$L$820,"&lt;"&amp;J25,MBIS5006!$M$23:$M$820,"&gt;=15")</f>
        <v>0</v>
      </c>
      <c r="L36" s="152" t="s">
        <v>292</v>
      </c>
      <c r="M36" s="152"/>
      <c r="N36" s="110">
        <f>COUNTIFS(MBIS5006!$H$23:$H$820,"&lt;"&amp;N25,MBIS5006!$M$23:$M$820,"&gt;=15",MBIS5006!$C$23:$C$820,$M$10)</f>
        <v>1</v>
      </c>
      <c r="O36" s="110">
        <f>COUNTIFS(MBIS5006!$I$23:$I$820,"&lt;"&amp;O25,MBIS5006!$M$23:$M$820,"&gt;=15",MBIS5006!$C$23:$C$820,$M$10)</f>
        <v>0</v>
      </c>
      <c r="P36" s="110">
        <f>COUNTIFS(MBIS5006!$J$23:$J$820,"&lt;"&amp;P25,MBIS5006!$M$23:$M$820,"&gt;=15",MBIS5006!$C$23:$C$820,$M$10)</f>
        <v>3</v>
      </c>
      <c r="Q36" s="110">
        <f>COUNTIFS(MBIS5006!$K$23:$K$820,"&lt;"&amp;Q25,MBIS5006!$M$23:$M$820,"&gt;=15",MBIS5006!$C$23:$C$820,$M$10)</f>
        <v>0</v>
      </c>
      <c r="R36" s="110">
        <f>COUNTIFS(MBIS5006!$L$23:$L$820,"&lt;"&amp;R25,MBIS5006!$M$23:$M$820,"&gt;=15",MBIS5006!$C$23:$C$820,$M$10)</f>
        <v>0</v>
      </c>
      <c r="T36" s="152" t="s">
        <v>292</v>
      </c>
      <c r="U36" s="152"/>
      <c r="V36" s="110">
        <f>COUNTIFS(MBIS5006!$H$23:$H$820,"&lt;"&amp;V25,MBIS5006!$M$23:$M$820,"&gt;=15",MBIS5006!$D$23:$D$820,$U$10,MBIS5006!$C$23:$C$820,$U$8)</f>
        <v>0</v>
      </c>
      <c r="W36" s="110">
        <f>COUNTIFS(MBIS5006!$I$23:$I$820,"&lt;"&amp;W25,MBIS5006!$M$23:$M$820,"&gt;=15",MBIS5006!$D$23:$D$820,$U$10,MBIS5006!$C$23:$C$820,$U$8)</f>
        <v>0</v>
      </c>
      <c r="X36" s="110">
        <f>COUNTIFS(MBIS5006!$J$23:$J$820,"&lt;"&amp;X25,MBIS5006!$M$23:$M$820,"&gt;=15",MBIS5006!$D$23:$D$820,$U$10,MBIS5006!$C$23:$C$820,$U$8)</f>
        <v>0</v>
      </c>
      <c r="Y36" s="110">
        <f>COUNTIFS(MBIS5006!$K$23:$K$820,"&lt;"&amp;Y25,MBIS5006!$M$23:$M$820,"&gt;=15",MBIS5006!$D$23:$D$820,$U$10,MBIS5006!$C$23:$C$820,$U$8)</f>
        <v>0</v>
      </c>
      <c r="Z36" s="110">
        <f>COUNTIFS(MBIS5006!$L$23:$L$820,"&lt;"&amp;Z25,MBIS5006!$M$23:$M$820,"&gt;=15",MBIS5006!$D$23:$D$820,$U$10,MBIS5006!$C$23:$C$820,$U$8)</f>
        <v>0</v>
      </c>
    </row>
    <row r="37" spans="4:26" ht="15" thickBot="1" x14ac:dyDescent="0.4">
      <c r="D37" s="152" t="s">
        <v>293</v>
      </c>
      <c r="E37" s="152"/>
      <c r="F37" s="111">
        <f>F36/$D$11</f>
        <v>7.1428571428571425E-2</v>
      </c>
      <c r="G37" s="111">
        <f>G36/$D$11</f>
        <v>0</v>
      </c>
      <c r="H37" s="111">
        <f>H36/$D$11</f>
        <v>0.21428571428571427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7.1428571428571425E-2</v>
      </c>
      <c r="O37" s="111">
        <f>O36/$M$19</f>
        <v>0</v>
      </c>
      <c r="P37" s="111">
        <f>P36/$M$19</f>
        <v>0.21428571428571427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MBIS5006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2025-10-25T12:15:09Z</dcterms:modified>
  <cp:category/>
</cp:coreProperties>
</file>