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13_ncr:1_{F55A721B-FA63-4A9C-813C-6CCE07B656BA}" xr6:coauthVersionLast="36" xr6:coauthVersionMax="36" xr10:uidLastSave="{00000000-0000-0000-0000-000000000000}"/>
  <bookViews>
    <workbookView xWindow="0" yWindow="0" windowWidth="21570" windowHeight="8430" xr2:uid="{00000000-000D-0000-FFFF-FFFF00000000}"/>
  </bookViews>
  <sheets>
    <sheet name="clinics_full_scraped" sheetId="1" r:id="rId1"/>
  </sheets>
  <calcPr calcId="191029"/>
</workbook>
</file>

<file path=xl/calcChain.xml><?xml version="1.0" encoding="utf-8"?>
<calcChain xmlns="http://schemas.openxmlformats.org/spreadsheetml/2006/main">
  <c r="I237" i="1" l="1"/>
  <c r="H237" i="1"/>
  <c r="G237" i="1"/>
  <c r="I236" i="1"/>
  <c r="H236" i="1"/>
  <c r="G236" i="1"/>
  <c r="I235" i="1"/>
  <c r="H235" i="1"/>
  <c r="G235" i="1"/>
  <c r="I234" i="1"/>
  <c r="H234" i="1"/>
  <c r="G234" i="1"/>
  <c r="I233" i="1"/>
  <c r="H233" i="1"/>
  <c r="G233" i="1"/>
  <c r="I232" i="1"/>
  <c r="H232" i="1"/>
  <c r="G232" i="1"/>
  <c r="I231" i="1"/>
  <c r="H231" i="1"/>
  <c r="G231" i="1"/>
  <c r="I230" i="1"/>
  <c r="H230" i="1"/>
  <c r="G230" i="1"/>
  <c r="I229" i="1"/>
  <c r="H229" i="1"/>
  <c r="G229" i="1"/>
  <c r="I228" i="1"/>
  <c r="H228" i="1"/>
  <c r="G228" i="1"/>
  <c r="I227" i="1"/>
  <c r="H227" i="1"/>
  <c r="G227" i="1"/>
  <c r="I226" i="1"/>
  <c r="H226" i="1"/>
  <c r="G226" i="1"/>
  <c r="I225" i="1"/>
  <c r="H225" i="1"/>
  <c r="G225" i="1"/>
  <c r="I224" i="1"/>
  <c r="H224" i="1"/>
  <c r="G224" i="1"/>
  <c r="I223" i="1"/>
  <c r="H223" i="1"/>
  <c r="G223" i="1"/>
  <c r="I222" i="1"/>
  <c r="H222" i="1"/>
  <c r="G222" i="1"/>
  <c r="I221" i="1"/>
  <c r="H221" i="1"/>
  <c r="G221" i="1"/>
  <c r="I220" i="1"/>
  <c r="H220" i="1"/>
  <c r="G220" i="1"/>
  <c r="I219" i="1"/>
  <c r="H219" i="1"/>
  <c r="G219" i="1"/>
  <c r="I218" i="1"/>
  <c r="H218" i="1"/>
  <c r="G218" i="1"/>
  <c r="I217" i="1"/>
  <c r="H217" i="1"/>
  <c r="G217" i="1"/>
  <c r="I216" i="1"/>
  <c r="H216" i="1"/>
  <c r="G216" i="1"/>
  <c r="I215" i="1"/>
  <c r="H215" i="1"/>
  <c r="G215" i="1"/>
  <c r="I214" i="1"/>
  <c r="H214" i="1"/>
  <c r="G214" i="1"/>
  <c r="I213" i="1"/>
  <c r="H213" i="1"/>
  <c r="G213" i="1"/>
  <c r="I212" i="1"/>
  <c r="H212" i="1"/>
  <c r="G212" i="1"/>
  <c r="I211" i="1"/>
  <c r="H211" i="1"/>
  <c r="G211" i="1"/>
  <c r="I210" i="1"/>
  <c r="H210" i="1"/>
  <c r="G210" i="1"/>
  <c r="I209" i="1"/>
  <c r="H209" i="1"/>
  <c r="G209" i="1"/>
  <c r="I208" i="1"/>
  <c r="H208" i="1"/>
  <c r="G208" i="1"/>
  <c r="I207" i="1"/>
  <c r="H207" i="1"/>
  <c r="G207" i="1"/>
  <c r="I206" i="1"/>
  <c r="H206" i="1"/>
  <c r="G206" i="1"/>
  <c r="I205" i="1"/>
  <c r="H205" i="1"/>
  <c r="G205" i="1"/>
  <c r="I204" i="1"/>
  <c r="H204" i="1"/>
  <c r="G204" i="1"/>
  <c r="I203" i="1"/>
  <c r="H203" i="1"/>
  <c r="G203" i="1"/>
  <c r="I202" i="1"/>
  <c r="H202" i="1"/>
  <c r="G202" i="1"/>
  <c r="I201" i="1"/>
  <c r="H201" i="1"/>
  <c r="G201" i="1"/>
  <c r="I200" i="1"/>
  <c r="H200" i="1"/>
  <c r="G200" i="1"/>
  <c r="I199" i="1"/>
  <c r="H199" i="1"/>
  <c r="G199" i="1"/>
  <c r="I198" i="1"/>
  <c r="H198" i="1"/>
  <c r="G198" i="1"/>
  <c r="I197" i="1"/>
  <c r="H197" i="1"/>
  <c r="G197" i="1"/>
  <c r="I196" i="1"/>
  <c r="H196" i="1"/>
  <c r="G196" i="1"/>
  <c r="I195" i="1"/>
  <c r="H195" i="1"/>
  <c r="G195" i="1"/>
  <c r="I194" i="1"/>
  <c r="H194" i="1"/>
  <c r="G194" i="1"/>
  <c r="I193" i="1"/>
  <c r="H193" i="1"/>
  <c r="G193" i="1"/>
  <c r="I192" i="1"/>
  <c r="H192" i="1"/>
  <c r="G192" i="1"/>
  <c r="I191" i="1"/>
  <c r="H191" i="1"/>
  <c r="G191" i="1"/>
  <c r="I190" i="1"/>
  <c r="H190" i="1"/>
  <c r="G190" i="1"/>
  <c r="I189" i="1"/>
  <c r="H189" i="1"/>
  <c r="G189" i="1"/>
  <c r="I188" i="1"/>
  <c r="H188" i="1"/>
  <c r="G188" i="1"/>
  <c r="I187" i="1"/>
  <c r="H187" i="1"/>
  <c r="G187" i="1"/>
  <c r="I186" i="1"/>
  <c r="H186" i="1"/>
  <c r="G186" i="1"/>
  <c r="I185" i="1"/>
  <c r="H185" i="1"/>
  <c r="G185" i="1"/>
  <c r="I184" i="1"/>
  <c r="H184" i="1"/>
  <c r="G184" i="1"/>
  <c r="I183" i="1"/>
  <c r="H183" i="1"/>
  <c r="G183" i="1"/>
  <c r="I182" i="1"/>
  <c r="H182" i="1"/>
  <c r="G182" i="1"/>
  <c r="I181" i="1"/>
  <c r="H181" i="1"/>
  <c r="G181" i="1"/>
  <c r="I180" i="1"/>
  <c r="H180" i="1"/>
  <c r="G180" i="1"/>
  <c r="I179" i="1"/>
  <c r="H179" i="1"/>
  <c r="G179" i="1"/>
  <c r="I178" i="1"/>
  <c r="H178" i="1"/>
  <c r="G178" i="1"/>
  <c r="I177" i="1"/>
  <c r="H177" i="1"/>
  <c r="G177" i="1"/>
  <c r="I176" i="1"/>
  <c r="H176" i="1"/>
  <c r="G176" i="1"/>
  <c r="I175" i="1"/>
  <c r="H175" i="1"/>
  <c r="G175" i="1"/>
  <c r="I174" i="1"/>
  <c r="H174" i="1"/>
  <c r="G174" i="1"/>
  <c r="I173" i="1"/>
  <c r="H173" i="1"/>
  <c r="G173" i="1"/>
  <c r="I172" i="1"/>
  <c r="H172" i="1"/>
  <c r="G172" i="1"/>
  <c r="I171" i="1"/>
  <c r="H171" i="1"/>
  <c r="G171" i="1"/>
  <c r="I170" i="1"/>
  <c r="H170" i="1"/>
  <c r="G170" i="1"/>
  <c r="I169" i="1"/>
  <c r="H169" i="1"/>
  <c r="G169" i="1"/>
  <c r="I168" i="1"/>
  <c r="H168" i="1"/>
  <c r="G168" i="1"/>
  <c r="I167" i="1"/>
  <c r="H167" i="1"/>
  <c r="G167" i="1"/>
  <c r="I166" i="1"/>
  <c r="H166" i="1"/>
  <c r="G166" i="1"/>
  <c r="I165" i="1"/>
  <c r="H165" i="1"/>
  <c r="G165" i="1"/>
  <c r="I164" i="1"/>
  <c r="H164" i="1"/>
  <c r="G164" i="1"/>
  <c r="I163" i="1"/>
  <c r="H163" i="1"/>
  <c r="G163" i="1"/>
  <c r="I162" i="1"/>
  <c r="H162" i="1"/>
  <c r="G162" i="1"/>
  <c r="I161" i="1"/>
  <c r="H161" i="1"/>
  <c r="G161" i="1"/>
  <c r="I160" i="1"/>
  <c r="H160" i="1"/>
  <c r="G160" i="1"/>
  <c r="I159" i="1"/>
  <c r="H159" i="1"/>
  <c r="G159" i="1"/>
  <c r="I158" i="1"/>
  <c r="H158" i="1"/>
  <c r="G158" i="1"/>
  <c r="I157" i="1"/>
  <c r="H157" i="1"/>
  <c r="G157" i="1"/>
  <c r="I156" i="1"/>
  <c r="H156" i="1"/>
  <c r="G156" i="1"/>
  <c r="I155" i="1"/>
  <c r="H155" i="1"/>
  <c r="G155" i="1"/>
  <c r="I154" i="1"/>
  <c r="H154" i="1"/>
  <c r="G154" i="1"/>
  <c r="I153" i="1"/>
  <c r="H153" i="1"/>
  <c r="G153" i="1"/>
  <c r="I152" i="1"/>
  <c r="H152" i="1"/>
  <c r="G152" i="1"/>
  <c r="I151" i="1"/>
  <c r="H151" i="1"/>
  <c r="G151" i="1"/>
  <c r="I150" i="1"/>
  <c r="H150" i="1"/>
  <c r="G150" i="1"/>
  <c r="I149" i="1"/>
  <c r="H149" i="1"/>
  <c r="G149" i="1"/>
  <c r="I148" i="1"/>
  <c r="H148" i="1"/>
  <c r="G148" i="1"/>
  <c r="I147" i="1"/>
  <c r="H147" i="1"/>
  <c r="G147" i="1"/>
  <c r="I146" i="1"/>
  <c r="H146" i="1"/>
  <c r="G146" i="1"/>
  <c r="I145" i="1"/>
  <c r="H145" i="1"/>
  <c r="G145" i="1"/>
  <c r="I144" i="1"/>
  <c r="H144" i="1"/>
  <c r="G144" i="1"/>
  <c r="I143" i="1"/>
  <c r="H143" i="1"/>
  <c r="G143" i="1"/>
  <c r="I142" i="1"/>
  <c r="H142" i="1"/>
  <c r="G142" i="1"/>
  <c r="I141" i="1"/>
  <c r="H141" i="1"/>
  <c r="G141" i="1"/>
  <c r="I140" i="1"/>
  <c r="H140" i="1"/>
  <c r="G140" i="1"/>
  <c r="I139" i="1"/>
  <c r="H139" i="1"/>
  <c r="G139" i="1"/>
  <c r="I138" i="1"/>
  <c r="H138" i="1"/>
  <c r="G138" i="1"/>
  <c r="I137" i="1"/>
  <c r="H137" i="1"/>
  <c r="G137" i="1"/>
  <c r="I136" i="1"/>
  <c r="H136" i="1"/>
  <c r="G136" i="1"/>
  <c r="I135" i="1"/>
  <c r="H135" i="1"/>
  <c r="G135" i="1"/>
  <c r="I134" i="1"/>
  <c r="H134" i="1"/>
  <c r="G134" i="1"/>
  <c r="I133" i="1"/>
  <c r="H133" i="1"/>
  <c r="G133" i="1"/>
  <c r="I132" i="1"/>
  <c r="H132" i="1"/>
  <c r="G132" i="1"/>
  <c r="I131" i="1"/>
  <c r="H131" i="1"/>
  <c r="G131" i="1"/>
  <c r="I130" i="1"/>
  <c r="H130" i="1"/>
  <c r="G130" i="1"/>
  <c r="I129" i="1"/>
  <c r="H129" i="1"/>
  <c r="G129" i="1"/>
  <c r="I128" i="1"/>
  <c r="H128" i="1"/>
  <c r="G128" i="1"/>
  <c r="I127" i="1"/>
  <c r="H127" i="1"/>
  <c r="G127" i="1"/>
  <c r="I126" i="1"/>
  <c r="H126" i="1"/>
  <c r="G126" i="1"/>
  <c r="I125" i="1"/>
  <c r="H125" i="1"/>
  <c r="G125" i="1"/>
  <c r="I124" i="1"/>
  <c r="H124" i="1"/>
  <c r="G124" i="1"/>
  <c r="I123" i="1"/>
  <c r="H123" i="1"/>
  <c r="G123" i="1"/>
  <c r="I122" i="1"/>
  <c r="H122" i="1"/>
  <c r="G122" i="1"/>
  <c r="I121" i="1"/>
  <c r="H121" i="1"/>
  <c r="G121" i="1"/>
  <c r="I120" i="1"/>
  <c r="H120" i="1"/>
  <c r="G120" i="1"/>
  <c r="I119" i="1"/>
  <c r="H119" i="1"/>
  <c r="G119" i="1"/>
  <c r="I118" i="1"/>
  <c r="H118" i="1"/>
  <c r="G118" i="1"/>
  <c r="I117" i="1"/>
  <c r="H117" i="1"/>
  <c r="G117" i="1"/>
  <c r="I116" i="1"/>
  <c r="H116" i="1"/>
  <c r="G116" i="1"/>
  <c r="I115" i="1"/>
  <c r="H115" i="1"/>
  <c r="G115" i="1"/>
  <c r="I114" i="1"/>
  <c r="H114" i="1"/>
  <c r="G114" i="1"/>
  <c r="I113" i="1"/>
  <c r="H113" i="1"/>
  <c r="G113" i="1"/>
  <c r="I112" i="1"/>
  <c r="H112" i="1"/>
  <c r="G112" i="1"/>
  <c r="I111" i="1"/>
  <c r="H111" i="1"/>
  <c r="G111" i="1"/>
  <c r="I110" i="1"/>
  <c r="H110" i="1"/>
  <c r="G110" i="1"/>
  <c r="I109" i="1"/>
  <c r="H109" i="1"/>
  <c r="G109" i="1"/>
  <c r="I108" i="1"/>
  <c r="H108" i="1"/>
  <c r="G108" i="1"/>
  <c r="I107" i="1"/>
  <c r="H107" i="1"/>
  <c r="G107" i="1"/>
  <c r="I106" i="1"/>
  <c r="H106" i="1"/>
  <c r="G106" i="1"/>
  <c r="I105" i="1"/>
  <c r="H105" i="1"/>
  <c r="G105" i="1"/>
  <c r="I104" i="1"/>
  <c r="H104" i="1"/>
  <c r="G104" i="1"/>
  <c r="I103" i="1"/>
  <c r="H103" i="1"/>
  <c r="G103" i="1"/>
  <c r="I102" i="1"/>
  <c r="H102" i="1"/>
  <c r="G102" i="1"/>
  <c r="I101" i="1"/>
  <c r="H101" i="1"/>
  <c r="G101" i="1"/>
  <c r="I100" i="1"/>
  <c r="H100" i="1"/>
  <c r="G100" i="1"/>
  <c r="I99" i="1"/>
  <c r="H99" i="1"/>
  <c r="G99" i="1"/>
  <c r="I98" i="1"/>
  <c r="H98" i="1"/>
  <c r="G98" i="1"/>
  <c r="I97" i="1"/>
  <c r="H97" i="1"/>
  <c r="G97" i="1"/>
  <c r="I96" i="1"/>
  <c r="H96" i="1"/>
  <c r="G96" i="1"/>
  <c r="I95" i="1"/>
  <c r="H95" i="1"/>
  <c r="G95" i="1"/>
  <c r="I94" i="1"/>
  <c r="H94" i="1"/>
  <c r="G94" i="1"/>
  <c r="I93" i="1"/>
  <c r="H93" i="1"/>
  <c r="G93" i="1"/>
  <c r="I92" i="1"/>
  <c r="H92" i="1"/>
  <c r="G92" i="1"/>
  <c r="I91" i="1"/>
  <c r="H91" i="1"/>
  <c r="G91" i="1"/>
  <c r="I90" i="1"/>
  <c r="H90" i="1"/>
  <c r="G90" i="1"/>
  <c r="I89" i="1"/>
  <c r="H89" i="1"/>
  <c r="G89" i="1"/>
  <c r="I88" i="1"/>
  <c r="H88" i="1"/>
  <c r="G88" i="1"/>
  <c r="I87" i="1"/>
  <c r="H87" i="1"/>
  <c r="G87" i="1"/>
  <c r="I86" i="1"/>
  <c r="H86" i="1"/>
  <c r="G86" i="1"/>
  <c r="I85" i="1"/>
  <c r="H85" i="1"/>
  <c r="G85" i="1"/>
  <c r="I84" i="1"/>
  <c r="H84" i="1"/>
  <c r="G84" i="1"/>
  <c r="I83" i="1"/>
  <c r="H83" i="1"/>
  <c r="G83" i="1"/>
  <c r="I82" i="1"/>
  <c r="H82" i="1"/>
  <c r="G82" i="1"/>
  <c r="I81" i="1"/>
  <c r="H81" i="1"/>
  <c r="G81" i="1"/>
  <c r="I80" i="1"/>
  <c r="H80" i="1"/>
  <c r="G80" i="1"/>
  <c r="I79" i="1"/>
  <c r="H79" i="1"/>
  <c r="G79" i="1"/>
  <c r="I78" i="1"/>
  <c r="H78" i="1"/>
  <c r="G78" i="1"/>
  <c r="I77" i="1"/>
  <c r="H77" i="1"/>
  <c r="I76" i="1"/>
  <c r="H76" i="1"/>
  <c r="G76" i="1"/>
  <c r="I75" i="1"/>
  <c r="H75" i="1"/>
  <c r="I74" i="1"/>
  <c r="H74" i="1"/>
  <c r="G74" i="1"/>
  <c r="I73" i="1"/>
  <c r="H73" i="1"/>
  <c r="I72" i="1"/>
  <c r="H72" i="1"/>
  <c r="G72" i="1"/>
  <c r="I71" i="1"/>
  <c r="H71" i="1"/>
  <c r="I70" i="1"/>
  <c r="H70" i="1"/>
  <c r="G70" i="1"/>
  <c r="I69" i="1"/>
  <c r="H69" i="1"/>
  <c r="I68" i="1"/>
  <c r="H68" i="1"/>
  <c r="G68" i="1"/>
  <c r="I67" i="1"/>
  <c r="H67" i="1"/>
  <c r="I66" i="1"/>
  <c r="H66" i="1"/>
  <c r="I65" i="1"/>
  <c r="H65" i="1"/>
  <c r="I64" i="1"/>
  <c r="H64" i="1"/>
  <c r="G64" i="1"/>
  <c r="I63" i="1"/>
  <c r="H63" i="1"/>
  <c r="G63" i="1"/>
  <c r="I62" i="1"/>
  <c r="H62" i="1"/>
  <c r="G62" i="1"/>
  <c r="I61" i="1"/>
  <c r="H61" i="1"/>
  <c r="G61" i="1"/>
  <c r="I60" i="1"/>
  <c r="H60" i="1"/>
  <c r="G60" i="1"/>
  <c r="I59" i="1"/>
  <c r="H59" i="1"/>
  <c r="G59" i="1"/>
  <c r="I58" i="1"/>
  <c r="H58" i="1"/>
  <c r="G58" i="1"/>
  <c r="I57" i="1"/>
  <c r="H57" i="1"/>
  <c r="G57" i="1"/>
  <c r="I56" i="1"/>
  <c r="H56" i="1"/>
  <c r="G56" i="1"/>
  <c r="I55" i="1"/>
  <c r="H55" i="1"/>
  <c r="G55" i="1"/>
  <c r="I54" i="1"/>
  <c r="H54" i="1"/>
  <c r="G54" i="1"/>
  <c r="I53" i="1"/>
  <c r="H53" i="1"/>
  <c r="G53" i="1"/>
  <c r="I52" i="1"/>
  <c r="H52" i="1"/>
  <c r="G52" i="1"/>
  <c r="I51" i="1"/>
  <c r="H51" i="1"/>
  <c r="G51" i="1"/>
  <c r="I50" i="1"/>
  <c r="H50" i="1"/>
  <c r="G50" i="1"/>
  <c r="I49" i="1"/>
  <c r="H49" i="1"/>
  <c r="G49" i="1"/>
  <c r="I48" i="1"/>
  <c r="H48" i="1"/>
  <c r="G48" i="1"/>
  <c r="I47" i="1"/>
  <c r="H47" i="1"/>
  <c r="G47" i="1"/>
  <c r="I46" i="1"/>
  <c r="H46" i="1"/>
  <c r="G46" i="1"/>
  <c r="I45" i="1"/>
  <c r="H45" i="1"/>
  <c r="G45" i="1"/>
  <c r="I44" i="1"/>
  <c r="H44" i="1"/>
  <c r="G44" i="1"/>
  <c r="I43" i="1"/>
  <c r="H43" i="1"/>
  <c r="G43" i="1"/>
  <c r="I42" i="1"/>
  <c r="H42" i="1"/>
  <c r="G42" i="1"/>
  <c r="I41" i="1"/>
  <c r="H41" i="1"/>
  <c r="G41" i="1"/>
  <c r="I40" i="1"/>
  <c r="H40" i="1"/>
  <c r="G40" i="1"/>
  <c r="I39" i="1"/>
  <c r="H39" i="1"/>
  <c r="G39" i="1"/>
  <c r="I38" i="1"/>
  <c r="H38" i="1"/>
  <c r="G38" i="1"/>
  <c r="I37" i="1"/>
  <c r="H37" i="1"/>
  <c r="G37" i="1"/>
  <c r="I36" i="1"/>
  <c r="H36" i="1"/>
  <c r="G36" i="1"/>
  <c r="I35" i="1"/>
  <c r="H35" i="1"/>
  <c r="G35" i="1"/>
  <c r="I34" i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F2" i="1"/>
  <c r="G2" i="1" s="1"/>
</calcChain>
</file>

<file path=xl/sharedStrings.xml><?xml version="1.0" encoding="utf-8"?>
<sst xmlns="http://schemas.openxmlformats.org/spreadsheetml/2006/main" count="1381" uniqueCount="1162">
  <si>
    <t>Clinic Name</t>
  </si>
  <si>
    <t>Services</t>
  </si>
  <si>
    <t>Location</t>
  </si>
  <si>
    <t>Phone</t>
  </si>
  <si>
    <t>Website</t>
  </si>
  <si>
    <t>Latitude</t>
  </si>
  <si>
    <t>Longitude</t>
  </si>
  <si>
    <t>Google Link</t>
  </si>
  <si>
    <t>Moi Teaching and Referral Hospital Alcohol and Drug Abuse Rehabilitation Unit</t>
  </si>
  <si>
    <t>Rehabilitation Centers</t>
  </si>
  <si>
    <t>Nandi Road</t>
  </si>
  <si>
    <t>0726 626391</t>
  </si>
  <si>
    <t>adaservices@mtrh.go.ke</t>
  </si>
  <si>
    <t>https://www.google.com/maps/dir/?api=1&amp;destination=0.5118881960607042,35.28051990940758</t>
  </si>
  <si>
    <t>Alcohol and Drug Abuse Prevention &amp;#038; Treatment Rehabilitation Centre (ADAPT)</t>
  </si>
  <si>
    <t>Kipsinende Location next to Plateau Bible School</t>
  </si>
  <si>
    <t>0721 730279
0725 040520</t>
  </si>
  <si>
    <t xml:space="preserve"> adaptorg@gmail.com</t>
  </si>
  <si>
    <t>www.adaptkenya.org</t>
  </si>
  <si>
    <t>https://www.google.com/maps/dir/?api=1&amp;destination=12.923271471982183,80.09980663648956</t>
  </si>
  <si>
    <t>Serenity Africa Foundation</t>
  </si>
  <si>
    <t>Samara area along Kaptagat Rd</t>
  </si>
  <si>
    <t>0727 903329</t>
  </si>
  <si>
    <t>africaserenity2015@gmail.com</t>
  </si>
  <si>
    <r>
      <t xml:space="preserve">
</t>
    </r>
    <r>
      <rPr>
        <u/>
        <sz val="10"/>
        <color rgb="FF1155CC"/>
        <rFont val="Arial"/>
      </rPr>
      <t>www.serenity.org</t>
    </r>
  </si>
  <si>
    <t>https://www.google.com/maps/dir/?api=1&amp;destination=0.5080951382693916,35.30420814934346</t>
  </si>
  <si>
    <t>Lighthouse Hospital and Rehabilitation Centre</t>
  </si>
  <si>
    <t>Elgon view drive off Testimony Schools</t>
  </si>
  <si>
    <t>0735 706069</t>
  </si>
  <si>
    <t xml:space="preserve"> eldoretlighthouse@gmail.com</t>
  </si>
  <si>
    <t>www.lighthouse healthcare.co.ke</t>
  </si>
  <si>
    <t>https://www.google.com/maps/dir/?api=1&amp;destination=0.5018587248443283,35.28822222763667</t>
  </si>
  <si>
    <t>Faith Community-Based Rehabilitation Centre</t>
  </si>
  <si>
    <t>Ya Mumbi in Kapseret Sub-County</t>
  </si>
  <si>
    <t>0721 224154</t>
  </si>
  <si>
    <t>https://www.google.com/maps/dir/?api=1&amp;destination=-1.2792174754664167,36.826275078730504%C2%A0</t>
  </si>
  <si>
    <t>St Joseph’s Rehabilitation Centre</t>
  </si>
  <si>
    <t xml:space="preserve">Luanda-Ekwanda Rd opposite Beatrice Academy </t>
  </si>
  <si>
    <t xml:space="preserve">0718 814827 </t>
  </si>
  <si>
    <t>santajosephrehab@gmail.com</t>
  </si>
  <si>
    <t>https://www.google.com/maps/dir/?api=1&amp;destination=0.018932849710589082,34.5816073670808</t>
  </si>
  <si>
    <t>Kitale Community Advancement Programme (KAP)</t>
  </si>
  <si>
    <t>Laini member along Kitale District Hospital road</t>
  </si>
  <si>
    <t>0731 477774
0710 920150</t>
  </si>
  <si>
    <t xml:space="preserve"> kitalectyadvancementprogramme@gmail.com
</t>
  </si>
  <si>
    <r>
      <t xml:space="preserve"> 
</t>
    </r>
    <r>
      <rPr>
        <u/>
        <sz val="10"/>
        <color rgb="FF1155CC"/>
        <rFont val="Arial"/>
      </rPr>
      <t>www.kapkitale.com</t>
    </r>
  </si>
  <si>
    <t>https://www.google.com/maps/dir/?api=1&amp;destination=1.4847589903679679,35.075765374982524</t>
  </si>
  <si>
    <t>Mentorship rehabilitation Centre</t>
  </si>
  <si>
    <t>Micha, Riamukurwe</t>
  </si>
  <si>
    <t xml:space="preserve">
0720 881655
020 2111200</t>
  </si>
  <si>
    <t>mentorshiprecoverycentre@gmail.com</t>
  </si>
  <si>
    <t>https://www.google.com/maps/dir/?api=1&amp;destination=%20-0.4470774293545054,36.976391465233064</t>
  </si>
  <si>
    <t>Christ the Good Shepherd Rehabilitation Centre</t>
  </si>
  <si>
    <t>Next to Kamwenja Teachers College, Mathari Kihuyo Road</t>
  </si>
  <si>
    <t>0791 770653
074 2044681</t>
  </si>
  <si>
    <t>cgsrehab@gmail.com</t>
  </si>
  <si>
    <t>https://www.google.com/maps/dir/?api=1&amp;destination=-0.39885369943685584,36.91446792475418</t>
  </si>
  <si>
    <t>Ihururu treatment and rehabilitation hospital</t>
  </si>
  <si>
    <t>Ihururu - Nyeri County</t>
  </si>
  <si>
    <t>0795 707198</t>
  </si>
  <si>
    <t xml:space="preserve"> ihururutreatmentandrehab@yahoo.com</t>
  </si>
  <si>
    <t>https://www.google.com/maps/dir/?api=1&amp;destination=-0.41149512109932224,36.890622428454236</t>
  </si>
  <si>
    <t>Outspan Serenity Centre</t>
  </si>
  <si>
    <t>Gatitu - Nyeri</t>
  </si>
  <si>
    <t>0741 364732</t>
  </si>
  <si>
    <t>serenitycentre@outspanhospital.org</t>
  </si>
  <si>
    <t>https://www.google.com/maps/dir/?api=1&amp;destination=-0.44848187283297647,%2036.991803278725826</t>
  </si>
  <si>
    <t>St. Mary’s Rescue and Nursing Home</t>
  </si>
  <si>
    <t>Gatitu – Nyeri Central</t>
  </si>
  <si>
    <t>0706 168004</t>
  </si>
  <si>
    <t xml:space="preserve">stmarysrescuenyeri@gmail.com
 </t>
  </si>
  <si>
    <t>https://www.google.com/maps/dir/?api=1&amp;destination=-1.223947391839359,36.843367205715786</t>
  </si>
  <si>
    <t>Safe Steps Recovery Centre Limited</t>
  </si>
  <si>
    <t>Kiarithaini village, Karatina - Mathira East</t>
  </si>
  <si>
    <t>0708 114872</t>
  </si>
  <si>
    <t xml:space="preserve"> dwambugu826@gmail.com</t>
  </si>
  <si>
    <r>
      <t xml:space="preserve">
</t>
    </r>
    <r>
      <rPr>
        <u/>
        <sz val="10"/>
        <color rgb="FF1155CC"/>
        <rFont val="Arial"/>
      </rPr>
      <t>www.safestepsrecoverycentre.co.ke</t>
    </r>
  </si>
  <si>
    <t>https://www.google.com/maps/dir/?api=1&amp;destination=-0.4676733021250682,37.13780812105445</t>
  </si>
  <si>
    <t>Recovery Trails Treatment Centre</t>
  </si>
  <si>
    <t>Mairo-Inya, Nyahururu</t>
  </si>
  <si>
    <t>0736 664394</t>
  </si>
  <si>
    <t>recoverytrails@gmail.com</t>
  </si>
  <si>
    <t>recoverytrailsmedical.org</t>
  </si>
  <si>
    <t>https://www.google.com/maps/dir/?api=1&amp;destination=0.029938493848880265,36.40696498057359</t>
  </si>
  <si>
    <t>Mary Wariri Foundation Treatment and Counselling Centre</t>
  </si>
  <si>
    <t>Off Mau Summit Road, opposite Red Cross past Molo Town</t>
  </si>
  <si>
    <t>0741 855 418
011 2140152</t>
  </si>
  <si>
    <t xml:space="preserve"> marywaririfoundation@gmail.com</t>
  </si>
  <si>
    <t>https://www.google.com/maps/dir/?api=1&amp;destination=-0.23685496858662036,35.73137557872474</t>
  </si>
  <si>
    <t>Simply Connect Out of Africa by the Sea Ltd</t>
  </si>
  <si>
    <t>Kwa muhia along Moi Southlake opposite Maua primary</t>
  </si>
  <si>
    <t xml:space="preserve">
 0777 800062/3</t>
  </si>
  <si>
    <t>info@simplyconnectmission.com</t>
  </si>
  <si>
    <t>https://www.google.com/maps/dir/?api=1&amp;destination=-0.8277458448325485,36.34189296338503</t>
  </si>
  <si>
    <t>Tripple Palm Rehabilitation and Recovery Centre</t>
  </si>
  <si>
    <t>Kiratina, Tuinuane estate phase-one 500 metres off Kiamunyeki road, Nakuru</t>
  </si>
  <si>
    <t>0723 168 719
0746 298 500</t>
  </si>
  <si>
    <t xml:space="preserve">tpccrecovery@gmail.com
</t>
  </si>
  <si>
    <t>https://www.google.com/maps/dir/?api=1&amp;destination=-0.30284778333581475,36.08013293824661</t>
  </si>
  <si>
    <t>Teens Challenge of Kenya (Nakuru)</t>
  </si>
  <si>
    <t>Pipeline Mzee wa Nyama road (Nakuru)</t>
  </si>
  <si>
    <t>0713 908708</t>
  </si>
  <si>
    <t xml:space="preserve">tcknakuru@gmail.com
</t>
  </si>
  <si>
    <t>https://www.google.com/maps/dir/?api=1&amp;destination=-0.359787512644005,36.15107159406827</t>
  </si>
  <si>
    <t>Beyond All Love Rehabilitation Center</t>
  </si>
  <si>
    <t>Machangwa road cross Road center Njoro</t>
  </si>
  <si>
    <t>0716 040507</t>
  </si>
  <si>
    <t xml:space="preserve">beyondalllove2022@gmail.com
</t>
  </si>
  <si>
    <t>https://www.google.com/maps/dir/?api=1&amp;destination=-0.3353877400927677,35.94597198057533</t>
  </si>
  <si>
    <t>Presbyterian Care Centre</t>
  </si>
  <si>
    <t>Enchiridia Centre off Nakuru Nairobi road (Mbaruk)</t>
  </si>
  <si>
    <t>0737 587403
0743 713330</t>
  </si>
  <si>
    <t xml:space="preserve">pcclanet@gmail.com
</t>
  </si>
  <si>
    <t>https://www.google.com/maps/dir/?api=1&amp;destination=-0.3484593550664043,36.21743634988951</t>
  </si>
  <si>
    <t>Golden Life Victors Hospital</t>
  </si>
  <si>
    <t>Opposite Naivas Safari Centre in Kayole Naivasha, next to Safcom booster</t>
  </si>
  <si>
    <t>0724 571997</t>
  </si>
  <si>
    <t xml:space="preserve">goldenlifeinternational.kenya@gmail.com
</t>
  </si>
  <si>
    <t>www.goldenlifekenya.org</t>
  </si>
  <si>
    <t>https://www.google.com/maps/dir/?api=1&amp;destination=-0.7474407570118691,36.47551957872729</t>
  </si>
  <si>
    <t>Silwan Rehabilitation Centre</t>
  </si>
  <si>
    <t>Roysambu, Mirema Drive</t>
  </si>
  <si>
    <t>0745 211263</t>
  </si>
  <si>
    <t xml:space="preserve"> info@silwanfountain.org</t>
  </si>
  <si>
    <t>www.silwanfountain.org</t>
  </si>
  <si>
    <t>https://www.google.com/maps/dir/?api=1&amp;destination=-1.2129557172745251,36.87527077873006</t>
  </si>
  <si>
    <t>Life bridge Hospital</t>
  </si>
  <si>
    <t>Roysambu ,Mirema Drive</t>
  </si>
  <si>
    <t>0725 133444</t>
  </si>
  <si>
    <t>lifebridge@gmail.com</t>
  </si>
  <si>
    <t>www.lifebridgehospital.org</t>
  </si>
  <si>
    <t>https://www.google.com/maps/dir/?api=1&amp;destination=-1.2060462637643818,36.887678424758754</t>
  </si>
  <si>
    <t>Chiromo Hospital Group Treatment Centre</t>
  </si>
  <si>
    <t>Westlands</t>
  </si>
  <si>
    <t>0729 359501</t>
  </si>
  <si>
    <t xml:space="preserve"> info@clmc.co.ke</t>
  </si>
  <si>
    <t>www.chiromo.co.ke</t>
  </si>
  <si>
    <t>https://www.google.com/maps/dir/?api=1&amp;destination=-1.2651969443343396,36.809871297721216</t>
  </si>
  <si>
    <t>Shekow Treatment and Rehabilitation Centre</t>
  </si>
  <si>
    <t>Eastleigh Mwende Street</t>
  </si>
  <si>
    <t>0768 929044</t>
  </si>
  <si>
    <t>shekowtreatmnt@gmail.com</t>
  </si>
  <si>
    <t>www.shekowtreatmentandrehabilitationcentre</t>
  </si>
  <si>
    <t>https://www.google.com/maps/dir/?api=1&amp;destination=-1.2839125758549916,36.85356574010224</t>
  </si>
  <si>
    <t>Irshad Rehabilitation Centre</t>
  </si>
  <si>
    <t>Eastleigh Second Avenue</t>
  </si>
  <si>
    <t xml:space="preserve"> 0745 426241</t>
  </si>
  <si>
    <t>irshadrehabilitationcentre@gmail.com</t>
  </si>
  <si>
    <t>https://irshaadrehabilitationcentre.com</t>
  </si>
  <si>
    <t>https://www.google.com/maps/dir/?api=1&amp;destination=-1.2819367187941044,36.85229649407351</t>
  </si>
  <si>
    <t>The Optimum Centre for Specialized Treatment</t>
  </si>
  <si>
    <t>Karen Fair acres off Hekima road</t>
  </si>
  <si>
    <t>0756 464646</t>
  </si>
  <si>
    <t xml:space="preserve"> info@theoptimumcenter.org</t>
  </si>
  <si>
    <t>https://optimumrehabilitation.com</t>
  </si>
  <si>
    <t>https://www.google.com/maps/dir/?api=1&amp;destination=-1.3416035512783886,36.73666497873093</t>
  </si>
  <si>
    <t>Royal Victory Rehabilitation Centre</t>
  </si>
  <si>
    <t>Outer Ring</t>
  </si>
  <si>
    <t xml:space="preserve"> 0722 997977</t>
  </si>
  <si>
    <t xml:space="preserve"> info@royalvictoryhosp.org</t>
  </si>
  <si>
    <t>www.royalvictoryhosp.org</t>
  </si>
  <si>
    <t>https://www.google.com/maps/dir/?api=1&amp;destination=-1.2477948203214406,%2036.87576659407323</t>
  </si>
  <si>
    <t>Serene Hospital and Rehabilitation center</t>
  </si>
  <si>
    <t>Kisembe Road Karen</t>
  </si>
  <si>
    <t xml:space="preserve"> 0746 4460202</t>
  </si>
  <si>
    <t xml:space="preserve">www.serenehospital.org
</t>
  </si>
  <si>
    <t>https://www.google.com/maps/dir/?api=1&amp;destination=-1.1783965003005863,36.84198279592287</t>
  </si>
  <si>
    <t>Sarazekiel Treatment and Rehabilitation Centre</t>
  </si>
  <si>
    <t>Utawala Nairobi</t>
  </si>
  <si>
    <t xml:space="preserve"> 0726 179379</t>
  </si>
  <si>
    <t xml:space="preserve">sarazekielrehabilitatiocenter@gmail.com
</t>
  </si>
  <si>
    <t>https://www.google.com/maps/dir/?api=1&amp;destination=-1.2781551753787026,%2036.97263262290911</t>
  </si>
  <si>
    <t>Excel Wellness Centre</t>
  </si>
  <si>
    <t>Mirema Drive in Kasarani Sub County</t>
  </si>
  <si>
    <t>0705 482964</t>
  </si>
  <si>
    <t>www.excelwellness.com</t>
  </si>
  <si>
    <t>https://www.google.com/maps/dir/?api=1&amp;destination=-1.209387864077582,%2036.889812509415826</t>
  </si>
  <si>
    <t>Lily Medihealth Mediva Wellness Centre</t>
  </si>
  <si>
    <t>Githingiri Estate</t>
  </si>
  <si>
    <t xml:space="preserve"> 0711 228904</t>
  </si>
  <si>
    <t xml:space="preserve"> info@medivawellness.org
</t>
  </si>
  <si>
    <t xml:space="preserve">www.medivawellness.org
</t>
  </si>
  <si>
    <t>https://www.google.com/maps/dir/?api=1&amp;destination=-1.0112079013458792,37.06721680756467</t>
  </si>
  <si>
    <t>St. Martin Riverside Institute Limited</t>
  </si>
  <si>
    <t>Mbirii-Muchungucha-Maragua</t>
  </si>
  <si>
    <t>0712 269356
0711 617422</t>
  </si>
  <si>
    <t xml:space="preserve"> stmartinsrehab4@gmail.com</t>
  </si>
  <si>
    <t>www.stmartinsrehab.co.ke</t>
  </si>
  <si>
    <t>https://www.google.com/maps/dir/?api=1&amp;destination=-0.7836634477334333,37.0400653229063</t>
  </si>
  <si>
    <t>Promed Wellness Centre Ltd</t>
  </si>
  <si>
    <t>Maporomoko Estate Thika</t>
  </si>
  <si>
    <t>0711 887788
0723 887780</t>
  </si>
  <si>
    <t>anthony.maguru@promedwellness.co.ke</t>
  </si>
  <si>
    <t>www.promedwellness.co.ke</t>
  </si>
  <si>
    <t>https://www.google.com/maps/dir/?api=1&amp;destination=-1.0014489006495662,37.067797436400305</t>
  </si>
  <si>
    <t>The Shepherd Rehab and Counselling Centre</t>
  </si>
  <si>
    <t>Gatanga Road , Thika</t>
  </si>
  <si>
    <t xml:space="preserve"> 0720 616998</t>
  </si>
  <si>
    <t xml:space="preserve">theshepherd2022@gmail.com
</t>
  </si>
  <si>
    <t>https://www.google.com/maps/dir/?api=1&amp;destination=%20-2.410223455943372,37.967825536410466</t>
  </si>
  <si>
    <t>Mewa Drug Treatment Centre &amp;#8211; Mtopanga</t>
  </si>
  <si>
    <t>Mtopanga (opp. Kisauni Post Office) old Malindi Road</t>
  </si>
  <si>
    <t xml:space="preserve"> 0711 381181</t>
  </si>
  <si>
    <t>secretariat@mewa.or.ke</t>
  </si>
  <si>
    <t>www.mewa.or.ke</t>
  </si>
  <si>
    <t>https://www.google.com/maps/dir/?api=1&amp;destination=-4.012557232575887,39.69339492108347</t>
  </si>
  <si>
    <t>Mewa Drop In Centre &amp;#038; Shelter House- Kisauni</t>
  </si>
  <si>
    <t>Mlaleo (opp. Kisauni Post Office) old Malindi Rd</t>
  </si>
  <si>
    <t xml:space="preserve"> 0722 819795</t>
  </si>
  <si>
    <t>https://www.google.com/maps/dir/?api=1&amp;destination=-4.006353783978408,39.693786278061424</t>
  </si>
  <si>
    <t>Mombasa Women Empowerment Centre</t>
  </si>
  <si>
    <t>Miritini-Maganda</t>
  </si>
  <si>
    <t>0735 557007
0722 618589</t>
  </si>
  <si>
    <t>https://www.google.com/maps/dir/?api=1&amp;destination=-4.061500217783944,39.67044074029542</t>
  </si>
  <si>
    <t>Kisauni MAT Clinic</t>
  </si>
  <si>
    <t>Along Frere Town Rd, near Frere Primary School-Nyali Subcounty</t>
  </si>
  <si>
    <t>0700 471896</t>
  </si>
  <si>
    <t xml:space="preserve"> kisaunimatclinic@gmail.com
</t>
  </si>
  <si>
    <t>https://www.google.com/maps/dir/?api=1&amp;destination=-4.025672925062995,39.69387696526225</t>
  </si>
  <si>
    <t>Harmony Therapy Centre</t>
  </si>
  <si>
    <t>Kithinguri market, Imanti South, Meru County</t>
  </si>
  <si>
    <t>0706 801911
0737 770974
0790 43776</t>
  </si>
  <si>
    <t xml:space="preserve"> info@harmonytherapycentre.com
 </t>
  </si>
  <si>
    <t>https://www.google.com/maps/dir/?api=1&amp;destination=-0.07639016573203342,37.68470366523121</t>
  </si>
  <si>
    <t>St. Nicholas Rehabilitation Centre and Psychiatric Hospital</t>
  </si>
  <si>
    <t>Kianjai, Along Meru-Maua Road</t>
  </si>
  <si>
    <t xml:space="preserve"> 0715 773374</t>
  </si>
  <si>
    <t xml:space="preserve"> director.stnicholasriti@gmail.com</t>
  </si>
  <si>
    <t>www.stnicholasriti.co.ke</t>
  </si>
  <si>
    <t>https://www.google.com/maps/dir/?api=1&amp;destination=0.17574900582811112,37.76159108242318</t>
  </si>
  <si>
    <t>Mandera Wellness Centre annex</t>
  </si>
  <si>
    <t>Mandera township</t>
  </si>
  <si>
    <t xml:space="preserve"> 0757 927114</t>
  </si>
  <si>
    <t>manderawellnesscentre@gmail.com</t>
  </si>
  <si>
    <t>www.manderawellnesscentre.com</t>
  </si>
  <si>
    <t>https://www.google.com/maps/dir/?api=1&amp;destination=3.9288039939192636,41.861850294063885</t>
  </si>
  <si>
    <t>Good Shepherd Treatment and Rehabilitation Centre</t>
  </si>
  <si>
    <t xml:space="preserve">Ngumbe - Kibwezi
</t>
  </si>
  <si>
    <t>0799 466927
0720 057583</t>
  </si>
  <si>
    <t xml:space="preserve"> goodshepherdrehab2022@gmail.com</t>
  </si>
  <si>
    <t>www.goodshepherehabilitation.co.ke</t>
  </si>
  <si>
    <t>https://www.google.com/maps/dir/?api=1&amp;destination=-2.41024489463221,37.96785772291763</t>
  </si>
  <si>
    <t>Fountain of Hope Addiction Treatment Centre</t>
  </si>
  <si>
    <t>Syokimau</t>
  </si>
  <si>
    <t>0796 656300
0718 210642</t>
  </si>
  <si>
    <t xml:space="preserve">info@fountainofhoperehab.org
</t>
  </si>
  <si>
    <t>https://www.google.com/maps/dir/?api=1&amp;destination=-1.345988300006768,36.93623942290969</t>
  </si>
  <si>
    <t>The Cornerstone Rehabilitation Centre Limited</t>
  </si>
  <si>
    <t>Katelembo (Kithine)</t>
  </si>
  <si>
    <t>0720 825938
0722 283609</t>
  </si>
  <si>
    <t xml:space="preserve"> info@cornerstonerehabcentre.com
</t>
  </si>
  <si>
    <t>https://www.google.com/maps/dir/?api=1&amp;destination=-1.5380350240044318,37.19260068003978</t>
  </si>
  <si>
    <t>The Loving Hand of Grace Joska</t>
  </si>
  <si>
    <t>Joska</t>
  </si>
  <si>
    <t xml:space="preserve"> 0721987024/0723160942</t>
  </si>
  <si>
    <t xml:space="preserve">thelovinghand1@gmail.com
</t>
  </si>
  <si>
    <t>https://www.google.com/maps/dir/?api=1&amp;destination=-1.2889729717953309,37.086661734552045</t>
  </si>
  <si>
    <t>Kenya Redcross Rehabilitation Centre</t>
  </si>
  <si>
    <t>Hindi Ward, Show ground area</t>
  </si>
  <si>
    <t xml:space="preserve"> 0725 616575</t>
  </si>
  <si>
    <t xml:space="preserve">rehab@redcross.or.ke
</t>
  </si>
  <si>
    <t>https://www.google.com/maps/dir/?api=1&amp;destination=-2.2648894291316894%20,40.899795907134525</t>
  </si>
  <si>
    <t>St. Martins Catholic Social Apostolate Rehab Centre</t>
  </si>
  <si>
    <t>Nyahururu Town</t>
  </si>
  <si>
    <t xml:space="preserve"> 0701266323/0720 853412/0734 992272</t>
  </si>
  <si>
    <t xml:space="preserve"> info@saintmartin-kenya.org
</t>
  </si>
  <si>
    <t>https://www.google.com/maps/dir/?api=1&amp;destination=-1.3889284078746509,36.680409936402775</t>
  </si>
  <si>
    <t>Reach out Centre Trust - Kombani</t>
  </si>
  <si>
    <t>Matuga Subcounty, Kombani</t>
  </si>
  <si>
    <t xml:space="preserve"> 0713 630502</t>
  </si>
  <si>
    <t xml:space="preserve"> info@reachout.or.ke</t>
  </si>
  <si>
    <t>www.reachout.or.ke</t>
  </si>
  <si>
    <t>https://www.google.com/maps/dir/?api=1&amp;destination=-4.060521642632194,39.67653680944124</t>
  </si>
  <si>
    <t>Nolan James Centre</t>
  </si>
  <si>
    <t>Nyamasaria</t>
  </si>
  <si>
    <t xml:space="preserve"> 0710 293229</t>
  </si>
  <si>
    <t xml:space="preserve"> info@nolan-jamescentre.org</t>
  </si>
  <si>
    <t>www.nolan-jamescentre.org</t>
  </si>
  <si>
    <t>https://www.google.com/maps/dir/?api=1&amp;destination=-0.11789512191511613,34.78914933454557</t>
  </si>
  <si>
    <t>Well Way Medical Centre</t>
  </si>
  <si>
    <t>0739158617/732824792/0711822511</t>
  </si>
  <si>
    <t xml:space="preserve"> wellwaymcentre@gmail.com</t>
  </si>
  <si>
    <t xml:space="preserve">www.wellwaymedicalcentre.org
</t>
  </si>
  <si>
    <t>https://www.google.com/maps/dir/?api=1&amp;destination=2.9833906193214244,34.22332196058031</t>
  </si>
  <si>
    <t>Renaissance Treatment Centre</t>
  </si>
  <si>
    <t>Railways Ward</t>
  </si>
  <si>
    <t xml:space="preserve"> 0722 700710</t>
  </si>
  <si>
    <t xml:space="preserve">renaissancetrc254@gmail.com
 </t>
  </si>
  <si>
    <t>https://www.google.com/maps/dir/?api=1&amp;destination=-1.326844119894986%20,36.74502107873095</t>
  </si>
  <si>
    <t>Tinada Youth Action Africa</t>
  </si>
  <si>
    <t>Tom Mboya Estate</t>
  </si>
  <si>
    <t xml:space="preserve"> 0714 304732</t>
  </si>
  <si>
    <t xml:space="preserve"> info@tinadayouth@gmail.com</t>
  </si>
  <si>
    <t>www.tinada.org</t>
  </si>
  <si>
    <t>https://www.google.com/maps/dir/?api=1&amp;destination=-0.08404903871410621,%2034.76659038057413</t>
  </si>
  <si>
    <t>RAM Treatment Centre</t>
  </si>
  <si>
    <t>Gesonso</t>
  </si>
  <si>
    <t xml:space="preserve"> 0720 038121</t>
  </si>
  <si>
    <t xml:space="preserve"> hospitalramkisii@gmail.com
 </t>
  </si>
  <si>
    <t>https://www.google.com/maps/dir/?api=1&amp;destination=-0.6648503964847168,34.7325216517412</t>
  </si>
  <si>
    <t>Oasis Specialist Hospital</t>
  </si>
  <si>
    <t>Hospital Road near KMTC</t>
  </si>
  <si>
    <t xml:space="preserve"> 0711 410530</t>
  </si>
  <si>
    <t>oasisspecialisthospital@gmail.com</t>
  </si>
  <si>
    <t>www.oasishealthcaregroup.com</t>
  </si>
  <si>
    <t>https://www.google.com/maps/dir/?api=1&amp;destination=-0.6678748685399817,34.77005435174128</t>
  </si>
  <si>
    <t>Azriel Rehabilitation and Treatment Centre</t>
  </si>
  <si>
    <t>Kimbimbi</t>
  </si>
  <si>
    <t xml:space="preserve"> 0722 332547</t>
  </si>
  <si>
    <t>https://www.google.com/maps/dir/?api=1&amp;destination=-0.6201541377693625,%2037.36548746708398</t>
  </si>
  <si>
    <t>Mewa Drop-in Centre Mtwapa</t>
  </si>
  <si>
    <t>Mtwapa next to Mtwapa health Centre</t>
  </si>
  <si>
    <t xml:space="preserve"> 0722819795/0711104297/0722677481/0722891793/0724526099</t>
  </si>
  <si>
    <t xml:space="preserve"> secretariat@mewa.or.ke</t>
  </si>
  <si>
    <t>https://www.google.com/maps/dir/?api=1&amp;destination=-3.5103616614399833,39.909369809435205</t>
  </si>
  <si>
    <t>Mewa Drop-in Centre – Kilifi</t>
  </si>
  <si>
    <t xml:space="preserve">Charo wa Mae Rd, Kilifi town
</t>
  </si>
  <si>
    <t>0722819795/0711104297/0722677481/0722891793/0724526099</t>
  </si>
  <si>
    <t>https://www.google.com/maps/dir/?api=1&amp;destination=%20-3.6155049646199586,39.85119289544244</t>
  </si>
  <si>
    <t>Nuru Treatment and Rehabilitation Centre</t>
  </si>
  <si>
    <t>Membley-Ridgeview estate-Pine 6-Ruiru -Kiambu</t>
  </si>
  <si>
    <t xml:space="preserve"> 0703810865/0741/0741044565</t>
  </si>
  <si>
    <t xml:space="preserve"> nururehabilitationcentre@gmail.com</t>
  </si>
  <si>
    <t>www.nururehab.co.ke</t>
  </si>
  <si>
    <t>https://www.google.com/maps/dir/?api=1&amp;destination=-1.1652815801663234,%2036.936073151744154</t>
  </si>
  <si>
    <t>Nueva Esperanza Treatment and Rehab Centre</t>
  </si>
  <si>
    <t>Next to Membley Police Station, Membley, Ruiru -Kiambu</t>
  </si>
  <si>
    <t>0722 659743</t>
  </si>
  <si>
    <t>info@nuevarehab.com</t>
  </si>
  <si>
    <t>www.nuevarehab.com</t>
  </si>
  <si>
    <t>https://www.google.com/maps/dir/?api=1&amp;destination=-1.1627821331630686,36.92865979592278</t>
  </si>
  <si>
    <t>Polka Dots wellness and Retreat Centre</t>
  </si>
  <si>
    <t>Gikambura, Karai - Kikuyu</t>
  </si>
  <si>
    <t xml:space="preserve"> 0788 203766/0721 882256</t>
  </si>
  <si>
    <t xml:space="preserve"> mwarigiakamau@gmail.com</t>
  </si>
  <si>
    <t>www.polkadotsrehab.com</t>
  </si>
  <si>
    <t>https://www.google.com/maps/dir/?api=1&amp;destination=-1.2784861707499762,36.64164826523777</t>
  </si>
  <si>
    <t>Lifeway House Medical Centre</t>
  </si>
  <si>
    <t>Green hills hse No.2-Thindigua-Kiambu</t>
  </si>
  <si>
    <t>0746 968702</t>
  </si>
  <si>
    <t xml:space="preserve"> info@lifewayhouse.com</t>
  </si>
  <si>
    <t>www.lifewayhouse.com</t>
  </si>
  <si>
    <t>https://www.google.com/maps/dir/?api=1&amp;destination=-1.2037780782843577,36.840566978729996</t>
  </si>
  <si>
    <t>Zawena Treatment and Rehabilitation Centre</t>
  </si>
  <si>
    <t>Cianda- Kiambaa</t>
  </si>
  <si>
    <t xml:space="preserve"> 0734 755591/0797 621103</t>
  </si>
  <si>
    <t xml:space="preserve"> zawenatreatmentcentre@gmail.com</t>
  </si>
  <si>
    <t>www.zawenatreatment.com</t>
  </si>
  <si>
    <t>https://www.google.com/maps/dir/?api=1&amp;destination=-1.1189092898530884,36.756039651743954</t>
  </si>
  <si>
    <t>The Phoenix Rehabilitation Centre</t>
  </si>
  <si>
    <t>Karai-Kikuyu</t>
  </si>
  <si>
    <t xml:space="preserve"> 0720 552512/0768 402060</t>
  </si>
  <si>
    <t>admin@phoenixrehab.co.ke</t>
  </si>
  <si>
    <r>
      <t xml:space="preserve">admin@phoenixrehab.co.ke
 </t>
    </r>
    <r>
      <rPr>
        <u/>
        <sz val="10"/>
        <color rgb="FF1155CC"/>
        <rFont val="Arial"/>
      </rPr>
      <t>www.phoenixrehab.co.ke</t>
    </r>
  </si>
  <si>
    <r>
      <t xml:space="preserve"> </t>
    </r>
    <r>
      <rPr>
        <u/>
        <sz val="10"/>
        <color rgb="FF1155CC"/>
        <rFont val="Arial"/>
      </rPr>
      <t>www.phoenixrehab.co.ke</t>
    </r>
  </si>
  <si>
    <t>https://www.google.com/maps/dir/?api=1&amp;destination=%20-1.1823799615713797,36.71510596338702</t>
  </si>
  <si>
    <t>SnapBack Treatment and Rehabilitation Centre</t>
  </si>
  <si>
    <t>Sewage-next to lilies hotel-Juja -Kiambu</t>
  </si>
  <si>
    <t>0748 142803</t>
  </si>
  <si>
    <t xml:space="preserve"> info@smartlifewellnesscentre.co.ke</t>
  </si>
  <si>
    <t xml:space="preserve"> info@smartlifewellnesscentre.co.ke
 www.smartlifewellnesscentre.co.ke</t>
  </si>
  <si>
    <r>
      <t xml:space="preserve">
 </t>
    </r>
    <r>
      <rPr>
        <u/>
        <sz val="10"/>
        <color rgb="FF1155CC"/>
        <rFont val="Arial"/>
      </rPr>
      <t>www.smartlifewellnesscentre.co.ke</t>
    </r>
  </si>
  <si>
    <t>https://www.google.com/maps/dir/?api=1&amp;destination=-1.1154380826990102,36.95256382721326</t>
  </si>
  <si>
    <t>Resolution Recovery Centre</t>
  </si>
  <si>
    <t>Karura ka Nyungu-Kabete</t>
  </si>
  <si>
    <t xml:space="preserve"> 0715 420254/0726 019079</t>
  </si>
  <si>
    <t xml:space="preserve"> resolutionsrecoveryc@gmail.com</t>
  </si>
  <si>
    <t xml:space="preserve"> resolutionsrecoveryc@gmail.com
 www.resolutionsrecovery.org</t>
  </si>
  <si>
    <r>
      <t xml:space="preserve"> </t>
    </r>
    <r>
      <rPr>
        <u/>
        <sz val="10"/>
        <color rgb="FF1155CC"/>
        <rFont val="Arial"/>
      </rPr>
      <t>www.resolutionsrecovery.org</t>
    </r>
  </si>
  <si>
    <t>https://www.google.com/maps/dir/?api=1&amp;destination=-1.2052229049202619%20,36.72524593640156</t>
  </si>
  <si>
    <t>Eden Village -Kingeero</t>
  </si>
  <si>
    <t>King’eero-lower Kabete -Wangige</t>
  </si>
  <si>
    <t>0726 051995</t>
  </si>
  <si>
    <t xml:space="preserve">edenvillagetreatment@gmail.com
</t>
  </si>
  <si>
    <t>https://www.google.com/maps/dir/?api=1&amp;destination=-1.2283197295651305,36.705303094073024</t>
  </si>
  <si>
    <t>Living hope counseling and treatment center</t>
  </si>
  <si>
    <t>opposite creek-wood school-Kamiti corner</t>
  </si>
  <si>
    <t>0721 863577</t>
  </si>
  <si>
    <t xml:space="preserve"> livinghopecounseling021@gmail.com
</t>
  </si>
  <si>
    <t xml:space="preserve"> livinghopecounseling021@gmail.com
 www.livinghopecounseling.co.ke</t>
  </si>
  <si>
    <r>
      <t xml:space="preserve"> </t>
    </r>
    <r>
      <rPr>
        <u/>
        <sz val="10"/>
        <color rgb="FF1155CC"/>
        <rFont val="Arial"/>
      </rPr>
      <t>www.livinghopecounseling.co.ke</t>
    </r>
  </si>
  <si>
    <t>https://www.google.com/maps/dir/?api=1&amp;destination=-1.1671210867897739,36.883020692222715</t>
  </si>
  <si>
    <t>Marylyne Bliss wellness and Recovery Centre</t>
  </si>
  <si>
    <t>Ngecha near PCEA Church -Limuru</t>
  </si>
  <si>
    <t>0759 074919</t>
  </si>
  <si>
    <t xml:space="preserve">marylynneblisscentre@gmail.com
</t>
  </si>
  <si>
    <t>https://www.google.com/maps/dir/?api=1&amp;destination=-1.1651777197043267,36.66732503640138</t>
  </si>
  <si>
    <t>Nobility house Treatment and Rehabilitation Centre</t>
  </si>
  <si>
    <t>Ngecha-Muguga near ACK Tring’othia</t>
  </si>
  <si>
    <t>0791 825044</t>
  </si>
  <si>
    <t xml:space="preserve"> info@precisioncounseling.org
</t>
  </si>
  <si>
    <t xml:space="preserve"> info@precisioncounseling.org
 www.precisioncounseling.org</t>
  </si>
  <si>
    <r>
      <t xml:space="preserve"> </t>
    </r>
    <r>
      <rPr>
        <u/>
        <sz val="10"/>
        <color rgb="FF1155CC"/>
        <rFont val="Arial"/>
      </rPr>
      <t>www.precisioncounseling.org</t>
    </r>
  </si>
  <si>
    <t>https://www.google.com/maps/dir/?api=1&amp;destination=-1.1671814005340466,36.654850480579896</t>
  </si>
  <si>
    <t>Olonana Nkera Treatment and Rehabilitation Centre</t>
  </si>
  <si>
    <t>Githunguri</t>
  </si>
  <si>
    <t>0714 606401</t>
  </si>
  <si>
    <t>https://www.google.com/maps/dir/?api=1&amp;destination=-1.0862642262095035,36.778523540100906</t>
  </si>
  <si>
    <t>Care-Tech Medical &amp;#038; Rehabilitation Centre</t>
  </si>
  <si>
    <t>Caretech Medical, Kugeria Rd &amp; Off Kiambu Rd, Opposite five star Meadows</t>
  </si>
  <si>
    <t xml:space="preserve"> 0720 419440</t>
  </si>
  <si>
    <t xml:space="preserve"> caretechmedical@gmail.com
</t>
  </si>
  <si>
    <t xml:space="preserve"> caretechmedical@gmail.com
 caretechmedical.com</t>
  </si>
  <si>
    <r>
      <t xml:space="preserve"> </t>
    </r>
    <r>
      <rPr>
        <u/>
        <sz val="10"/>
        <color rgb="FF1155CC"/>
        <rFont val="Arial"/>
      </rPr>
      <t>caretechmedical.com</t>
    </r>
  </si>
  <si>
    <t>https://www.google.com/maps/dir/?api=1&amp;destination=-1.1890235091332515,36.84043049407286</t>
  </si>
  <si>
    <t>Genesis Sober Community Rehabilitation</t>
  </si>
  <si>
    <t>Kiaria village -Githunguri, Kiambu</t>
  </si>
  <si>
    <t>0720 884024</t>
  </si>
  <si>
    <t xml:space="preserve">gscommunity@yahoo.com
</t>
  </si>
  <si>
    <t>https://www.google.com/maps/dir/?api=1&amp;destination=-1.0784085332425861,36.80228240447021</t>
  </si>
  <si>
    <t>Levuka Treatment Centre</t>
  </si>
  <si>
    <t>Rironi-limuru</t>
  </si>
  <si>
    <t>0722 497076</t>
  </si>
  <si>
    <t xml:space="preserve"> levukatreatmentcentre@gmail.com
</t>
  </si>
  <si>
    <t xml:space="preserve"> levukatreatmentcentre@gmail.com
 levuka.jamiiboratrust.com</t>
  </si>
  <si>
    <r>
      <t xml:space="preserve"> </t>
    </r>
    <r>
      <rPr>
        <u/>
        <sz val="10"/>
        <color rgb="FF1155CC"/>
        <rFont val="Arial"/>
      </rPr>
      <t>levuka.jamiiboratrust.com</t>
    </r>
  </si>
  <si>
    <t>https://www.google.com/maps/dir/?api=1&amp;destination=-1.1673058601974466%20,36.63916180756554</t>
  </si>
  <si>
    <t>Wiseway Treatment and Counselling Centre</t>
  </si>
  <si>
    <t>Mutego- Gitaru-lower Kabete</t>
  </si>
  <si>
    <t xml:space="preserve"> 0112 397624/ 0729 333808</t>
  </si>
  <si>
    <t xml:space="preserve"> wisewaycounselingandtreatment@gmail.com
</t>
  </si>
  <si>
    <t>https://www.google.com/maps/dir/?api=1&amp;destination=-1.2180354397237876,36.655363572729485</t>
  </si>
  <si>
    <t>Dove Mental Health Hospital</t>
  </si>
  <si>
    <t>Karai-Kikuyu-Kiambu</t>
  </si>
  <si>
    <t>0728 512529</t>
  </si>
  <si>
    <t xml:space="preserve"> dovehospital1@gmail.com
</t>
  </si>
  <si>
    <t xml:space="preserve"> dovehospital1@gmail.com
 www.doveinternational.co.ke</t>
  </si>
  <si>
    <r>
      <t xml:space="preserve"> </t>
    </r>
    <r>
      <rPr>
        <u/>
        <sz val="10"/>
        <color rgb="FF1155CC"/>
        <rFont val="Arial"/>
      </rPr>
      <t>www.doveinternational.co.ke</t>
    </r>
  </si>
  <si>
    <t>https://www.google.com/maps/dir/?api=1&amp;destination=-1.3476434935598094%20,36.72629373359107</t>
  </si>
  <si>
    <t>Elewa Ulevi Consultancy-Limuru</t>
  </si>
  <si>
    <t>Limuru town</t>
  </si>
  <si>
    <t>0724 730117/0722 386414/0737 730117</t>
  </si>
  <si>
    <t xml:space="preserve"> elewaulevi@gmail.com
 </t>
  </si>
  <si>
    <t>https://www.google.com/maps/dir/?api=1&amp;destination=-1.1090590550559756,36.64342555174384</t>
  </si>
  <si>
    <t>Primrose Rehab &amp;#038; Wellness Centre</t>
  </si>
  <si>
    <t>Thindigua Estate - Kiambu East, Kiambu</t>
  </si>
  <si>
    <t>0720 264149</t>
  </si>
  <si>
    <t xml:space="preserve"> info@primroserehab.go.ke
</t>
  </si>
  <si>
    <t>https://www.google.com/maps/dir/?api=1&amp;destination=-1.205977916674748,36.835959836401564</t>
  </si>
  <si>
    <t>Diamonds Refined Recovery Centre</t>
  </si>
  <si>
    <t>Mugumo next to ACK Church, Kiu Kenda Kiamumbi -Kiambu</t>
  </si>
  <si>
    <t xml:space="preserve"> 0791 200277/0101 200277</t>
  </si>
  <si>
    <t>diamondsrefinedrc@gmail.com</t>
  </si>
  <si>
    <t>www.diamondsrecovery.com</t>
  </si>
  <si>
    <t>https://www.google.com/maps/dir/?api=1&amp;destination=-1.172574146793912,36.87643348057988</t>
  </si>
  <si>
    <t>Decision Point Wellness Centre</t>
  </si>
  <si>
    <t>hse 35-3rd North Avenue, Lurut Road, Kahawa Sukari</t>
  </si>
  <si>
    <t>0722 816098</t>
  </si>
  <si>
    <t xml:space="preserve">decisionpointwelness@gmail.com
</t>
  </si>
  <si>
    <t>https://www.google.com/maps/dir/?api=1&amp;destination=-1.189063962186287,36.93416602290854</t>
  </si>
  <si>
    <t>New Chapter Place counselling and Rehabilitation Centre</t>
  </si>
  <si>
    <t>The Serenity Place Counselling and Rehabilitation Centre</t>
  </si>
  <si>
    <t>Sober Living and Recovery CBO</t>
  </si>
  <si>
    <t>Behind Spur Mall - Mugutha, Kiambu</t>
  </si>
  <si>
    <t>0720 059363</t>
  </si>
  <si>
    <t xml:space="preserve">soberlivingrc@gmail.com
</t>
  </si>
  <si>
    <t>https://www.google.com/maps/dir/?api=1&amp;destination=-1.1345140840018892,36.96806474989399</t>
  </si>
  <si>
    <t>Snapback Recovery Clinic</t>
  </si>
  <si>
    <t>www.smartlifewellnesscentre.co.ke</t>
  </si>
  <si>
    <t>https://www.google.com/maps/dir/?api=1&amp;destination=-1.1218848829435573%20,36.953550878729466</t>
  </si>
  <si>
    <t>Ambassadors Wellness Centre</t>
  </si>
  <si>
    <t>Mugutha ;Juja, Kiambu</t>
  </si>
  <si>
    <t>0794 656710</t>
  </si>
  <si>
    <t xml:space="preserve">info@ambassadorwellness.com
</t>
  </si>
  <si>
    <t xml:space="preserve">www.ambassadorswellnesscentre.com
</t>
  </si>
  <si>
    <t>https://www.google.com/maps/dir/?api=1&amp;destination=-1.086578040637529,36.964169178206234</t>
  </si>
  <si>
    <t>Tigoni Rehabilitation Centre</t>
  </si>
  <si>
    <t>St George’s road Hse 7/8-Tigoni-Limuru-Kiambu</t>
  </si>
  <si>
    <t>0797 777060</t>
  </si>
  <si>
    <t xml:space="preserve"> admin@tigonitreatment.com
 </t>
  </si>
  <si>
    <t xml:space="preserve">www.tigonitreatment.com
 </t>
  </si>
  <si>
    <t>https://www.google.com/maps/dir/?api=1&amp;destination=-1.1270159180760113,36.67836446469002</t>
  </si>
  <si>
    <t>Kizima Mental Welness Foundation</t>
  </si>
  <si>
    <t>Marafique Arcade-Kenyatta highway -Thika -Kiambu</t>
  </si>
  <si>
    <t>0100 985805</t>
  </si>
  <si>
    <t xml:space="preserve">
 kizimamentalwelnessfoundation.org
 </t>
  </si>
  <si>
    <t>https://www.google.com/maps/dir/?api=1&amp;destination=-0.2746983957625612,36.15544507872494</t>
  </si>
  <si>
    <t>Palm Tree House Limited Rehabilitation Centre</t>
  </si>
  <si>
    <t>Emmanuel African gospel church, sunshine upper hill Kericho Town</t>
  </si>
  <si>
    <t xml:space="preserve"> 0729 888 575</t>
  </si>
  <si>
    <t xml:space="preserve"> palmtreerehab@gmail.com
</t>
  </si>
  <si>
    <t>https://www.google.com/maps/dir/?api=1&amp;destination=-0.37382204139082326,35.28433213824686</t>
  </si>
  <si>
    <t>Save the Family Foundation</t>
  </si>
  <si>
    <t>Mumias West Lukoye Junction near the Mosque</t>
  </si>
  <si>
    <t>0725 121609</t>
  </si>
  <si>
    <t xml:space="preserve"> savefamilyfoundation111@gmail.com
</t>
  </si>
  <si>
    <t>https://www.google.com/maps/dir/?api=1&amp;destination=33.42228454924017%20,-111.82810656276925</t>
  </si>
  <si>
    <t>Goshen Drop in Centre</t>
  </si>
  <si>
    <t>Kambiri Market within Lyson Manyatta Medical Centre</t>
  </si>
  <si>
    <t xml:space="preserve"> 0722 434797</t>
  </si>
  <si>
    <t xml:space="preserve">goshenkakamega@gmail.com
</t>
  </si>
  <si>
    <t>https://www.google.com/maps/dir/?api=1&amp;destination=-1.2666397220059273,36.66808249407336</t>
  </si>
  <si>
    <t>New Dawn Rehabilitation</t>
  </si>
  <si>
    <t>Ongata Rongai</t>
  </si>
  <si>
    <t xml:space="preserve"> 0735 728 508 / 0710627996</t>
  </si>
  <si>
    <t xml:space="preserve"> newdawncentre@gmail.com
 </t>
  </si>
  <si>
    <t>https://www.google.com/maps/dir/?api=1&amp;destination=-1.3960639342644214%20,36.72712798058136</t>
  </si>
  <si>
    <t>Myndspa Rehabilitation Center</t>
  </si>
  <si>
    <t>Kajiado North</t>
  </si>
  <si>
    <t xml:space="preserve"> 0722 816167 / 0777816177</t>
  </si>
  <si>
    <t>themyndspa@gmail.com</t>
  </si>
  <si>
    <t>www.myndsparehab.co.ke</t>
  </si>
  <si>
    <t>https://www.google.com/maps/dir/?api=1&amp;destination=-1.42147253468037,36.72141087873159</t>
  </si>
  <si>
    <t>Crossway Psychometric Institution</t>
  </si>
  <si>
    <t>Laiser Hill Area (East Estate)</t>
  </si>
  <si>
    <t xml:space="preserve"> 0727 011384/0713 695551</t>
  </si>
  <si>
    <t>admin@crosswaypsychometrics.org</t>
  </si>
  <si>
    <t>www.crosswaypsychometrics.org</t>
  </si>
  <si>
    <t>https://www.google.com/maps/dir/?api=1&amp;destination=-1.3929639740907869,36.637368949956326</t>
  </si>
  <si>
    <t>The Retreat Limited</t>
  </si>
  <si>
    <t>Off Oloolua road, off Ngong – Kiserian road</t>
  </si>
  <si>
    <t xml:space="preserve"> 0734 250490 /0796 630063</t>
  </si>
  <si>
    <t xml:space="preserve">info.theretreat@gmail.com
</t>
  </si>
  <si>
    <t>https://www.google.com/maps/dir/?api=1&amp;destination=-1.3618867834399606,36.67455198641466</t>
  </si>
  <si>
    <t>Jabali Wellness center</t>
  </si>
  <si>
    <t>Kajiado North Subcounty off Forest lane road</t>
  </si>
  <si>
    <t xml:space="preserve"> 0740 807939/0757 480261</t>
  </si>
  <si>
    <t xml:space="preserve">info.jabaliwellness@gmail.com
</t>
  </si>
  <si>
    <t>https://www.google.com/maps/dir/?api=1&amp;destination=-1.3720245288614537%20,36.66589646523838</t>
  </si>
  <si>
    <t>Emmanuel Treatment and Rehabilitation Centre</t>
  </si>
  <si>
    <t>Jenniffer Odenyo, Antony Otieno</t>
  </si>
  <si>
    <t xml:space="preserve"> 0700 391662/0703 42679</t>
  </si>
  <si>
    <t xml:space="preserve"> info.etrcenter.org
</t>
  </si>
  <si>
    <t>https://www.google.com/maps/dir/?api=1&amp;destination=-1.374430029139722,36.66392089407417</t>
  </si>
  <si>
    <t>East Africa Rehabilitation Center of Kenya</t>
  </si>
  <si>
    <t xml:space="preserve">Olekasasi near Olekasasi Polytechnic </t>
  </si>
  <si>
    <t xml:space="preserve"> 0721 902702/0722 743110</t>
  </si>
  <si>
    <t xml:space="preserve">cilmr1948@gmail.com
</t>
  </si>
  <si>
    <t>https://www.google.com/maps/dir/?api=1&amp;destination=-1.2673260744887398,36.83873172290909</t>
  </si>
  <si>
    <t>Al Mansur Rehabilitation Centre Limited</t>
  </si>
  <si>
    <t>Kitengela near Blessed Gilgal School Off Old Namanga Road</t>
  </si>
  <si>
    <t xml:space="preserve">0726502053/0711278866
 </t>
  </si>
  <si>
    <t>www. almansurrehabilitationcenter.co.ke</t>
  </si>
  <si>
    <t>https://www.google.com/maps/dir/?api=1&amp;destination=-1.4872922931882642%20,36.954399594074914</t>
  </si>
  <si>
    <t>Kitengela Medical Service Hospital</t>
  </si>
  <si>
    <t xml:space="preserve">Kajiado Town </t>
  </si>
  <si>
    <t xml:space="preserve">0711617235/0727035521 </t>
  </si>
  <si>
    <t>Kitengelamedicalkajiado@gmail.com</t>
  </si>
  <si>
    <t>https://www.google.com/maps/dir/?api=1&amp;destination=-1.4546449889059907,%2036.962192299912644</t>
  </si>
  <si>
    <t>Wajir Rehabilitation Center</t>
  </si>
  <si>
    <t>Wajir High School</t>
  </si>
  <si>
    <t xml:space="preserve"> 0727 641103</t>
  </si>
  <si>
    <t xml:space="preserve"> wajirrehabilitation386@gmail.com
</t>
  </si>
  <si>
    <t>https://www.google.com/maps/dir/?api=1&amp;destination=1.7370864720064878%20,40.05244553639064</t>
  </si>
  <si>
    <t>NEP Nursing and Rehabilitation Centre</t>
  </si>
  <si>
    <t>Garissa town</t>
  </si>
  <si>
    <t xml:space="preserve"> 0716 631823</t>
  </si>
  <si>
    <t xml:space="preserve">neprehabilitation@gmail.com
</t>
  </si>
  <si>
    <t>https://www.google.com/maps/dir/?api=1&amp;destination=-0.43868745630078076,39.650722395442436</t>
  </si>
  <si>
    <t>Mustaqbal Recovery Centre</t>
  </si>
  <si>
    <t xml:space="preserve"> 0117 485912</t>
  </si>
  <si>
    <t xml:space="preserve">mustaqbalrecoverycentre@gmail.com
</t>
  </si>
  <si>
    <t>https://www.google.com/maps/dir/?api=1&amp;destination=-1.167235,36.654818</t>
  </si>
  <si>
    <t>Serenity Home Rehabilitation Centre</t>
  </si>
  <si>
    <t>Mazarello - Embu County</t>
  </si>
  <si>
    <t xml:space="preserve"> 0722 251 484</t>
  </si>
  <si>
    <t>rehabltd@gmail.com</t>
  </si>
  <si>
    <t>www.serenityrehabilitation.co.ke</t>
  </si>
  <si>
    <t>https://www.google.com/maps/dir/?api=1&amp;destination=0.631406,35.303704</t>
  </si>
  <si>
    <t>Cynet Hospital &amp;#038; Rehabilitation Centre</t>
  </si>
  <si>
    <t>Mutunduri Along Embu/Meru Highway – Embu County</t>
  </si>
  <si>
    <t xml:space="preserve"> info@cynerdhospitalrehab.org</t>
  </si>
  <si>
    <r>
      <t xml:space="preserve"> </t>
    </r>
    <r>
      <rPr>
        <u/>
        <sz val="10"/>
        <color rgb="FF1155CC"/>
        <rFont val="Arial"/>
      </rPr>
      <t>www.cynerdhospitalandrehab.org</t>
    </r>
  </si>
  <si>
    <t>https://www.google.com/maps/dir/?api=1&amp;destination=0.670016,35.507841</t>
  </si>
  <si>
    <t>Iten County Referral Hospital Rehabilitation Centre</t>
  </si>
  <si>
    <t>Along Iten-Kapsowar Rd opposite KMTC</t>
  </si>
  <si>
    <t>https://www.google.com/maps/dir/?api=1&amp;destination=0.679129,35.504903</t>
  </si>
  <si>
    <t>Luciana Wellness and Recovery Centre</t>
  </si>
  <si>
    <t>Bugeng’i Area Teso South Sub-County</t>
  </si>
  <si>
    <t xml:space="preserve"> 0757 953634</t>
  </si>
  <si>
    <t xml:space="preserve"> itenhospital@gmail.com</t>
  </si>
  <si>
    <t>www.itenhospital@gmail.com</t>
  </si>
  <si>
    <t>https://www.google.com/maps/dir/?api=1&amp;destination=0.482945%20,34.112999</t>
  </si>
  <si>
    <t>Kingdom Life Christian Ministry Treatment and Recovery Centre</t>
  </si>
  <si>
    <t xml:space="preserve">Marell, opposite KMTC Bungoma </t>
  </si>
  <si>
    <t xml:space="preserve">0716 633744 </t>
  </si>
  <si>
    <t>klcmtxandrecoverycenter@gmail.com</t>
  </si>
  <si>
    <t>https://www.google.com/maps/dir/?api=1&amp;destination=-1.366694,36.709561</t>
  </si>
  <si>
    <t>Western Region National Police Service Rehabilitation and Wellness Centre</t>
  </si>
  <si>
    <t>Within the Regional Police Training Centre</t>
  </si>
  <si>
    <t xml:space="preserve">westernpolice@yahoo.com
</t>
  </si>
  <si>
    <t>https://www.google.com/maps/dir/?api=1&amp;destination=-1.287534,36.824003</t>
  </si>
  <si>
    <t>Phoenix Recovery Centre</t>
  </si>
  <si>
    <t>Elegant Road, next to Wangamati’s Residence</t>
  </si>
  <si>
    <t xml:space="preserve"> 0728 839277</t>
  </si>
  <si>
    <t xml:space="preserve">kwahalf1986@gmail.com
</t>
  </si>
  <si>
    <t>https://www.google.com/maps/dir/?api=1&amp;destination=0.588717,34.553146</t>
  </si>
  <si>
    <t>Disney Detox Counseling Centre</t>
  </si>
  <si>
    <t>Opposite Shell Kanduyi Bungoma</t>
  </si>
  <si>
    <t xml:space="preserve"> 0705 499449</t>
  </si>
  <si>
    <t xml:space="preserve">info@disneydetoxcare.com
</t>
  </si>
  <si>
    <r>
      <rPr>
        <u/>
        <sz val="10"/>
        <color rgb="FF1155CC"/>
        <rFont val="Arial"/>
      </rPr>
      <t>disneydetoxcare.com</t>
    </r>
    <r>
      <rPr>
        <sz val="10"/>
        <color rgb="FF000000"/>
        <rFont val="Arial"/>
        <scheme val="minor"/>
      </rPr>
      <t xml:space="preserve">
</t>
    </r>
  </si>
  <si>
    <t>https://www.google.com/maps/dir/?api=1&amp;destination=0.602854,34.552691</t>
  </si>
  <si>
    <t xml:space="preserve">Half London Webuye East </t>
  </si>
  <si>
    <t xml:space="preserve"> 0725 871040</t>
  </si>
  <si>
    <t xml:space="preserve">promisestreatmentcentre@gmail.com
</t>
  </si>
  <si>
    <t>https://www.google.com/maps/dir/?api=1&amp;destination=0.599103,34.759958</t>
  </si>
  <si>
    <t>Sobon Serenity Centre Baringo Limited</t>
  </si>
  <si>
    <t xml:space="preserve">Along Eldama Ravine - Nakuru Rd at Sollian Village Get directions Contact info [email protected] 0726-510898/0773-030160 </t>
  </si>
  <si>
    <t xml:space="preserve">
0726-510898/0773-030160</t>
  </si>
  <si>
    <t>sobonserenity@gmail.com</t>
  </si>
  <si>
    <t xml:space="preserve">www.sobonserenity.org </t>
  </si>
  <si>
    <t>https://www.google.com/maps/dir/?api=1&amp;destination=-0.008134790728284338,%2035.75433366523103</t>
  </si>
  <si>
    <t>https://lovemattersafrica.com/clinics/list-of-nacada-accredited-rehabilitation-centers-per-county/</t>
  </si>
  <si>
    <t>Key Hotlines in Kenya (FREE)</t>
  </si>
  <si>
    <t>Hotlines</t>
  </si>
  <si>
    <t>📞 Emergency &amp; Health Services
Emergency Services (Police, Fire, Ambulance): 999 / 911 / 112
Ambulance Services (Kenya Red Cross): 1199
🧠 Mental Health &amp; Suicide Prevention
Mental Health Support (EMKF): 0800 723 253 / 0710 633 855
Suicide Prevention (Niskize): 0900 620 800 / 0718 227 440
Befrienders Kenya (Depression, Abuse): +254 722 178177
👶 Child &amp; Youth Protection
Childline Kenya (Child Protection): 116
Missing Child Kenya: 0800 223 344
One2One Youth SRHR (LVCT Health): 1190
🧑‍🤝‍🧑 Gender-Based Violence &amp; Legal Aid
GBV Hotline (Healthcare Assistance Kenya): 1195
FIDA Kenya (Women’s Rights &amp; Legal Aid): +254 722 509760
🍷 Substance Abuse &amp; HIV/AIDS Support
NACADA (Drug &amp; Alcohol Abuse): 1192
HIV/AIDS Support (NASCOP – Ushauri): 0800 724 848
Youth HIV/SRHR Support (LVCT Health): 1190</t>
  </si>
  <si>
    <t>Marie Stopes Rongai</t>
  </si>
  <si>
    <t>Post Abortion Care, Pregnancy Testing 
Clinic Hours
Monday Closed
Tuesday 8:00 am - 5:00 am
Wednesday 8:00 am - 5:00 am
Thursday 8:00 am - 5:00 am
Friday 8:00 am - 5:00 am
Saturday 8:00 am - 5:00 am
Sunday 12:00 am - 12:00 am</t>
  </si>
  <si>
    <t>Unaitas Road
Rongai Business Hub - Next to Tuskys Supermarket
Ongata Rongai</t>
  </si>
  <si>
    <t>0790 553092</t>
  </si>
  <si>
    <t>https://www.google.com/maps/dir/?api=1&amp;destination=-1.3968963003873,36.7535382</t>
  </si>
  <si>
    <t>Olive Link Medical Centre</t>
  </si>
  <si>
    <t>Daily, 24 hours</t>
  </si>
  <si>
    <t>Lunga Lunga Road
Sinai Stage off Wundanyi Street
Nairobi</t>
  </si>
  <si>
    <t xml:space="preserve"> 0701 107300</t>
  </si>
  <si>
    <t xml:space="preserve">olivehealthcare@gmail.com
</t>
  </si>
  <si>
    <t>https://www.google.com/maps/dir/?api=1&amp;destination=-1.3074645,36.8724596</t>
  </si>
  <si>
    <t>Green Cross Clinic</t>
  </si>
  <si>
    <t>8am – 8pm</t>
  </si>
  <si>
    <t>Laini Saba
Soweto, Kibera, near Ghorofani Building
Nairobi</t>
  </si>
  <si>
    <t xml:space="preserve"> 0729 9633424</t>
  </si>
  <si>
    <t xml:space="preserve"> josephahtmwisa@gmail.com
</t>
  </si>
  <si>
    <t>https://www.google.com/maps/dir/?api=1&amp;destination=-1.3152764,36.7996521</t>
  </si>
  <si>
    <t>Koki Medical Clinic</t>
  </si>
  <si>
    <t>8am – 9pm</t>
  </si>
  <si>
    <t>Kayole Corner Market
1st left turn
Nairobi</t>
  </si>
  <si>
    <t xml:space="preserve"> 0708 583805</t>
  </si>
  <si>
    <t xml:space="preserve">kokiclinic@gmail.com
</t>
  </si>
  <si>
    <t>https://www.google.com/maps/dir/?api=1&amp;destination=-1.2920659,36.8219462</t>
  </si>
  <si>
    <t>Mwatate Health Care Centre</t>
  </si>
  <si>
    <t>Tassia
Avenue Park 2 Near Ngong River
Nairobi</t>
  </si>
  <si>
    <t xml:space="preserve"> 0721 865802</t>
  </si>
  <si>
    <t xml:space="preserve">mwatategroup@gmail.com
</t>
  </si>
  <si>
    <t>https://www.google.com/maps/dir/?api=1&amp;destination=-1.3065809,36.8936292</t>
  </si>
  <si>
    <t>Kayole Hospital</t>
  </si>
  <si>
    <t>Kayole Hospital
500m from Market Corner Kayole
Nairobi</t>
  </si>
  <si>
    <t xml:space="preserve"> 0710 365753</t>
  </si>
  <si>
    <t xml:space="preserve"> kayolehospital@yahoo.com
</t>
  </si>
  <si>
    <t>https://www.google.com/maps/dir/?api=1&amp;destination=-1.2705291,36.9197059</t>
  </si>
  <si>
    <t>Mundika Maternity and Nursing Home</t>
  </si>
  <si>
    <t>Ngei 2 Huruma
Along Daniel Comboni Road, 500m from Comboni Church
Nairobi</t>
  </si>
  <si>
    <t xml:space="preserve"> 0722 905830</t>
  </si>
  <si>
    <t xml:space="preserve">mundikanursing@yahoo.com
</t>
  </si>
  <si>
    <t>https://www.google.com/maps/dir/?api=1&amp;destination=-1.2564898,36.8721139</t>
  </si>
  <si>
    <t>Tumaini Medical Clinic</t>
  </si>
  <si>
    <t>8 am to 5 pm</t>
  </si>
  <si>
    <t>Tumaini Lane
Off Kamunde Road near Kwa Chief/Syokimau Safari Homestay
Nairobi</t>
  </si>
  <si>
    <t xml:space="preserve"> 020 7784383</t>
  </si>
  <si>
    <t xml:space="preserve"> tumainiclinics@yahoo.com
</t>
  </si>
  <si>
    <t>https://www.google.com/maps/dir/?api=1&amp;destination=-1.2514169,36.8920339</t>
  </si>
  <si>
    <t>Huruma Nursing Home</t>
  </si>
  <si>
    <t>24 hours daily</t>
  </si>
  <si>
    <t>Huruma Estate
Next to Huruma Stadium
Nairobi</t>
  </si>
  <si>
    <t xml:space="preserve">
 0722 683234</t>
  </si>
  <si>
    <t xml:space="preserve"> hurumanursing@gmail.com</t>
  </si>
  <si>
    <t>https://www.google.com/maps/dir/?api=1&amp;destination=-1.2586058,36.8762541</t>
  </si>
  <si>
    <t>Helpers Clinic</t>
  </si>
  <si>
    <t>Daily 8 am – 8 pm</t>
  </si>
  <si>
    <t>Kamitit Road
Githurai 44
Nairobi</t>
  </si>
  <si>
    <t xml:space="preserve"> 
 0723 515815</t>
  </si>
  <si>
    <t>mmburulamu@yahoo.com</t>
  </si>
  <si>
    <t>https://www.google.com/maps/dir/?api=1&amp;destination=-1.200083,36.9001862</t>
  </si>
  <si>
    <t>Proact Medical and Wellness Centre</t>
  </si>
  <si>
    <t>Daily, 24-hours</t>
  </si>
  <si>
    <t>Market Road
Kahawa West
Nairobi</t>
  </si>
  <si>
    <t>0731 588262</t>
  </si>
  <si>
    <t xml:space="preserve">nderi.phyllis@gmail.com
</t>
  </si>
  <si>
    <t>https://www.google.com/maps/dir/?api=1&amp;destination=-1.1854015,36.9029945</t>
  </si>
  <si>
    <t>Singawa Medical Centre</t>
  </si>
  <si>
    <t>Along Lunger Yalunga Road, Across from Darulum Mosque, near Likoni Police Station
Mombasa</t>
  </si>
  <si>
    <t>0724 619595</t>
  </si>
  <si>
    <t xml:space="preserve">singawaltd@yahoo.com
</t>
  </si>
  <si>
    <t>https://www.google.com/maps/dir/?api=1&amp;destination=-4.0840986,39.6608103</t>
  </si>
  <si>
    <t>CDN VCT</t>
  </si>
  <si>
    <t>Near Cathedral Catholic Church
Nakuru</t>
  </si>
  <si>
    <t>0727 936506</t>
  </si>
  <si>
    <t xml:space="preserve"> cdnpeer@yahoo.com
</t>
  </si>
  <si>
    <t>https://www.google.com/maps/dir/?api=1&amp;destination=-0.2950695,36.0534814</t>
  </si>
  <si>
    <t>Valley Hospital</t>
  </si>
  <si>
    <t>24/7 emergency services. For all other services, please make an appointment.</t>
  </si>
  <si>
    <t>West Road
Nakuru</t>
  </si>
  <si>
    <t>0512 214503</t>
  </si>
  <si>
    <t xml:space="preserve">info@valleyhospital-nku.org
</t>
  </si>
  <si>
    <t>https://www.google.com/maps/dir/?api=1&amp;destination=-0.2884613,36.0634112</t>
  </si>
  <si>
    <t>PCEA Kikuyu Hospital</t>
  </si>
  <si>
    <t>Hospital Road
Kikuyu</t>
  </si>
  <si>
    <t>020 2044766</t>
  </si>
  <si>
    <t xml:space="preserve"> kikuyu@pceakikuyuhospital.org
</t>
  </si>
  <si>
    <t>https://www.google.com/maps/dir/?api=1&amp;destination=-1.2657762,36.667954</t>
  </si>
  <si>
    <t>Coast Province General Hospital</t>
  </si>
  <si>
    <t>Kisauni Road
Mombasa</t>
  </si>
  <si>
    <t>0723 028726</t>
  </si>
  <si>
    <t>chiefadmin@cpgh.co.ke</t>
  </si>
  <si>
    <t>https://www.google.com/maps/dir/?api=1&amp;destination=-4.0491957,39.6737563</t>
  </si>
  <si>
    <t>Mombasa Hospital</t>
  </si>
  <si>
    <t>Off Mama Ngina Drive, close to State House Mombasa
Mombasa</t>
  </si>
  <si>
    <t>0733 333655</t>
  </si>
  <si>
    <t>https://www.google.com/maps/dir/?api=1&amp;destination=-4.078931,39.6706666</t>
  </si>
  <si>
    <t>MEWA Hospital</t>
  </si>
  <si>
    <t>Off Mwanbundu Road
Mombasa</t>
  </si>
  <si>
    <t>0412 493157</t>
  </si>
  <si>
    <t>https://www.google.com/maps/dir/?api=1&amp;destination=-4.0434771,39.6682065</t>
  </si>
  <si>
    <t>Aga Khan Hospital</t>
  </si>
  <si>
    <t>Vanga Road
Mombasa</t>
  </si>
  <si>
    <t>0412 227710-5</t>
  </si>
  <si>
    <t>https://www.google.com/maps/dir/?api=1&amp;destination=-4.0703058,39.6719658</t>
  </si>
  <si>
    <t>Otieno Oyoo Street
Kisumu</t>
  </si>
  <si>
    <t>0572 0200005</t>
  </si>
  <si>
    <t>https://www.google.com/maps/dir/?api=1&amp;destination=-0.0983468,34.7551691</t>
  </si>
  <si>
    <t>Jaramogi Oginga Odinga Teaching and Referral hHospital (JOOTRH)</t>
  </si>
  <si>
    <t>24/7 emergency services. For other services, please call.</t>
  </si>
  <si>
    <t>Jomo Kenyatta Highway
Kisumu</t>
  </si>
  <si>
    <t>0572 020801</t>
  </si>
  <si>
    <t>https://www.google.com/maps/dir/?api=1&amp;destination=-0.0934239,34.7661545</t>
  </si>
  <si>
    <t>St. Mary's Mission Hospital Gilgil</t>
  </si>
  <si>
    <t>Nairobi-Nakuru Road
Nakuru (Gilgil)</t>
  </si>
  <si>
    <t>020 212994</t>
  </si>
  <si>
    <t xml:space="preserve"> stmary@wananchi.com
</t>
  </si>
  <si>
    <t>https://www.google.com/maps/dir/?api=1&amp;destination=-0.4999223,36.3148851</t>
  </si>
  <si>
    <t>Nairobi Women’s Hospital</t>
  </si>
  <si>
    <t>24/7 for emergency services at the hospital. For out-patient services, please call for appointments.</t>
  </si>
  <si>
    <t>Old Nairobi Road, behind Tusky's Hyrax Supermarket
Nakuru</t>
  </si>
  <si>
    <t xml:space="preserve"> info@nwch.co.ke
</t>
  </si>
  <si>
    <t xml:space="preserve"> info@nwch.co.ke
</t>
  </si>
  <si>
    <t>https://www.google.com/maps/dir/?api=1&amp;destination=-0.282371,36.098575</t>
  </si>
  <si>
    <t>Aga Khan Clinic-Capital Centre</t>
  </si>
  <si>
    <t>Mon-Fri: 9am-6pm
Sat &amp;Sun: 10am-4pm
Public holidays: 10am-4pm</t>
  </si>
  <si>
    <t>Mombasa Road, Capital Centre, 1st floor
South B
Nairobi</t>
  </si>
  <si>
    <t xml:space="preserve">
020 3662524</t>
  </si>
  <si>
    <t>capital.clinic@aku.edu</t>
  </si>
  <si>
    <t>https://www.google.com/maps/dir/?api=1&amp;destination=-1.316234,36.834599</t>
  </si>
  <si>
    <t>Familycare Medical Centre</t>
  </si>
  <si>
    <t>Digo Road, Footwear Building, 2nd Floor
Mombasa</t>
  </si>
  <si>
    <t>020 2229370</t>
  </si>
  <si>
    <t>coast@fhok.org</t>
  </si>
  <si>
    <t>https://www.google.com/maps/dir/?api=1&amp;destination=-4.0608457,39.6720892</t>
  </si>
  <si>
    <t>Junction of Oginga Odinga &amp; Market Rd
Nakuru</t>
  </si>
  <si>
    <t>0512 211945</t>
  </si>
  <si>
    <t>nakuru@fhok.org</t>
  </si>
  <si>
    <t>https://www.google.com/maps/dir/?api=1&amp;destination=-0.2896191,36.0676817</t>
  </si>
  <si>
    <t>Mon- Fri: 8.00am to 5.00pm
Saturday: 8.00am to 1.00pm</t>
  </si>
  <si>
    <t>Nandi Road
Eldoret</t>
  </si>
  <si>
    <t>254 532062592</t>
  </si>
  <si>
    <t>eldoret@fhok.org</t>
  </si>
  <si>
    <t>https://www.google.com/maps/dir/?api=1&amp;destination=0.5095347,35.2877393</t>
  </si>
  <si>
    <t>Thika Workshop Road
Thika</t>
  </si>
  <si>
    <t>254 6721935</t>
  </si>
  <si>
    <t>https://www.google.com/maps/dir/?api=1&amp;destination=-1.0351449,37.0726883</t>
  </si>
  <si>
    <t>Off Gumbi Road, Meshack Ndisi Plaza next to Bus Park
Kisumu</t>
  </si>
  <si>
    <t>0738 600086</t>
  </si>
  <si>
    <t>kisumu@fhok.org</t>
  </si>
  <si>
    <t>https://www.google.com/maps/dir/?api=1&amp;destination=-0.0994748,34.7626549</t>
  </si>
  <si>
    <t>Mwendantu Street
Meru</t>
  </si>
  <si>
    <t>254 6432280</t>
  </si>
  <si>
    <t>meru@fhok.org</t>
  </si>
  <si>
    <t>https://www.google.com/maps/dir/?api=1&amp;destination=0.0430602,37.6451841</t>
  </si>
  <si>
    <t>LVCT Health Kisumu</t>
  </si>
  <si>
    <t>Off Gumbi Road
Kisumu</t>
  </si>
  <si>
    <t>020 259456</t>
  </si>
  <si>
    <t>Liverpool VCT Kisumu</t>
  </si>
  <si>
    <t>Achieng' Oneko Road, Tivoli Centre
Kisumu</t>
  </si>
  <si>
    <t>020 2020946</t>
  </si>
  <si>
    <t>https://www.google.com/maps/dir/?api=1&amp;destination=-0.1049642,34.7542861</t>
  </si>
  <si>
    <t>Marie Stopes Kisumu</t>
  </si>
  <si>
    <t>Post Abortion Care, Pregnancy Testing
Monday 8:00 am - 5:00 pm
Tuesday 8:00 am - 5:00 pm
Wednesday 8:00 am - 5:00 pm
Thursday 8:00 am - 5:00 pm
Friday 8:00 am - 5:00 pm
Saturday 8:00 am - 1:00 pm</t>
  </si>
  <si>
    <t>Kisumu/Kakamega Road, Oppo. New Nyanza Hospital
Kisumu</t>
  </si>
  <si>
    <t>0721 471013</t>
  </si>
  <si>
    <t>https://www.google.com/maps/dir/?api=1&amp;destination=-0.0886577,34.7704652</t>
  </si>
  <si>
    <t>Marie Stopes Kisii</t>
  </si>
  <si>
    <t>Hospital Road, Shabana Building, 1st floor. Oppo. Ouru Superstore
Kisii</t>
  </si>
  <si>
    <t>0721 483709</t>
  </si>
  <si>
    <t>https://www.google.com/maps/dir/?api=1&amp;destination=-0.677334,34.779603</t>
  </si>
  <si>
    <t>Marie Stopes Kitale</t>
  </si>
  <si>
    <t>Along Laini Moja Road
Kitale</t>
  </si>
  <si>
    <t>0721 471805</t>
  </si>
  <si>
    <t>https://www.google.com/maps/dir/?api=1&amp;destination=1.0221613,34.9987109</t>
  </si>
  <si>
    <t>Mary Stopes Mombasa</t>
  </si>
  <si>
    <t>Moi Avenue
Ganjoni
Mombasa</t>
  </si>
  <si>
    <t>0721 486564</t>
  </si>
  <si>
    <t>https://www.google.com/maps/dir/?api=1&amp;destination=-4.0609703,39.6607065</t>
  </si>
  <si>
    <t>Marie Stopes Eldoret</t>
  </si>
  <si>
    <t>Uganda Road, J W Mall, Ground Floor, Oppo. Central Bank of Kenya
Eldoret</t>
  </si>
  <si>
    <t>0721 537420</t>
  </si>
  <si>
    <t>https://www.google.com/maps/dir/?api=1&amp;destination=0.5141525,35.2883484</t>
  </si>
  <si>
    <t>Marie Stopes Nakuru</t>
  </si>
  <si>
    <t>Kenyatta Avenue Masters Plaza, 3rd Floor
Nakuru</t>
  </si>
  <si>
    <t>0721 487109</t>
  </si>
  <si>
    <t>https://www.google.com/maps/dir/?api=1&amp;destination=-0.2849853,36.0693113</t>
  </si>
  <si>
    <t>Marie Stopes Nanyuki</t>
  </si>
  <si>
    <t>Nanyuki Buttsons Complex, ground floor
Nanyuki</t>
  </si>
  <si>
    <t>0721 484644</t>
  </si>
  <si>
    <t>https://www.google.com/maps/dir/?api=1&amp;destination=0.0163811,37.078077</t>
  </si>
  <si>
    <t>Marie Stopes Meru</t>
  </si>
  <si>
    <t>Along Kinoru Road
Meru</t>
  </si>
  <si>
    <t>0721 483400</t>
  </si>
  <si>
    <t>https://www.google.com/maps/dir/?api=1&amp;destination=0.0531912,37.6390472</t>
  </si>
  <si>
    <t>Marie Stopes Naivasha</t>
  </si>
  <si>
    <t>Kenyatta Avenue, Oppo. Kinangop Stage
Naivasha</t>
  </si>
  <si>
    <t>0721 486523</t>
  </si>
  <si>
    <t>https://www.google.com/maps/dir/?api=1&amp;destination=-0.723483,36.4427658</t>
  </si>
  <si>
    <t>Marie Stopes Nyeri</t>
  </si>
  <si>
    <t>Kimathi Way, Pamki House, Ground Floor. Opposite Teachers Sacco
Nyeri</t>
  </si>
  <si>
    <t>0800 720005</t>
  </si>
  <si>
    <t>https://www.google.com/maps/dir/?api=1&amp;destination=-0.4225879,36.9536872</t>
  </si>
  <si>
    <t>Marie Stopes Thika</t>
  </si>
  <si>
    <t>Uhuru Street, Kitamaiyu House, 1st floor
Thika</t>
  </si>
  <si>
    <t>0721 471624</t>
  </si>
  <si>
    <t>https://www.google.com/maps/dir/?api=1&amp;destination=-1.0354627,37.0753903</t>
  </si>
  <si>
    <t>Marie Stopes CBD</t>
  </si>
  <si>
    <t>JKUAT Building, 4th floor
Central Business District
Nairobi</t>
  </si>
  <si>
    <t>0721 487163</t>
  </si>
  <si>
    <t>https://www.google.com/maps/dir/?api=1&amp;destination=-1.2843856,36.8210804</t>
  </si>
  <si>
    <t>Marie Stopes Eastleigh</t>
  </si>
  <si>
    <t>Post Abortion Care, Pregnancy Testing
Monday 8:00 am - 6:00 pm
Tuesday 8:00 am - 6:00 pm
Wednesday 8:00 am - 6:00 pm
Thursday 8:00 am - 6:00 pm
Friday 8:00 am - 6:00 pm
Saturday 8:00 am - 6:00 pm
Sunday 8:00 am - 6:00 pm</t>
  </si>
  <si>
    <t>1st Avenue, Eastleigh Nursing Home
Eastleigh
Nairobi</t>
  </si>
  <si>
    <t>0721 467734</t>
  </si>
  <si>
    <t>https://www.google.com/maps/dir/?api=1&amp;destination=-1.269825,36.84819</t>
  </si>
  <si>
    <t>Marie Stopes Kenyatta Market</t>
  </si>
  <si>
    <t>Golf Course Commercial Building, 3rd Floor, Room 3.7
Kenyatta Market
Nairobi</t>
  </si>
  <si>
    <t>0721 477979</t>
  </si>
  <si>
    <t>https://www.google.com/maps/dir/?api=1&amp;destination=-1.3069384,36.8022224</t>
  </si>
  <si>
    <t>Marie Stopes Kangemi</t>
  </si>
  <si>
    <t>Palace Building, Kangemi Shopping Centre
Kangemi
Nairobi</t>
  </si>
  <si>
    <t>0721 483882</t>
  </si>
  <si>
    <t>https://www.google.com/maps/dir/?api=1&amp;destination=-1.2662019,36.7486969</t>
  </si>
  <si>
    <t>Marie Stopes Pangani</t>
  </si>
  <si>
    <t>Agoi Road
Pangani
Nairobi</t>
  </si>
  <si>
    <t>020 387227</t>
  </si>
  <si>
    <t>pangani@mariestopes.or.ke</t>
  </si>
  <si>
    <t>https://www.google.com/maps/dir/?api=1&amp;destination=-1.264964,36.8387121</t>
  </si>
  <si>
    <t>Jamaa Hospital</t>
  </si>
  <si>
    <t>Rabai Road
Makadara
Nairobi</t>
  </si>
  <si>
    <t>020 786547</t>
  </si>
  <si>
    <t xml:space="preserve"> jamaa@edelvaletrust.org</t>
  </si>
  <si>
    <t>https://www.google.com/maps/dir/?api=1&amp;destination=-1.2871322,36.8742048</t>
  </si>
  <si>
    <t>Madina Nursing Home</t>
  </si>
  <si>
    <t>24/7 emergency services, call for opening hours of other services</t>
  </si>
  <si>
    <t>9th Street
Eastleigh
Nairobi</t>
  </si>
  <si>
    <t>020 6761784</t>
  </si>
  <si>
    <t>https://www.google.com/maps/dir/?api=1&amp;destination=-1.2759658,36.8511934</t>
  </si>
  <si>
    <t>Mbagathi District Hospital</t>
  </si>
  <si>
    <t>Mbagathi Way
Mbagathi
Nairobi</t>
  </si>
  <si>
    <t>020 2728530</t>
  </si>
  <si>
    <t>https://www.google.com/maps/dir/?api=1&amp;destination=-1.30729,36.8037575</t>
  </si>
  <si>
    <t>Kileleshwa Medical Plaza</t>
  </si>
  <si>
    <t>Mon-Sun: 7 a.m.- 11 p.m.</t>
  </si>
  <si>
    <t>Kandara Road
Kileleshwa
Nairobi</t>
  </si>
  <si>
    <t>0705 729287</t>
  </si>
  <si>
    <t>https://www.google.com/maps/dir/?api=1&amp;destination=-1.2757039,36.7892886</t>
  </si>
  <si>
    <t>Nairobi Hospital Clinic- Gigiri</t>
  </si>
  <si>
    <t>UN Avenue
Gigiri
Nairobi</t>
  </si>
  <si>
    <t>020 2846702</t>
  </si>
  <si>
    <t>https://www.google.com/maps/dir/?api=1&amp;destination=-1.2328677,36.8124917</t>
  </si>
  <si>
    <t>Nairobi Hospital Clinic- Galleria</t>
  </si>
  <si>
    <t>Langata Road
Karen
Nairobi</t>
  </si>
  <si>
    <t>088 95000</t>
  </si>
  <si>
    <t>https://www.google.com/maps/dir/?api=1&amp;destination=-1.3365109,36.7225034</t>
  </si>
  <si>
    <t>Nairobi Women's Hospital Eastleigh</t>
  </si>
  <si>
    <t>Second Avenue
Eastleigh
Nairobi</t>
  </si>
  <si>
    <t>020 262860</t>
  </si>
  <si>
    <t xml:space="preserve"> info@nwch.co.ke</t>
  </si>
  <si>
    <t>https://www.google.com/maps/dir/?api=1&amp;destination=-1.2724507,36.8504781</t>
  </si>
  <si>
    <t>Nairobi Women's Hospital Kitengela</t>
  </si>
  <si>
    <t>Namanga Road
Kitengela
Kitengela</t>
  </si>
  <si>
    <t>0707 899909</t>
  </si>
  <si>
    <t xml:space="preserve"> info.kitengela@nwch.co.ke</t>
  </si>
  <si>
    <t>https://www.google.com/maps/dir/?api=1&amp;destination=-1.4756024,36.9605943</t>
  </si>
  <si>
    <t>Nairobi Women's Hospital- Rongai</t>
  </si>
  <si>
    <t>Magadi Road
Ongata Rongai
Nairobi</t>
  </si>
  <si>
    <t>0704 135245</t>
  </si>
  <si>
    <t xml:space="preserve"> info.ongatarongai@nwch.co.ke</t>
  </si>
  <si>
    <t>https://www.google.com/maps/dir/?api=1&amp;destination=-1.3966314,36.7479333</t>
  </si>
  <si>
    <t>Nairobi Women's Hospital Adams</t>
  </si>
  <si>
    <t>Kirichwa Road
Kilimani
Nairobi</t>
  </si>
  <si>
    <t>020 2492690</t>
  </si>
  <si>
    <t xml:space="preserve"> info.adams@nwch.co.ke</t>
  </si>
  <si>
    <t>https://www.google.com/maps/dir/?api=1&amp;destination=-1.2942147,36.7817814</t>
  </si>
  <si>
    <t>Tabitha Medical Clinic</t>
  </si>
  <si>
    <t>Kianda
Kibera
Nairobi</t>
  </si>
  <si>
    <t>020 8040633</t>
  </si>
  <si>
    <t xml:space="preserve"> info@carolinaforkibera.org</t>
  </si>
  <si>
    <t>https://www.google.com/maps/dir/?api=1&amp;destination=-1.3120192,36.7745442</t>
  </si>
  <si>
    <t>Glovnet VCT</t>
  </si>
  <si>
    <t>Mbotela
Makadara
Nairobi</t>
  </si>
  <si>
    <t>0721 241325</t>
  </si>
  <si>
    <t>glonsep2000@yahoo.com</t>
  </si>
  <si>
    <t>https://www.google.com/maps/dir/?api=1&amp;destination=-1.2974678,36.8586637</t>
  </si>
  <si>
    <t>Discordant Couples of Kenya VCT</t>
  </si>
  <si>
    <t>Sarang'ombe
Kianda/Ayany, Kibera
Nairobi</t>
  </si>
  <si>
    <t>020 2403829</t>
  </si>
  <si>
    <t>diskok5@gmail.com</t>
  </si>
  <si>
    <t>https://www.google.com/maps/dir/?api=1&amp;destination=-1.3085584,36.7779108</t>
  </si>
  <si>
    <t>Bar Hostess Empowerment Support Program</t>
  </si>
  <si>
    <t>Allsops
Kasarani
Nairobi</t>
  </si>
  <si>
    <t>barhostess@yahoo.com</t>
  </si>
  <si>
    <t>https://www.google.com/maps/dir/?api=1&amp;destination=-1.2487335,36.8721139</t>
  </si>
  <si>
    <t>Crescent Medical Aid Clinic</t>
  </si>
  <si>
    <t>Jamia Plaza
Central Business District
Nairobi</t>
  </si>
  <si>
    <t>020 220811</t>
  </si>
  <si>
    <t>https://www.google.com/maps/dir/?api=1&amp;destination=-1.283033,36.8207404</t>
  </si>
  <si>
    <t>South B Hospital</t>
  </si>
  <si>
    <t>Mon-Fri: 24 hours</t>
  </si>
  <si>
    <t>Kapiti Crescent
South B
Nairobi</t>
  </si>
  <si>
    <t>0722 509165</t>
  </si>
  <si>
    <t>https://www.google.com/maps/dir/?api=1&amp;destination=-1.3120495,36.837615</t>
  </si>
  <si>
    <t>Melchizedek Hospital</t>
  </si>
  <si>
    <t>Naivasha Road
Dagoretti
Nairobi</t>
  </si>
  <si>
    <t>0720 768892</t>
  </si>
  <si>
    <t>https://www.google.com/maps/dir/?api=1&amp;destination=-1.2809462,36.7366141</t>
  </si>
  <si>
    <t>Jamko Health Services</t>
  </si>
  <si>
    <t>Mon-Fri: 8-6
Sat: 8-2</t>
  </si>
  <si>
    <t>Argwings Kodhek Road
Hurlingham
Nairobi</t>
  </si>
  <si>
    <t>020 2730854</t>
  </si>
  <si>
    <t>https://www.google.com/maps/dir/?api=1&amp;destination=-1.293801,36.795243</t>
  </si>
  <si>
    <t>Menelik Medical Centre</t>
  </si>
  <si>
    <t>Daily,  24/7</t>
  </si>
  <si>
    <t>Menelik Road
Kilimani
Nairobi</t>
  </si>
  <si>
    <t>0722 208370</t>
  </si>
  <si>
    <t>https://www.google.com/maps/dir/?api=1&amp;destination=-1.2958564,36.7840181</t>
  </si>
  <si>
    <t>Thika Road Health Services</t>
  </si>
  <si>
    <t>Mon-Fri: 8-6
Sat: 9-3</t>
  </si>
  <si>
    <t>Kasarani Road
Kasarani
Nairobi</t>
  </si>
  <si>
    <t>0722 554672</t>
  </si>
  <si>
    <t>https://www.google.com/maps/dir/?api=1&amp;destination=-1.2232487,36.8993273</t>
  </si>
  <si>
    <t>German Medical Center</t>
  </si>
  <si>
    <t>Mon-Fri: 9-6
Sat: 9-1</t>
  </si>
  <si>
    <t>Mara Road
Nairobi</t>
  </si>
  <si>
    <t>0727 588770</t>
  </si>
  <si>
    <t xml:space="preserve"> info@germanmedicalcenter.net</t>
  </si>
  <si>
    <t>https://www.google.com/maps/dir/?api=1&amp;destination=-1.2982973,36.8131312</t>
  </si>
  <si>
    <t>Canaan Medical Providers</t>
  </si>
  <si>
    <t>Mon-Fri: 8-6
Sat: 8-1</t>
  </si>
  <si>
    <t>Mama Ngina Street
Central Business District
Nairobi</t>
  </si>
  <si>
    <t>020 341896</t>
  </si>
  <si>
    <t>https://www.google.com/maps/dir/?api=1&amp;destination=-1.2857399,36.8235975</t>
  </si>
  <si>
    <t>Ben-Ammi Medical Centre</t>
  </si>
  <si>
    <t>Ngong Road
Upper Hill
Nairobi</t>
  </si>
  <si>
    <t>020 2737987</t>
  </si>
  <si>
    <t>https://www.google.com/maps/dir/?api=1&amp;destination=-1.2947825,36.8106501</t>
  </si>
  <si>
    <t>Acacia Medical Centre</t>
  </si>
  <si>
    <t>Ralph Bunche Road
Upper Hill
Nairobi</t>
  </si>
  <si>
    <t xml:space="preserve"> 020 2711611</t>
  </si>
  <si>
    <t xml:space="preserve"> info@acaciamed.co.ke</t>
  </si>
  <si>
    <t>https://www.google.com/maps/dir/?api=1&amp;destination=-1.2946419,36.8062612</t>
  </si>
  <si>
    <t>Mon-Fri: 8-8
Sat: 9-3</t>
  </si>
  <si>
    <t>Kenyatta Avenue
Central Business District
Nairobi</t>
  </si>
  <si>
    <t>https://www.google.com/maps/dir/?api=1&amp;destination=-1.2866945,36.816937</t>
  </si>
  <si>
    <t>Aga Khan Clinic, Ongata Rongai</t>
  </si>
  <si>
    <t>Kiserian Road
Ongata Rongai
Nairobi</t>
  </si>
  <si>
    <t>020 3662534</t>
  </si>
  <si>
    <t>https://www.google.com/maps/dir/?api=1&amp;destination=-1.426769,36.691238</t>
  </si>
  <si>
    <t>Aga Khan Clinic, Kitengela</t>
  </si>
  <si>
    <t>0456 622189</t>
  </si>
  <si>
    <t>Aga Khan Clinic, Langata</t>
  </si>
  <si>
    <t>Langata Road
Langata/Nairobi West
Nairobi</t>
  </si>
  <si>
    <t>0738 802883</t>
  </si>
  <si>
    <t>https://www.google.com/maps/dir/?api=1&amp;destination=-1.3173483,36.8124862</t>
  </si>
  <si>
    <t>Aga Khan Buruburu Medical Centre</t>
  </si>
  <si>
    <t>Doctors Consultation
 Laboratory
 Pharmacy
 Nursing Services
 Minor Procedures
Family Planning
 Physiotherapy
 Antenatal Services
 Postnatal Services
 Imaging/Ultrasound
 Child Welfare Clinic/Well Baby Clinic
 Vaccination
 Specialist Services
 Wellness Clinic</t>
  </si>
  <si>
    <t>Mumias South Road
Embakasi
Nairobi</t>
  </si>
  <si>
    <t>0712 701295, 
0719 888444, 
0733 809916</t>
  </si>
  <si>
    <t>https://www.google.com/maps/dir/?api=1&amp;destination=-1.2902235,36.8823437</t>
  </si>
  <si>
    <t>Aga Khan Clinic, Thika</t>
  </si>
  <si>
    <t>Kenyatta Highway
Thika</t>
  </si>
  <si>
    <t>0254 6731329</t>
  </si>
  <si>
    <t>https://www.google.com/maps/dir/?api=1&amp;destination=-1.0406156,37.0716545</t>
  </si>
  <si>
    <t>Aga Khan Clinic, Eastleigh</t>
  </si>
  <si>
    <t>General Waruingi Street
Eastleigh
Nairobi</t>
  </si>
  <si>
    <t>020 6767941</t>
  </si>
  <si>
    <t>https://www.google.com/maps/dir/?api=1&amp;destination=-1.2800689,36.8444151</t>
  </si>
  <si>
    <t>Aga Khan Clinic, CBD</t>
  </si>
  <si>
    <t>Wabera Street
Central Business District
Nairobi</t>
  </si>
  <si>
    <t>020 3662000</t>
  </si>
  <si>
    <t>https://www.google.com/maps/dir/?api=1&amp;destination=-1.2852219,36.8220084</t>
  </si>
  <si>
    <t>Aga Khan Donholm</t>
  </si>
  <si>
    <t>Mon-Fri: 8-8
Sat: 9-6
Public holidays: 10-4</t>
  </si>
  <si>
    <t>Outerring Road
AAR Donholm Centre Building
Nairobi</t>
  </si>
  <si>
    <t>0733 881420</t>
  </si>
  <si>
    <t>https://www.google.com/maps/dir/?api=1&amp;destination=-1.301341,36.888382</t>
  </si>
  <si>
    <t>Landmark Plaza Clinic/Nairobi IVF Clinic</t>
  </si>
  <si>
    <t>Meridian Medical Centre</t>
  </si>
  <si>
    <t>0572 506712</t>
  </si>
  <si>
    <t>Kibera South Dispensary</t>
  </si>
  <si>
    <t>Lindi
Kibera
Nairobi</t>
  </si>
  <si>
    <t xml:space="preserve">
 0720 115087</t>
  </si>
  <si>
    <t>msfb-nairobi-kibera@brussels.org</t>
  </si>
  <si>
    <t>https://www.google.com/maps/dir/?api=1&amp;destination=-1.3156087,36.7920489</t>
  </si>
  <si>
    <t>Luthuli Street
Central Business District
Nairobi</t>
  </si>
  <si>
    <t>020 229370</t>
  </si>
  <si>
    <t xml:space="preserve"> info@fhok.org
</t>
  </si>
  <si>
    <t>https://www.google.com/maps/dir/?api=1&amp;destination=-1.2841889,36.8278135</t>
  </si>
  <si>
    <t>020 342323</t>
  </si>
  <si>
    <t>Nairobi West Familycare Medical Centre</t>
  </si>
  <si>
    <t>Emergency services 24/7</t>
  </si>
  <si>
    <t>Langata Road
Nairobi West
Nairobi</t>
  </si>
  <si>
    <t>0710 44057</t>
  </si>
  <si>
    <t>https://www.google.com/maps/dir/?api=1&amp;destination=-1.3362692,36.7757822</t>
  </si>
  <si>
    <t>MP Shah Hospital</t>
  </si>
  <si>
    <t>Emergency Services: 24/7
All other services have varying opening hours, please call for more information!</t>
  </si>
  <si>
    <t>Shivachi Road
Parklands
Nairobi</t>
  </si>
  <si>
    <t>020 3742763</t>
  </si>
  <si>
    <t xml:space="preserve"> info@mpshahhosp.org
</t>
  </si>
  <si>
    <t>https://www.google.com/maps/dir/?api=1&amp;destination=-1.2632128,36.8118625</t>
  </si>
  <si>
    <t>Nairobi Women's Hospital</t>
  </si>
  <si>
    <t>020 2726821</t>
  </si>
  <si>
    <t xml:space="preserve">info@nwch.co.ke
</t>
  </si>
  <si>
    <t>Bristol Park Hospital</t>
  </si>
  <si>
    <t>Tassia Estate
Embakasi
Nairobi</t>
  </si>
  <si>
    <t>0722 178014</t>
  </si>
  <si>
    <t xml:space="preserve"> info@bristolpark.or.ke
</t>
  </si>
  <si>
    <t>St. Mary's Mission Hospital</t>
  </si>
  <si>
    <t>Mugumoini
Langata
Nairobi</t>
  </si>
  <si>
    <t>020 2052720</t>
  </si>
  <si>
    <t>https://www.google.com/maps/dir/?api=1&amp;destination=-1.3640944,36.7476257</t>
  </si>
  <si>
    <t>Nairobi Equator Hospital</t>
  </si>
  <si>
    <t>Muhoho Avenue
Nairobi West
Nairobi</t>
  </si>
  <si>
    <t>020 604720</t>
  </si>
  <si>
    <t>info@meridianequator.com</t>
  </si>
  <si>
    <t>https://www.google.com/maps/dir/?api=1&amp;destination=-1.3131998,36.8266525</t>
  </si>
  <si>
    <t>Nairobi West Hospital</t>
  </si>
  <si>
    <t>Ghandi Avenue
Nairobi West
Nairobi</t>
  </si>
  <si>
    <t>020 602684</t>
  </si>
  <si>
    <t xml:space="preserve">enquiry@nairobiwesthospital.com
</t>
  </si>
  <si>
    <t>https://www.google.com/maps/dir/?api=1&amp;destination=-1.3070277,36.825389</t>
  </si>
  <si>
    <t>Coptic Hospital</t>
  </si>
  <si>
    <t>Ngong Road
Kilimani
Nairobi</t>
  </si>
  <si>
    <t>0722 795498</t>
  </si>
  <si>
    <t xml:space="preserve"> coptichospital@copticmission.org</t>
  </si>
  <si>
    <t>https://www.google.com/maps/dir/?api=1&amp;destination=-1.2994605,36.7906854</t>
  </si>
  <si>
    <t>Metropolitan Hospital</t>
  </si>
  <si>
    <t>Rabai Road
Eastlands
Nairobi</t>
  </si>
  <si>
    <t>020 2020263</t>
  </si>
  <si>
    <t>healthcare@metro-hospital.com</t>
  </si>
  <si>
    <t>Mater Hospital</t>
  </si>
  <si>
    <t>Mukenia Road
South B/Industrial Area
Nairobi</t>
  </si>
  <si>
    <t>020 6531199</t>
  </si>
  <si>
    <t xml:space="preserve"> inform@materkenya.com</t>
  </si>
  <si>
    <t>https://www.google.com/maps/dir/?api=1&amp;destination=-1.3092203,36.8337427</t>
  </si>
  <si>
    <t>Avenue Healthcare Clinic, Ngong Road</t>
  </si>
  <si>
    <t>020 3862540</t>
  </si>
  <si>
    <t xml:space="preserve"> ngongroad@avenuehealthcare.com</t>
  </si>
  <si>
    <t>Avenue Healthcare Clinic, Embakasi</t>
  </si>
  <si>
    <t>Mon-Fri: 8 a.m.-8p.m.
Weekends and public holiday: 8 a.m.-2p.m.</t>
  </si>
  <si>
    <t>North Airport Road
Embakasi
Nairobi</t>
  </si>
  <si>
    <t>020 2573243</t>
  </si>
  <si>
    <t>embakasi@avenuehealthcare.com</t>
  </si>
  <si>
    <t>https://www.google.com/maps/dir/?api=1&amp;destination=-1.3217247,36.9034926</t>
  </si>
  <si>
    <t>Avenue Healthcare Clinic, Eastlands</t>
  </si>
  <si>
    <t>Mon-Fri: 8 a.m.-8p.m.
Weekends and public holidays: 8 a.m.-2p.m.</t>
  </si>
  <si>
    <t>Mumias Road
Buruburu
Nairobi</t>
  </si>
  <si>
    <t>020 7780431</t>
  </si>
  <si>
    <t>buruburu@avenuehealthcare.com</t>
  </si>
  <si>
    <t>https://www.google.com/maps/dir/?api=1&amp;destination=-1.2828645,36.8799036</t>
  </si>
  <si>
    <t>Avenue Healthcare Clinic Industrial Area</t>
  </si>
  <si>
    <t>Mon-Fri: 8 a.m.-6p.m.
Sat: 8 a.m.-2 p.m.</t>
  </si>
  <si>
    <t>Enterprise Road
Industrial Area
Nairobi</t>
  </si>
  <si>
    <t>020 532542</t>
  </si>
  <si>
    <t xml:space="preserve"> entreprise@avenuehealthcare.com
</t>
  </si>
  <si>
    <t>https://www.google.com/maps/dir/?api=1&amp;destination=-1.3147737,36.859145</t>
  </si>
  <si>
    <t>Avenue Healthcare Clinic CBD</t>
  </si>
  <si>
    <t>Mon-Fri: 8a.m.-8p.m.
Sat: 8a.m.-5p.m.
Sun and public holidays: 10 a.m.-2p.m.</t>
  </si>
  <si>
    <t>Monrovia Street
Central Business District
Nairobi</t>
  </si>
  <si>
    <t>020 2219170</t>
  </si>
  <si>
    <t>town@avenuehealthcare.com</t>
  </si>
  <si>
    <t>https://www.google.com/maps/dir/?api=1&amp;destination=-1.2813094,36.8180449</t>
  </si>
  <si>
    <t>Avenue Hospital</t>
  </si>
  <si>
    <t>1st Parklands Avenue
Parklands
Nairobi</t>
  </si>
  <si>
    <t>0732 175000</t>
  </si>
  <si>
    <t>doctors@avenuehealthcare.com</t>
  </si>
  <si>
    <t>https://www.google.com/maps/dir/?api=1&amp;destination=-1.26327,36.8159483</t>
  </si>
  <si>
    <t>Nairobi Hospital</t>
  </si>
  <si>
    <t>Arwings Kodhek Road
Upper Hill
Nairobi</t>
  </si>
  <si>
    <t>020 2845000</t>
  </si>
  <si>
    <t>hosp@nairobihospital.org</t>
  </si>
  <si>
    <t>https://www.google.com/maps/dir/?api=1&amp;destination=-1.2924942,36.7884358</t>
  </si>
  <si>
    <t>3rd Parklands Avenue
Parklands
Nairobi</t>
  </si>
  <si>
    <t>contact-us@aku.edu</t>
  </si>
  <si>
    <t>https://www.google.com/maps/dir/?api=1&amp;destination=-1.2599001,36.8179083</t>
  </si>
  <si>
    <t>Kenyatta Hospital</t>
  </si>
  <si>
    <t>Hospital Road
Hurlingham
Nairobi</t>
  </si>
  <si>
    <t>020 2726450</t>
  </si>
  <si>
    <t>knhadmin@knh.or.ke</t>
  </si>
  <si>
    <t>https://www.google.com/maps/dir/?api=1&amp;destination=-1.293722,36.7960752</t>
  </si>
  <si>
    <t>Mariakani Cottage Hospital</t>
  </si>
  <si>
    <t>Mchumbi Road
South B/Langata
Nairobi</t>
  </si>
  <si>
    <t>020 559261</t>
  </si>
  <si>
    <t>mcottage@mchkenya.org</t>
  </si>
  <si>
    <t>Karen Hospital</t>
  </si>
  <si>
    <t>020 6613000</t>
  </si>
  <si>
    <t>info@karenhospital.org</t>
  </si>
  <si>
    <t>Rotaract VCT Centre</t>
  </si>
  <si>
    <t>Mon-Sat: 9a.m.-5 p.m.</t>
  </si>
  <si>
    <t>Standard Street, Phoenix House
Central Business District
Nairobi</t>
  </si>
  <si>
    <t>020 2247470</t>
  </si>
  <si>
    <t>https://www.google.com/maps/dir/?api=1&amp;destination=-1.2849745,36.8211491</t>
  </si>
  <si>
    <t>Zinduka Clinic</t>
  </si>
  <si>
    <t>Mon-Sat: 8 a.m.-5p.m.</t>
  </si>
  <si>
    <t>Muhoho Road
South C
Nairobi</t>
  </si>
  <si>
    <t xml:space="preserve"> info@zinduka-afrika.org</t>
  </si>
  <si>
    <t>https://www.google.com/maps/dir/?api=1&amp;destination=-1.3244204,36.8261538</t>
  </si>
  <si>
    <t>Kitengela Centre of Hope</t>
  </si>
  <si>
    <t>Namanga Road
Kitengela</t>
  </si>
  <si>
    <t>0738 267525</t>
  </si>
  <si>
    <t>hope@hopewwkenya.org</t>
  </si>
  <si>
    <t>Mukuru Centre of Hope</t>
  </si>
  <si>
    <t>Mukuru
Nairobi</t>
  </si>
  <si>
    <t>0720 961082</t>
  </si>
  <si>
    <t>https://www.google.com/maps/dir/?api=1&amp;destination=-1.3213091,36.884217</t>
  </si>
  <si>
    <t>Romieva Medical Centre</t>
  </si>
  <si>
    <t xml:space="preserve">Mon-Sat: 9a.m.-5p.m. </t>
  </si>
  <si>
    <t>Utawala
Embakasi
Nairobi</t>
  </si>
  <si>
    <t>0202 674117</t>
  </si>
  <si>
    <t xml:space="preserve">romievamedicalcentre@yahoo.com
</t>
  </si>
  <si>
    <t>https://www.google.com/maps/dir/?api=1&amp;destination=-1.3099889,36.9319993</t>
  </si>
  <si>
    <t>Oasis Medical Clinic</t>
  </si>
  <si>
    <t>Dandora Phase II
Njiru
Nairobi</t>
  </si>
  <si>
    <t>0720 928381</t>
  </si>
  <si>
    <t xml:space="preserve">sebastiannyaga@yahoo.com
</t>
  </si>
  <si>
    <t>https://www.google.com/maps/dir/?api=1&amp;destination=-1.2482996,36.9025814</t>
  </si>
  <si>
    <t>Penda Health Clinic</t>
  </si>
  <si>
    <t>Mon-Sat: 8 a.m.-5 p.m.</t>
  </si>
  <si>
    <t>0707 337992</t>
  </si>
  <si>
    <t xml:space="preserve"> info@pendahealth.com
</t>
  </si>
  <si>
    <t>Focus Medical Clinic</t>
  </si>
  <si>
    <t>Githurai 45
Kasarani
Nairobi</t>
  </si>
  <si>
    <t>0208 11348</t>
  </si>
  <si>
    <t xml:space="preserve">emmawangari72@yahoo.com
</t>
  </si>
  <si>
    <t>https://www.google.com/maps/dir/?api=1&amp;destination=-1.20463,36.915328</t>
  </si>
  <si>
    <t>Matasia Nursing Home</t>
  </si>
  <si>
    <t>Upper Matasia
Kiserian
nairobi</t>
  </si>
  <si>
    <t>0723 385515</t>
  </si>
  <si>
    <t>https://www.google.com/maps/dir/?api=1&amp;destination=-1.4251869,36.6936512</t>
  </si>
  <si>
    <t>Susamed Medical Clinic</t>
  </si>
  <si>
    <t>Mon-Sat: 8 a.m - 6 p.m.</t>
  </si>
  <si>
    <t>Kayole 1
Embakasi
Nairobi</t>
  </si>
  <si>
    <t>0722 674045</t>
  </si>
  <si>
    <t xml:space="preserve">susankamore@yahoo.com
</t>
  </si>
  <si>
    <t>https://www.google.com/maps/dir/?api=1&amp;destination=-1.2630045,36.9210014</t>
  </si>
  <si>
    <t>Imara Health Centre</t>
  </si>
  <si>
    <t>Daily , 24/7</t>
  </si>
  <si>
    <t>Mukurukwa NjengaAirport North Road
Embakasi
Nairobi</t>
  </si>
  <si>
    <t>0724 170675</t>
  </si>
  <si>
    <t xml:space="preserve"> imaramed@yahoo.com
</t>
  </si>
  <si>
    <t>https://www.google.com/maps/dir/?api=1&amp;destination=-1.3229601,36.9013312</t>
  </si>
  <si>
    <t>St. Thomas Medical Clinic</t>
  </si>
  <si>
    <t>Mumias South Road
Umoja
Nairobi</t>
  </si>
  <si>
    <t>020 781668</t>
  </si>
  <si>
    <t xml:space="preserve">hellen0862@yahoo.com
</t>
  </si>
  <si>
    <t>Liverpool VCT CBD</t>
  </si>
  <si>
    <t>Mon-Sat: 8 a.m. – 7 p.m.</t>
  </si>
  <si>
    <t>Moi Avenue
Central Business District
Nairobi</t>
  </si>
  <si>
    <t>020 2714590</t>
  </si>
  <si>
    <t xml:space="preserve">enquiries@lvct.org
</t>
  </si>
  <si>
    <t>https://www.google.com/maps/dir/?api=1&amp;destination=-1.2809713,36.8212399</t>
  </si>
  <si>
    <t>LVCT Health Kawangware</t>
  </si>
  <si>
    <t>Mon – Sat: 8 a.m. – 5 p.m.</t>
  </si>
  <si>
    <t xml:space="preserve">Sokoni Arcade
Kawangware
Nairobi
</t>
  </si>
  <si>
    <t xml:space="preserve">0724 256026
</t>
  </si>
  <si>
    <t>https://www.google.com/maps/dir/?api=1&amp;destination=-1.2864403,36.7452228</t>
  </si>
  <si>
    <t>LVCT Health</t>
  </si>
  <si>
    <t>020 2646692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</si>
</sst>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maps/dir/?api=1&amp;destination=-1.1673058601974466%20,36.63916180756554" TargetMode="External"/><Relationship Id="rId21" Type="http://schemas.openxmlformats.org/officeDocument/2006/relationships/hyperlink" Target="https://www.google.com/maps/dir/?api=1&amp;destination=-0.8277458448325485,36.34189296338503" TargetMode="External"/><Relationship Id="rId63" Type="http://schemas.openxmlformats.org/officeDocument/2006/relationships/hyperlink" Target="http://www.manderawellnesscentre.com/" TargetMode="External"/><Relationship Id="rId159" Type="http://schemas.openxmlformats.org/officeDocument/2006/relationships/hyperlink" Target="https://www.google.com/maps/dir/?api=1&amp;destination=-1.287534,36.824003" TargetMode="External"/><Relationship Id="rId170" Type="http://schemas.openxmlformats.org/officeDocument/2006/relationships/hyperlink" Target="https://www.google.com/maps/dir/?api=1&amp;destination=-1.2920659,36.8219462" TargetMode="External"/><Relationship Id="rId226" Type="http://schemas.openxmlformats.org/officeDocument/2006/relationships/hyperlink" Target="https://www.google.com/maps/dir/?api=1&amp;destination=-1.2974678,36.8586637" TargetMode="External"/><Relationship Id="rId268" Type="http://schemas.openxmlformats.org/officeDocument/2006/relationships/hyperlink" Target="https://www.google.com/maps/dir/?api=1&amp;destination=-1.26327,36.8159483" TargetMode="External"/><Relationship Id="rId32" Type="http://schemas.openxmlformats.org/officeDocument/2006/relationships/hyperlink" Target="http://www.chiromo.co.ke/" TargetMode="External"/><Relationship Id="rId74" Type="http://schemas.openxmlformats.org/officeDocument/2006/relationships/hyperlink" Target="http://www.nolan-jamescentre.org/" TargetMode="External"/><Relationship Id="rId128" Type="http://schemas.openxmlformats.org/officeDocument/2006/relationships/hyperlink" Target="https://www.google.com/maps/dir/?api=1&amp;destination=-1.1218848829435573%20,36.953550878729466" TargetMode="External"/><Relationship Id="rId5" Type="http://schemas.openxmlformats.org/officeDocument/2006/relationships/hyperlink" Target="https://www.google.com/maps/dir/?api=1&amp;destination=0.5080951382693916,35.30420814934346" TargetMode="External"/><Relationship Id="rId181" Type="http://schemas.openxmlformats.org/officeDocument/2006/relationships/hyperlink" Target="https://www.google.com/maps/dir/?api=1&amp;destination=-1.2657762,36.667954" TargetMode="External"/><Relationship Id="rId237" Type="http://schemas.openxmlformats.org/officeDocument/2006/relationships/hyperlink" Target="https://www.google.com/maps/dir/?api=1&amp;destination=-1.2947825,36.8106501" TargetMode="External"/><Relationship Id="rId279" Type="http://schemas.openxmlformats.org/officeDocument/2006/relationships/hyperlink" Target="https://www.google.com/maps/dir/?api=1&amp;destination=-1.2482996,36.9025814" TargetMode="External"/><Relationship Id="rId43" Type="http://schemas.openxmlformats.org/officeDocument/2006/relationships/hyperlink" Target="https://www.google.com/maps/dir/?api=1&amp;destination=-1.1783965003005863,36.84198279592287" TargetMode="External"/><Relationship Id="rId139" Type="http://schemas.openxmlformats.org/officeDocument/2006/relationships/hyperlink" Target="http://www.myndsparehab.co.ke/" TargetMode="External"/><Relationship Id="rId85" Type="http://schemas.openxmlformats.org/officeDocument/2006/relationships/hyperlink" Target="http://www.mewa.or.ke/" TargetMode="External"/><Relationship Id="rId150" Type="http://schemas.openxmlformats.org/officeDocument/2006/relationships/hyperlink" Target="https://www.google.com/maps/dir/?api=1&amp;destination=-0.43868745630078076,39.650722395442436" TargetMode="External"/><Relationship Id="rId171" Type="http://schemas.openxmlformats.org/officeDocument/2006/relationships/hyperlink" Target="https://www.google.com/maps/dir/?api=1&amp;destination=-1.3065809,36.8936292" TargetMode="External"/><Relationship Id="rId192" Type="http://schemas.openxmlformats.org/officeDocument/2006/relationships/hyperlink" Target="https://www.google.com/maps/dir/?api=1&amp;destination=-0.2896191,36.0676817" TargetMode="External"/><Relationship Id="rId206" Type="http://schemas.openxmlformats.org/officeDocument/2006/relationships/hyperlink" Target="https://www.google.com/maps/dir/?api=1&amp;destination=0.0531912,37.6390472" TargetMode="External"/><Relationship Id="rId227" Type="http://schemas.openxmlformats.org/officeDocument/2006/relationships/hyperlink" Target="https://www.google.com/maps/dir/?api=1&amp;destination=-1.3085584,36.7779108" TargetMode="External"/><Relationship Id="rId248" Type="http://schemas.openxmlformats.org/officeDocument/2006/relationships/hyperlink" Target="https://www.google.com/maps/dir/?api=1&amp;destination=-1.293801,36.795243" TargetMode="External"/><Relationship Id="rId269" Type="http://schemas.openxmlformats.org/officeDocument/2006/relationships/hyperlink" Target="https://www.google.com/maps/dir/?api=1&amp;destination=-1.2924942,36.7884358" TargetMode="External"/><Relationship Id="rId12" Type="http://schemas.openxmlformats.org/officeDocument/2006/relationships/hyperlink" Target="https://www.google.com/maps/dir/?api=1&amp;destination=-0.39885369943685584,36.91446792475418" TargetMode="External"/><Relationship Id="rId33" Type="http://schemas.openxmlformats.org/officeDocument/2006/relationships/hyperlink" Target="https://www.google.com/maps/dir/?api=1&amp;destination=-1.2651969443343396,36.809871297721216" TargetMode="External"/><Relationship Id="rId108" Type="http://schemas.openxmlformats.org/officeDocument/2006/relationships/hyperlink" Target="https://www.google.com/maps/dir/?api=1&amp;destination=-1.1671210867897739,36.883020692222715" TargetMode="External"/><Relationship Id="rId129" Type="http://schemas.openxmlformats.org/officeDocument/2006/relationships/hyperlink" Target="http://www.ambassadorswellnesscentre.com/" TargetMode="External"/><Relationship Id="rId280" Type="http://schemas.openxmlformats.org/officeDocument/2006/relationships/hyperlink" Target="https://www.google.com/maps/dir/?api=1&amp;destination=-1.4756024,36.9605943" TargetMode="External"/><Relationship Id="rId54" Type="http://schemas.openxmlformats.org/officeDocument/2006/relationships/hyperlink" Target="http://www.mewa.or.ke/" TargetMode="External"/><Relationship Id="rId75" Type="http://schemas.openxmlformats.org/officeDocument/2006/relationships/hyperlink" Target="https://www.google.com/maps/dir/?api=1&amp;destination=-0.11789512191511613,34.78914933454557" TargetMode="External"/><Relationship Id="rId96" Type="http://schemas.openxmlformats.org/officeDocument/2006/relationships/hyperlink" Target="https://www.google.com/maps/dir/?api=1&amp;destination=-1.2037780782843577,36.840566978729996" TargetMode="External"/><Relationship Id="rId140" Type="http://schemas.openxmlformats.org/officeDocument/2006/relationships/hyperlink" Target="https://www.google.com/maps/dir/?api=1&amp;destination=-1.42147253468037,36.72141087873159" TargetMode="External"/><Relationship Id="rId161" Type="http://schemas.openxmlformats.org/officeDocument/2006/relationships/hyperlink" Target="http://disneydetoxcare.com/" TargetMode="External"/><Relationship Id="rId182" Type="http://schemas.openxmlformats.org/officeDocument/2006/relationships/hyperlink" Target="https://www.google.com/maps/dir/?api=1&amp;destination=-4.0491957,39.6737563" TargetMode="External"/><Relationship Id="rId217" Type="http://schemas.openxmlformats.org/officeDocument/2006/relationships/hyperlink" Target="https://www.google.com/maps/dir/?api=1&amp;destination=-1.30729,36.8037575" TargetMode="External"/><Relationship Id="rId6" Type="http://schemas.openxmlformats.org/officeDocument/2006/relationships/hyperlink" Target="https://www.google.com/maps/dir/?api=1&amp;destination=0.5018587248443283,35.28822222763667" TargetMode="External"/><Relationship Id="rId238" Type="http://schemas.openxmlformats.org/officeDocument/2006/relationships/hyperlink" Target="https://www.google.com/maps/dir/?api=1&amp;destination=-1.2946419,36.8062612" TargetMode="External"/><Relationship Id="rId259" Type="http://schemas.openxmlformats.org/officeDocument/2006/relationships/hyperlink" Target="https://www.google.com/maps/dir/?api=1&amp;destination=-1.3070277,36.825389" TargetMode="External"/><Relationship Id="rId23" Type="http://schemas.openxmlformats.org/officeDocument/2006/relationships/hyperlink" Target="https://www.google.com/maps/dir/?api=1&amp;destination=-0.359787512644005,36.15107159406827" TargetMode="External"/><Relationship Id="rId119" Type="http://schemas.openxmlformats.org/officeDocument/2006/relationships/hyperlink" Target="http://www.doveinternational.co.ke/" TargetMode="External"/><Relationship Id="rId270" Type="http://schemas.openxmlformats.org/officeDocument/2006/relationships/hyperlink" Target="https://www.google.com/maps/dir/?api=1&amp;destination=-1.2599001,36.8179083" TargetMode="External"/><Relationship Id="rId44" Type="http://schemas.openxmlformats.org/officeDocument/2006/relationships/hyperlink" Target="https://www.google.com/maps/dir/?api=1&amp;destination=-1.2781551753787026,%2036.97263262290911" TargetMode="External"/><Relationship Id="rId65" Type="http://schemas.openxmlformats.org/officeDocument/2006/relationships/hyperlink" Target="http://www.goodshepherehabilitation.co.ke/" TargetMode="External"/><Relationship Id="rId86" Type="http://schemas.openxmlformats.org/officeDocument/2006/relationships/hyperlink" Target="https://www.google.com/maps/dir/?api=1&amp;destination=-3.5103616614399833,39.909369809435205" TargetMode="External"/><Relationship Id="rId130" Type="http://schemas.openxmlformats.org/officeDocument/2006/relationships/hyperlink" Target="https://www.google.com/maps/dir/?api=1&amp;destination=-1.086578040637529,36.964169178206234" TargetMode="External"/><Relationship Id="rId151" Type="http://schemas.openxmlformats.org/officeDocument/2006/relationships/hyperlink" Target="https://www.google.com/maps/dir/?api=1&amp;destination=-1.167235,36.654818" TargetMode="External"/><Relationship Id="rId172" Type="http://schemas.openxmlformats.org/officeDocument/2006/relationships/hyperlink" Target="https://www.google.com/maps/dir/?api=1&amp;destination=-1.2705291,36.9197059" TargetMode="External"/><Relationship Id="rId193" Type="http://schemas.openxmlformats.org/officeDocument/2006/relationships/hyperlink" Target="https://www.google.com/maps/dir/?api=1&amp;destination=0.5095347,35.2877393" TargetMode="External"/><Relationship Id="rId207" Type="http://schemas.openxmlformats.org/officeDocument/2006/relationships/hyperlink" Target="https://www.google.com/maps/dir/?api=1&amp;destination=-0.723483,36.4427658" TargetMode="External"/><Relationship Id="rId228" Type="http://schemas.openxmlformats.org/officeDocument/2006/relationships/hyperlink" Target="https://www.google.com/maps/dir/?api=1&amp;destination=-1.2487335,36.8721139" TargetMode="External"/><Relationship Id="rId249" Type="http://schemas.openxmlformats.org/officeDocument/2006/relationships/hyperlink" Target="https://www.google.com/maps/dir/?api=1&amp;destination=-1.0406156,37.0716545" TargetMode="External"/><Relationship Id="rId13" Type="http://schemas.openxmlformats.org/officeDocument/2006/relationships/hyperlink" Target="https://www.google.com/maps/dir/?api=1&amp;destination=-0.41149512109932224,36.890622428454236" TargetMode="External"/><Relationship Id="rId109" Type="http://schemas.openxmlformats.org/officeDocument/2006/relationships/hyperlink" Target="https://www.google.com/maps/dir/?api=1&amp;destination=-1.1651777197043267,36.66732503640138" TargetMode="External"/><Relationship Id="rId260" Type="http://schemas.openxmlformats.org/officeDocument/2006/relationships/hyperlink" Target="https://www.google.com/maps/dir/?api=1&amp;destination=-1.2994605,36.7906854" TargetMode="External"/><Relationship Id="rId281" Type="http://schemas.openxmlformats.org/officeDocument/2006/relationships/hyperlink" Target="https://www.google.com/maps/dir/?api=1&amp;destination=-1.20463,36.915328" TargetMode="External"/><Relationship Id="rId34" Type="http://schemas.openxmlformats.org/officeDocument/2006/relationships/hyperlink" Target="http://www.shekowtreatmentandrehabilitationcentre/" TargetMode="External"/><Relationship Id="rId55" Type="http://schemas.openxmlformats.org/officeDocument/2006/relationships/hyperlink" Target="https://www.google.com/maps/dir/?api=1&amp;destination=-4.012557232575887,39.69339492108347" TargetMode="External"/><Relationship Id="rId76" Type="http://schemas.openxmlformats.org/officeDocument/2006/relationships/hyperlink" Target="http://www.wellwaymedicalcentre.org/" TargetMode="External"/><Relationship Id="rId97" Type="http://schemas.openxmlformats.org/officeDocument/2006/relationships/hyperlink" Target="http://www.zawenatreatment.com/" TargetMode="External"/><Relationship Id="rId120" Type="http://schemas.openxmlformats.org/officeDocument/2006/relationships/hyperlink" Target="https://www.google.com/maps/dir/?api=1&amp;destination=-1.3476434935598094%20,36.72629373359107" TargetMode="External"/><Relationship Id="rId141" Type="http://schemas.openxmlformats.org/officeDocument/2006/relationships/hyperlink" Target="http://www.crosswaypsychometrics.org/" TargetMode="External"/><Relationship Id="rId7" Type="http://schemas.openxmlformats.org/officeDocument/2006/relationships/hyperlink" Target="https://www.google.com/maps/dir/?api=1&amp;destination=-1.2792174754664167,36.826275078730504%C2%A0" TargetMode="External"/><Relationship Id="rId162" Type="http://schemas.openxmlformats.org/officeDocument/2006/relationships/hyperlink" Target="https://www.google.com/maps/dir/?api=1&amp;destination=0.602854,34.552691" TargetMode="External"/><Relationship Id="rId183" Type="http://schemas.openxmlformats.org/officeDocument/2006/relationships/hyperlink" Target="https://www.google.com/maps/dir/?api=1&amp;destination=-4.078931,39.6706666" TargetMode="External"/><Relationship Id="rId218" Type="http://schemas.openxmlformats.org/officeDocument/2006/relationships/hyperlink" Target="https://www.google.com/maps/dir/?api=1&amp;destination=-1.2757039,36.7892886" TargetMode="External"/><Relationship Id="rId239" Type="http://schemas.openxmlformats.org/officeDocument/2006/relationships/hyperlink" Target="https://www.google.com/maps/dir/?api=1&amp;destination=-1.2866945,36.816937" TargetMode="External"/><Relationship Id="rId250" Type="http://schemas.openxmlformats.org/officeDocument/2006/relationships/hyperlink" Target="https://www.google.com/maps/dir/?api=1&amp;destination=-1.3156087,36.7920489" TargetMode="External"/><Relationship Id="rId271" Type="http://schemas.openxmlformats.org/officeDocument/2006/relationships/hyperlink" Target="https://www.google.com/maps/dir/?api=1&amp;destination=-1.293722,36.7960752" TargetMode="External"/><Relationship Id="rId24" Type="http://schemas.openxmlformats.org/officeDocument/2006/relationships/hyperlink" Target="https://www.google.com/maps/dir/?api=1&amp;destination=-0.3353877400927677,35.94597198057533" TargetMode="External"/><Relationship Id="rId45" Type="http://schemas.openxmlformats.org/officeDocument/2006/relationships/hyperlink" Target="http://www.excelwellness.com/" TargetMode="External"/><Relationship Id="rId66" Type="http://schemas.openxmlformats.org/officeDocument/2006/relationships/hyperlink" Target="https://www.google.com/maps/dir/?api=1&amp;destination=-2.41024489463221,37.96785772291763" TargetMode="External"/><Relationship Id="rId87" Type="http://schemas.openxmlformats.org/officeDocument/2006/relationships/hyperlink" Target="http://www.mewa.or.ke/" TargetMode="External"/><Relationship Id="rId110" Type="http://schemas.openxmlformats.org/officeDocument/2006/relationships/hyperlink" Target="http://www.precisioncounseling.org/" TargetMode="External"/><Relationship Id="rId131" Type="http://schemas.openxmlformats.org/officeDocument/2006/relationships/hyperlink" Target="http://www.tigonitreatment.com/" TargetMode="External"/><Relationship Id="rId152" Type="http://schemas.openxmlformats.org/officeDocument/2006/relationships/hyperlink" Target="http://www.serenityrehabilitation.co.ke/" TargetMode="External"/><Relationship Id="rId173" Type="http://schemas.openxmlformats.org/officeDocument/2006/relationships/hyperlink" Target="https://www.google.com/maps/dir/?api=1&amp;destination=-1.2564898,36.8721139" TargetMode="External"/><Relationship Id="rId194" Type="http://schemas.openxmlformats.org/officeDocument/2006/relationships/hyperlink" Target="https://www.google.com/maps/dir/?api=1&amp;destination=-1.0351449,37.0726883" TargetMode="External"/><Relationship Id="rId208" Type="http://schemas.openxmlformats.org/officeDocument/2006/relationships/hyperlink" Target="https://www.google.com/maps/dir/?api=1&amp;destination=-0.4225879,36.9536872" TargetMode="External"/><Relationship Id="rId229" Type="http://schemas.openxmlformats.org/officeDocument/2006/relationships/hyperlink" Target="https://www.google.com/maps/dir/?api=1&amp;destination=-1.283033,36.8207404" TargetMode="External"/><Relationship Id="rId240" Type="http://schemas.openxmlformats.org/officeDocument/2006/relationships/hyperlink" Target="https://www.google.com/maps/dir/?api=1&amp;destination=-1.426769,36.691238" TargetMode="External"/><Relationship Id="rId261" Type="http://schemas.openxmlformats.org/officeDocument/2006/relationships/hyperlink" Target="https://www.google.com/maps/dir/?api=1&amp;destination=-1.2871322,36.8742048" TargetMode="External"/><Relationship Id="rId14" Type="http://schemas.openxmlformats.org/officeDocument/2006/relationships/hyperlink" Target="https://www.google.com/maps/dir/?api=1&amp;destination=-0.44848187283297647,%2036.991803278725826" TargetMode="External"/><Relationship Id="rId35" Type="http://schemas.openxmlformats.org/officeDocument/2006/relationships/hyperlink" Target="https://www.google.com/maps/dir/?api=1&amp;destination=-1.2839125758549916,36.85356574010224" TargetMode="External"/><Relationship Id="rId56" Type="http://schemas.openxmlformats.org/officeDocument/2006/relationships/hyperlink" Target="http://www.mewa.or.ke/" TargetMode="External"/><Relationship Id="rId77" Type="http://schemas.openxmlformats.org/officeDocument/2006/relationships/hyperlink" Target="https://www.google.com/maps/dir/?api=1&amp;destination=2.9833906193214244,34.22332196058031" TargetMode="External"/><Relationship Id="rId100" Type="http://schemas.openxmlformats.org/officeDocument/2006/relationships/hyperlink" Target="http://www.phoenixrehab.co.ke/" TargetMode="External"/><Relationship Id="rId282" Type="http://schemas.openxmlformats.org/officeDocument/2006/relationships/hyperlink" Target="https://www.google.com/maps/dir/?api=1&amp;destination=-1.4251869,36.6936512" TargetMode="External"/><Relationship Id="rId8" Type="http://schemas.openxmlformats.org/officeDocument/2006/relationships/hyperlink" Target="https://www.google.com/maps/dir/?api=1&amp;destination=0.018932849710589082,34.5816073670808" TargetMode="External"/><Relationship Id="rId98" Type="http://schemas.openxmlformats.org/officeDocument/2006/relationships/hyperlink" Target="https://www.google.com/maps/dir/?api=1&amp;destination=-1.1189092898530884,36.756039651743954" TargetMode="External"/><Relationship Id="rId121" Type="http://schemas.openxmlformats.org/officeDocument/2006/relationships/hyperlink" Target="https://www.google.com/maps/dir/?api=1&amp;destination=-1.1090590550559756,36.64342555174384" TargetMode="External"/><Relationship Id="rId142" Type="http://schemas.openxmlformats.org/officeDocument/2006/relationships/hyperlink" Target="https://www.google.com/maps/dir/?api=1&amp;destination=-1.3929639740907869,36.637368949956326" TargetMode="External"/><Relationship Id="rId163" Type="http://schemas.openxmlformats.org/officeDocument/2006/relationships/hyperlink" Target="https://www.google.com/maps/dir/?api=1&amp;destination=0.599103,34.759958" TargetMode="External"/><Relationship Id="rId184" Type="http://schemas.openxmlformats.org/officeDocument/2006/relationships/hyperlink" Target="https://www.google.com/maps/dir/?api=1&amp;destination=-4.0434771,39.6682065" TargetMode="External"/><Relationship Id="rId219" Type="http://schemas.openxmlformats.org/officeDocument/2006/relationships/hyperlink" Target="https://www.google.com/maps/dir/?api=1&amp;destination=-1.2328677,36.8124917" TargetMode="External"/><Relationship Id="rId230" Type="http://schemas.openxmlformats.org/officeDocument/2006/relationships/hyperlink" Target="https://www.google.com/maps/dir/?api=1&amp;destination=-1.3120495,36.837615" TargetMode="External"/><Relationship Id="rId251" Type="http://schemas.openxmlformats.org/officeDocument/2006/relationships/hyperlink" Target="https://www.google.com/maps/dir/?api=1&amp;destination=-1.2841889,36.8278135" TargetMode="External"/><Relationship Id="rId25" Type="http://schemas.openxmlformats.org/officeDocument/2006/relationships/hyperlink" Target="https://www.google.com/maps/dir/?api=1&amp;destination=-0.3484593550664043,36.21743634988951" TargetMode="External"/><Relationship Id="rId46" Type="http://schemas.openxmlformats.org/officeDocument/2006/relationships/hyperlink" Target="https://www.google.com/maps/dir/?api=1&amp;destination=-1.209387864077582,%2036.889812509415826" TargetMode="External"/><Relationship Id="rId67" Type="http://schemas.openxmlformats.org/officeDocument/2006/relationships/hyperlink" Target="https://www.google.com/maps/dir/?api=1&amp;destination=-1.345988300006768,36.93623942290969" TargetMode="External"/><Relationship Id="rId272" Type="http://schemas.openxmlformats.org/officeDocument/2006/relationships/hyperlink" Target="https://www.google.com/maps/dir/?api=1&amp;destination=-1.3640944,36.7476257" TargetMode="External"/><Relationship Id="rId88" Type="http://schemas.openxmlformats.org/officeDocument/2006/relationships/hyperlink" Target="https://www.google.com/maps/dir/?api=1&amp;destination=%20-3.6155049646199586,39.85119289544244" TargetMode="External"/><Relationship Id="rId111" Type="http://schemas.openxmlformats.org/officeDocument/2006/relationships/hyperlink" Target="https://www.google.com/maps/dir/?api=1&amp;destination=-1.1671814005340466,36.654850480579896" TargetMode="External"/><Relationship Id="rId132" Type="http://schemas.openxmlformats.org/officeDocument/2006/relationships/hyperlink" Target="https://www.google.com/maps/dir/?api=1&amp;destination=-1.1270159180760113,36.67836446469002" TargetMode="External"/><Relationship Id="rId153" Type="http://schemas.openxmlformats.org/officeDocument/2006/relationships/hyperlink" Target="https://www.google.com/maps/dir/?api=1&amp;destination=0.631406,35.303704" TargetMode="External"/><Relationship Id="rId174" Type="http://schemas.openxmlformats.org/officeDocument/2006/relationships/hyperlink" Target="https://www.google.com/maps/dir/?api=1&amp;destination=-1.2514169,36.8920339" TargetMode="External"/><Relationship Id="rId195" Type="http://schemas.openxmlformats.org/officeDocument/2006/relationships/hyperlink" Target="https://www.google.com/maps/dir/?api=1&amp;destination=-0.0994748,34.7626549" TargetMode="External"/><Relationship Id="rId209" Type="http://schemas.openxmlformats.org/officeDocument/2006/relationships/hyperlink" Target="https://www.google.com/maps/dir/?api=1&amp;destination=-1.0354627,37.0753903" TargetMode="External"/><Relationship Id="rId220" Type="http://schemas.openxmlformats.org/officeDocument/2006/relationships/hyperlink" Target="https://www.google.com/maps/dir/?api=1&amp;destination=-1.3365109,36.7225034" TargetMode="External"/><Relationship Id="rId241" Type="http://schemas.openxmlformats.org/officeDocument/2006/relationships/hyperlink" Target="https://www.google.com/maps/dir/?api=1&amp;destination=-1.4756024,36.9605943" TargetMode="External"/><Relationship Id="rId15" Type="http://schemas.openxmlformats.org/officeDocument/2006/relationships/hyperlink" Target="https://www.google.com/maps/dir/?api=1&amp;destination=-1.223947391839359,36.843367205715786" TargetMode="External"/><Relationship Id="rId36" Type="http://schemas.openxmlformats.org/officeDocument/2006/relationships/hyperlink" Target="https://irshaadrehabilitationcentre.com/" TargetMode="External"/><Relationship Id="rId57" Type="http://schemas.openxmlformats.org/officeDocument/2006/relationships/hyperlink" Target="https://www.google.com/maps/dir/?api=1&amp;destination=-4.006353783978408,39.693786278061424" TargetMode="External"/><Relationship Id="rId262" Type="http://schemas.openxmlformats.org/officeDocument/2006/relationships/hyperlink" Target="https://www.google.com/maps/dir/?api=1&amp;destination=-1.3092203,36.8337427" TargetMode="External"/><Relationship Id="rId283" Type="http://schemas.openxmlformats.org/officeDocument/2006/relationships/hyperlink" Target="https://www.google.com/maps/dir/?api=1&amp;destination=-1.2630045,36.9210014" TargetMode="External"/><Relationship Id="rId78" Type="http://schemas.openxmlformats.org/officeDocument/2006/relationships/hyperlink" Target="https://www.google.com/maps/dir/?api=1&amp;destination=-1.326844119894986%20,36.74502107873095" TargetMode="External"/><Relationship Id="rId99" Type="http://schemas.openxmlformats.org/officeDocument/2006/relationships/hyperlink" Target="http://www.phoenixrehab.co.ke/" TargetMode="External"/><Relationship Id="rId101" Type="http://schemas.openxmlformats.org/officeDocument/2006/relationships/hyperlink" Target="https://www.google.com/maps/dir/?api=1&amp;destination=%20-1.1823799615713797,36.71510596338702" TargetMode="External"/><Relationship Id="rId122" Type="http://schemas.openxmlformats.org/officeDocument/2006/relationships/hyperlink" Target="https://www.google.com/maps/dir/?api=1&amp;destination=-1.205977916674748,36.835959836401564" TargetMode="External"/><Relationship Id="rId143" Type="http://schemas.openxmlformats.org/officeDocument/2006/relationships/hyperlink" Target="https://www.google.com/maps/dir/?api=1&amp;destination=-1.3618867834399606,36.67455198641466" TargetMode="External"/><Relationship Id="rId164" Type="http://schemas.openxmlformats.org/officeDocument/2006/relationships/hyperlink" Target="http://www.sobonserenity.org/" TargetMode="External"/><Relationship Id="rId185" Type="http://schemas.openxmlformats.org/officeDocument/2006/relationships/hyperlink" Target="https://www.google.com/maps/dir/?api=1&amp;destination=-4.0703058,39.6719658" TargetMode="External"/><Relationship Id="rId9" Type="http://schemas.openxmlformats.org/officeDocument/2006/relationships/hyperlink" Target="http://www.kapkitale.com/" TargetMode="External"/><Relationship Id="rId210" Type="http://schemas.openxmlformats.org/officeDocument/2006/relationships/hyperlink" Target="https://www.google.com/maps/dir/?api=1&amp;destination=-1.2843856,36.8210804" TargetMode="External"/><Relationship Id="rId26" Type="http://schemas.openxmlformats.org/officeDocument/2006/relationships/hyperlink" Target="http://www.goldenlifekenya.org/" TargetMode="External"/><Relationship Id="rId231" Type="http://schemas.openxmlformats.org/officeDocument/2006/relationships/hyperlink" Target="https://www.google.com/maps/dir/?api=1&amp;destination=-1.2809462,36.7366141" TargetMode="External"/><Relationship Id="rId252" Type="http://schemas.openxmlformats.org/officeDocument/2006/relationships/hyperlink" Target="https://www.google.com/maps/dir/?api=1&amp;destination=-1.2866945,36.816937" TargetMode="External"/><Relationship Id="rId273" Type="http://schemas.openxmlformats.org/officeDocument/2006/relationships/hyperlink" Target="https://www.google.com/maps/dir/?api=1&amp;destination=-1.3365109,36.7225034" TargetMode="External"/><Relationship Id="rId47" Type="http://schemas.openxmlformats.org/officeDocument/2006/relationships/hyperlink" Target="http://www.medivawellness.org/" TargetMode="External"/><Relationship Id="rId68" Type="http://schemas.openxmlformats.org/officeDocument/2006/relationships/hyperlink" Target="https://www.google.com/maps/dir/?api=1&amp;destination=-1.5380350240044318,37.19260068003978" TargetMode="External"/><Relationship Id="rId89" Type="http://schemas.openxmlformats.org/officeDocument/2006/relationships/hyperlink" Target="http://www.nururehab.co.ke/" TargetMode="External"/><Relationship Id="rId112" Type="http://schemas.openxmlformats.org/officeDocument/2006/relationships/hyperlink" Target="https://www.google.com/maps/dir/?api=1&amp;destination=-1.0862642262095035,36.778523540100906" TargetMode="External"/><Relationship Id="rId133" Type="http://schemas.openxmlformats.org/officeDocument/2006/relationships/hyperlink" Target="http://kizimamentalwelnessfoundation.org/" TargetMode="External"/><Relationship Id="rId154" Type="http://schemas.openxmlformats.org/officeDocument/2006/relationships/hyperlink" Target="http://www.cynerdhospitalandrehab.org/" TargetMode="External"/><Relationship Id="rId175" Type="http://schemas.openxmlformats.org/officeDocument/2006/relationships/hyperlink" Target="https://www.google.com/maps/dir/?api=1&amp;destination=-1.2586058,36.8762541" TargetMode="External"/><Relationship Id="rId196" Type="http://schemas.openxmlformats.org/officeDocument/2006/relationships/hyperlink" Target="https://www.google.com/maps/dir/?api=1&amp;destination=0.0430602,37.6451841" TargetMode="External"/><Relationship Id="rId200" Type="http://schemas.openxmlformats.org/officeDocument/2006/relationships/hyperlink" Target="https://www.google.com/maps/dir/?api=1&amp;destination=-0.677334,34.779603" TargetMode="External"/><Relationship Id="rId16" Type="http://schemas.openxmlformats.org/officeDocument/2006/relationships/hyperlink" Target="http://www.safestepsrecoverycentre.co.ke/" TargetMode="External"/><Relationship Id="rId221" Type="http://schemas.openxmlformats.org/officeDocument/2006/relationships/hyperlink" Target="https://www.google.com/maps/dir/?api=1&amp;destination=-1.2724507,36.8504781" TargetMode="External"/><Relationship Id="rId242" Type="http://schemas.openxmlformats.org/officeDocument/2006/relationships/hyperlink" Target="https://www.google.com/maps/dir/?api=1&amp;destination=-1.3173483,36.8124862" TargetMode="External"/><Relationship Id="rId263" Type="http://schemas.openxmlformats.org/officeDocument/2006/relationships/hyperlink" Target="https://www.google.com/maps/dir/?api=1&amp;destination=-1.2994605,36.7906854" TargetMode="External"/><Relationship Id="rId284" Type="http://schemas.openxmlformats.org/officeDocument/2006/relationships/hyperlink" Target="https://www.google.com/maps/dir/?api=1&amp;destination=-1.3229601,36.9013312" TargetMode="External"/><Relationship Id="rId37" Type="http://schemas.openxmlformats.org/officeDocument/2006/relationships/hyperlink" Target="https://www.google.com/maps/dir/?api=1&amp;destination=-1.2819367187941044,36.85229649407351" TargetMode="External"/><Relationship Id="rId58" Type="http://schemas.openxmlformats.org/officeDocument/2006/relationships/hyperlink" Target="https://www.google.com/maps/dir/?api=1&amp;destination=-4.061500217783944,39.67044074029542" TargetMode="External"/><Relationship Id="rId79" Type="http://schemas.openxmlformats.org/officeDocument/2006/relationships/hyperlink" Target="http://www.tinada.org/" TargetMode="External"/><Relationship Id="rId102" Type="http://schemas.openxmlformats.org/officeDocument/2006/relationships/hyperlink" Target="http://www.smartlifewellnesscentre.co.ke/" TargetMode="External"/><Relationship Id="rId123" Type="http://schemas.openxmlformats.org/officeDocument/2006/relationships/hyperlink" Target="http://www.diamondsrecovery.com/" TargetMode="External"/><Relationship Id="rId144" Type="http://schemas.openxmlformats.org/officeDocument/2006/relationships/hyperlink" Target="https://www.google.com/maps/dir/?api=1&amp;destination=-1.3720245288614537%20,36.66589646523838" TargetMode="External"/><Relationship Id="rId90" Type="http://schemas.openxmlformats.org/officeDocument/2006/relationships/hyperlink" Target="https://www.google.com/maps/dir/?api=1&amp;destination=-1.1652815801663234,%2036.936073151744154" TargetMode="External"/><Relationship Id="rId165" Type="http://schemas.openxmlformats.org/officeDocument/2006/relationships/hyperlink" Target="https://www.google.com/maps/dir/?api=1&amp;destination=-0.008134790728284338,%2035.75433366523103" TargetMode="External"/><Relationship Id="rId186" Type="http://schemas.openxmlformats.org/officeDocument/2006/relationships/hyperlink" Target="https://www.google.com/maps/dir/?api=1&amp;destination=-0.0983468,34.7551691" TargetMode="External"/><Relationship Id="rId211" Type="http://schemas.openxmlformats.org/officeDocument/2006/relationships/hyperlink" Target="https://www.google.com/maps/dir/?api=1&amp;destination=-1.269825,36.84819" TargetMode="External"/><Relationship Id="rId232" Type="http://schemas.openxmlformats.org/officeDocument/2006/relationships/hyperlink" Target="https://www.google.com/maps/dir/?api=1&amp;destination=-1.293801,36.795243" TargetMode="External"/><Relationship Id="rId253" Type="http://schemas.openxmlformats.org/officeDocument/2006/relationships/hyperlink" Target="https://www.google.com/maps/dir/?api=1&amp;destination=-1.3362692,36.7757822" TargetMode="External"/><Relationship Id="rId274" Type="http://schemas.openxmlformats.org/officeDocument/2006/relationships/hyperlink" Target="https://www.google.com/maps/dir/?api=1&amp;destination=-1.2849745,36.8211491" TargetMode="External"/><Relationship Id="rId27" Type="http://schemas.openxmlformats.org/officeDocument/2006/relationships/hyperlink" Target="https://www.google.com/maps/dir/?api=1&amp;destination=-0.7474407570118691,36.47551957872729" TargetMode="External"/><Relationship Id="rId48" Type="http://schemas.openxmlformats.org/officeDocument/2006/relationships/hyperlink" Target="https://www.google.com/maps/dir/?api=1&amp;destination=-1.0112079013458792,37.06721680756467" TargetMode="External"/><Relationship Id="rId69" Type="http://schemas.openxmlformats.org/officeDocument/2006/relationships/hyperlink" Target="https://www.google.com/maps/dir/?api=1&amp;destination=-1.2889729717953309,37.086661734552045" TargetMode="External"/><Relationship Id="rId113" Type="http://schemas.openxmlformats.org/officeDocument/2006/relationships/hyperlink" Target="http://caretechmedical.com/" TargetMode="External"/><Relationship Id="rId134" Type="http://schemas.openxmlformats.org/officeDocument/2006/relationships/hyperlink" Target="https://www.google.com/maps/dir/?api=1&amp;destination=-0.2746983957625612,36.15544507872494" TargetMode="External"/><Relationship Id="rId80" Type="http://schemas.openxmlformats.org/officeDocument/2006/relationships/hyperlink" Target="https://www.google.com/maps/dir/?api=1&amp;destination=-0.08404903871410621,%2034.76659038057413" TargetMode="External"/><Relationship Id="rId155" Type="http://schemas.openxmlformats.org/officeDocument/2006/relationships/hyperlink" Target="https://www.google.com/maps/dir/?api=1&amp;destination=0.670016,35.507841" TargetMode="External"/><Relationship Id="rId176" Type="http://schemas.openxmlformats.org/officeDocument/2006/relationships/hyperlink" Target="https://www.google.com/maps/dir/?api=1&amp;destination=-1.200083,36.9001862" TargetMode="External"/><Relationship Id="rId197" Type="http://schemas.openxmlformats.org/officeDocument/2006/relationships/hyperlink" Target="https://www.google.com/maps/dir/?api=1&amp;destination=-0.0994748,34.7626549" TargetMode="External"/><Relationship Id="rId201" Type="http://schemas.openxmlformats.org/officeDocument/2006/relationships/hyperlink" Target="https://www.google.com/maps/dir/?api=1&amp;destination=1.0221613,34.9987109" TargetMode="External"/><Relationship Id="rId222" Type="http://schemas.openxmlformats.org/officeDocument/2006/relationships/hyperlink" Target="https://www.google.com/maps/dir/?api=1&amp;destination=-1.4756024,36.9605943" TargetMode="External"/><Relationship Id="rId243" Type="http://schemas.openxmlformats.org/officeDocument/2006/relationships/hyperlink" Target="https://www.google.com/maps/dir/?api=1&amp;destination=-1.2902235,36.8823437" TargetMode="External"/><Relationship Id="rId264" Type="http://schemas.openxmlformats.org/officeDocument/2006/relationships/hyperlink" Target="https://www.google.com/maps/dir/?api=1&amp;destination=-1.3217247,36.9034926" TargetMode="External"/><Relationship Id="rId285" Type="http://schemas.openxmlformats.org/officeDocument/2006/relationships/hyperlink" Target="https://www.google.com/maps/dir/?api=1&amp;destination=-1.2828645,36.8799036" TargetMode="External"/><Relationship Id="rId17" Type="http://schemas.openxmlformats.org/officeDocument/2006/relationships/hyperlink" Target="https://www.google.com/maps/dir/?api=1&amp;destination=-0.4676733021250682,37.13780812105445" TargetMode="External"/><Relationship Id="rId38" Type="http://schemas.openxmlformats.org/officeDocument/2006/relationships/hyperlink" Target="https://optimumrehabilitation.com/" TargetMode="External"/><Relationship Id="rId59" Type="http://schemas.openxmlformats.org/officeDocument/2006/relationships/hyperlink" Target="https://www.google.com/maps/dir/?api=1&amp;destination=-4.025672925062995,39.69387696526225" TargetMode="External"/><Relationship Id="rId103" Type="http://schemas.openxmlformats.org/officeDocument/2006/relationships/hyperlink" Target="https://www.google.com/maps/dir/?api=1&amp;destination=-1.1154380826990102,36.95256382721326" TargetMode="External"/><Relationship Id="rId124" Type="http://schemas.openxmlformats.org/officeDocument/2006/relationships/hyperlink" Target="https://www.google.com/maps/dir/?api=1&amp;destination=-1.172574146793912,36.87643348057988" TargetMode="External"/><Relationship Id="rId70" Type="http://schemas.openxmlformats.org/officeDocument/2006/relationships/hyperlink" Target="https://www.google.com/maps/dir/?api=1&amp;destination=-2.2648894291316894%20,40.899795907134525" TargetMode="External"/><Relationship Id="rId91" Type="http://schemas.openxmlformats.org/officeDocument/2006/relationships/hyperlink" Target="http://www.nuevarehab.com/" TargetMode="External"/><Relationship Id="rId145" Type="http://schemas.openxmlformats.org/officeDocument/2006/relationships/hyperlink" Target="https://www.google.com/maps/dir/?api=1&amp;destination=-1.374430029139722,36.66392089407417" TargetMode="External"/><Relationship Id="rId166" Type="http://schemas.openxmlformats.org/officeDocument/2006/relationships/hyperlink" Target="https://lovemattersafrica.com/clinics/list-of-nacada-accredited-rehabilitation-centers-per-county/" TargetMode="External"/><Relationship Id="rId187" Type="http://schemas.openxmlformats.org/officeDocument/2006/relationships/hyperlink" Target="https://www.google.com/maps/dir/?api=1&amp;destination=-0.0934239,34.7661545" TargetMode="External"/><Relationship Id="rId1" Type="http://schemas.openxmlformats.org/officeDocument/2006/relationships/hyperlink" Target="https://www.google.com/maps/dir/?api=1&amp;destination=0.5118881960607042,35.28051990940758" TargetMode="External"/><Relationship Id="rId212" Type="http://schemas.openxmlformats.org/officeDocument/2006/relationships/hyperlink" Target="https://www.google.com/maps/dir/?api=1&amp;destination=-1.3069384,36.8022224" TargetMode="External"/><Relationship Id="rId233" Type="http://schemas.openxmlformats.org/officeDocument/2006/relationships/hyperlink" Target="https://www.google.com/maps/dir/?api=1&amp;destination=-1.2958564,36.7840181" TargetMode="External"/><Relationship Id="rId254" Type="http://schemas.openxmlformats.org/officeDocument/2006/relationships/hyperlink" Target="https://www.google.com/maps/dir/?api=1&amp;destination=-1.2632128,36.8118625" TargetMode="External"/><Relationship Id="rId28" Type="http://schemas.openxmlformats.org/officeDocument/2006/relationships/hyperlink" Target="http://www.silwanfountain.org/" TargetMode="External"/><Relationship Id="rId49" Type="http://schemas.openxmlformats.org/officeDocument/2006/relationships/hyperlink" Target="http://www.stmartinsrehab.co.ke/" TargetMode="External"/><Relationship Id="rId114" Type="http://schemas.openxmlformats.org/officeDocument/2006/relationships/hyperlink" Target="https://www.google.com/maps/dir/?api=1&amp;destination=-1.1890235091332515,36.84043049407286" TargetMode="External"/><Relationship Id="rId275" Type="http://schemas.openxmlformats.org/officeDocument/2006/relationships/hyperlink" Target="https://www.google.com/maps/dir/?api=1&amp;destination=-1.3244204,36.8261538" TargetMode="External"/><Relationship Id="rId60" Type="http://schemas.openxmlformats.org/officeDocument/2006/relationships/hyperlink" Target="https://www.google.com/maps/dir/?api=1&amp;destination=-0.07639016573203342,37.68470366523121" TargetMode="External"/><Relationship Id="rId81" Type="http://schemas.openxmlformats.org/officeDocument/2006/relationships/hyperlink" Target="https://www.google.com/maps/dir/?api=1&amp;destination=-0.6648503964847168,34.7325216517412" TargetMode="External"/><Relationship Id="rId135" Type="http://schemas.openxmlformats.org/officeDocument/2006/relationships/hyperlink" Target="https://www.google.com/maps/dir/?api=1&amp;destination=-0.37382204139082326,35.28433213824686" TargetMode="External"/><Relationship Id="rId156" Type="http://schemas.openxmlformats.org/officeDocument/2006/relationships/hyperlink" Target="https://www.google.com/maps/dir/?api=1&amp;destination=0.679129,35.504903" TargetMode="External"/><Relationship Id="rId177" Type="http://schemas.openxmlformats.org/officeDocument/2006/relationships/hyperlink" Target="https://www.google.com/maps/dir/?api=1&amp;destination=-1.1854015,36.9029945" TargetMode="External"/><Relationship Id="rId198" Type="http://schemas.openxmlformats.org/officeDocument/2006/relationships/hyperlink" Target="https://www.google.com/maps/dir/?api=1&amp;destination=-0.1049642,34.7542861" TargetMode="External"/><Relationship Id="rId202" Type="http://schemas.openxmlformats.org/officeDocument/2006/relationships/hyperlink" Target="https://www.google.com/maps/dir/?api=1&amp;destination=-4.0609703,39.6607065" TargetMode="External"/><Relationship Id="rId223" Type="http://schemas.openxmlformats.org/officeDocument/2006/relationships/hyperlink" Target="https://www.google.com/maps/dir/?api=1&amp;destination=-1.3966314,36.7479333" TargetMode="External"/><Relationship Id="rId244" Type="http://schemas.openxmlformats.org/officeDocument/2006/relationships/hyperlink" Target="https://www.google.com/maps/dir/?api=1&amp;destination=-1.0406156,37.0716545" TargetMode="External"/><Relationship Id="rId18" Type="http://schemas.openxmlformats.org/officeDocument/2006/relationships/hyperlink" Target="http://recoverytrailsmedical.org/" TargetMode="External"/><Relationship Id="rId39" Type="http://schemas.openxmlformats.org/officeDocument/2006/relationships/hyperlink" Target="https://www.google.com/maps/dir/?api=1&amp;destination=-1.3416035512783886,36.73666497873093" TargetMode="External"/><Relationship Id="rId265" Type="http://schemas.openxmlformats.org/officeDocument/2006/relationships/hyperlink" Target="https://www.google.com/maps/dir/?api=1&amp;destination=-1.2828645,36.8799036" TargetMode="External"/><Relationship Id="rId286" Type="http://schemas.openxmlformats.org/officeDocument/2006/relationships/hyperlink" Target="https://www.google.com/maps/dir/?api=1&amp;destination=-1.2809713,36.8212399" TargetMode="External"/><Relationship Id="rId50" Type="http://schemas.openxmlformats.org/officeDocument/2006/relationships/hyperlink" Target="https://www.google.com/maps/dir/?api=1&amp;destination=-0.7836634477334333,37.0400653229063" TargetMode="External"/><Relationship Id="rId104" Type="http://schemas.openxmlformats.org/officeDocument/2006/relationships/hyperlink" Target="http://www.resolutionsrecovery.org/" TargetMode="External"/><Relationship Id="rId125" Type="http://schemas.openxmlformats.org/officeDocument/2006/relationships/hyperlink" Target="https://www.google.com/maps/dir/?api=1&amp;destination=-1.189063962186287,36.93416602290854" TargetMode="External"/><Relationship Id="rId146" Type="http://schemas.openxmlformats.org/officeDocument/2006/relationships/hyperlink" Target="https://www.google.com/maps/dir/?api=1&amp;destination=-1.2673260744887398,36.83873172290909" TargetMode="External"/><Relationship Id="rId167" Type="http://schemas.openxmlformats.org/officeDocument/2006/relationships/hyperlink" Target="https://www.google.com/maps/dir/?api=1&amp;destination=-1.3968963003873,36.7535382" TargetMode="External"/><Relationship Id="rId188" Type="http://schemas.openxmlformats.org/officeDocument/2006/relationships/hyperlink" Target="https://www.google.com/maps/dir/?api=1&amp;destination=-0.4999223,36.3148851" TargetMode="External"/><Relationship Id="rId71" Type="http://schemas.openxmlformats.org/officeDocument/2006/relationships/hyperlink" Target="https://www.google.com/maps/dir/?api=1&amp;destination=-1.3889284078746509,36.680409936402775" TargetMode="External"/><Relationship Id="rId92" Type="http://schemas.openxmlformats.org/officeDocument/2006/relationships/hyperlink" Target="https://www.google.com/maps/dir/?api=1&amp;destination=-1.1627821331630686,36.92865979592278" TargetMode="External"/><Relationship Id="rId213" Type="http://schemas.openxmlformats.org/officeDocument/2006/relationships/hyperlink" Target="https://www.google.com/maps/dir/?api=1&amp;destination=-1.2662019,36.7486969" TargetMode="External"/><Relationship Id="rId234" Type="http://schemas.openxmlformats.org/officeDocument/2006/relationships/hyperlink" Target="https://www.google.com/maps/dir/?api=1&amp;destination=-1.2232487,36.8993273" TargetMode="External"/><Relationship Id="rId2" Type="http://schemas.openxmlformats.org/officeDocument/2006/relationships/hyperlink" Target="http://www.adaptkenya.org/" TargetMode="External"/><Relationship Id="rId29" Type="http://schemas.openxmlformats.org/officeDocument/2006/relationships/hyperlink" Target="https://www.google.com/maps/dir/?api=1&amp;destination=-1.2129557172745251,36.87527077873006" TargetMode="External"/><Relationship Id="rId255" Type="http://schemas.openxmlformats.org/officeDocument/2006/relationships/hyperlink" Target="https://www.google.com/maps/dir/?api=1&amp;destination=-1.293801,36.795243" TargetMode="External"/><Relationship Id="rId276" Type="http://schemas.openxmlformats.org/officeDocument/2006/relationships/hyperlink" Target="https://www.google.com/maps/dir/?api=1&amp;destination=-1.4756024,36.9605943" TargetMode="External"/><Relationship Id="rId40" Type="http://schemas.openxmlformats.org/officeDocument/2006/relationships/hyperlink" Target="http://www.royalvictoryhosp.org/" TargetMode="External"/><Relationship Id="rId115" Type="http://schemas.openxmlformats.org/officeDocument/2006/relationships/hyperlink" Target="https://www.google.com/maps/dir/?api=1&amp;destination=-1.0784085332425861,36.80228240447021" TargetMode="External"/><Relationship Id="rId136" Type="http://schemas.openxmlformats.org/officeDocument/2006/relationships/hyperlink" Target="https://www.google.com/maps/dir/?api=1&amp;destination=33.42228454924017%20,-111.82810656276925" TargetMode="External"/><Relationship Id="rId157" Type="http://schemas.openxmlformats.org/officeDocument/2006/relationships/hyperlink" Target="https://www.google.com/maps/dir/?api=1&amp;destination=0.482945%20,34.112999" TargetMode="External"/><Relationship Id="rId178" Type="http://schemas.openxmlformats.org/officeDocument/2006/relationships/hyperlink" Target="https://www.google.com/maps/dir/?api=1&amp;destination=-4.0840986,39.6608103" TargetMode="External"/><Relationship Id="rId61" Type="http://schemas.openxmlformats.org/officeDocument/2006/relationships/hyperlink" Target="http://www.stnicholasriti.co.ke/" TargetMode="External"/><Relationship Id="rId82" Type="http://schemas.openxmlformats.org/officeDocument/2006/relationships/hyperlink" Target="http://www.oasishealthcaregroup.com/" TargetMode="External"/><Relationship Id="rId199" Type="http://schemas.openxmlformats.org/officeDocument/2006/relationships/hyperlink" Target="https://www.google.com/maps/dir/?api=1&amp;destination=-0.0886577,34.7704652" TargetMode="External"/><Relationship Id="rId203" Type="http://schemas.openxmlformats.org/officeDocument/2006/relationships/hyperlink" Target="https://www.google.com/maps/dir/?api=1&amp;destination=0.5141525,35.2883484" TargetMode="External"/><Relationship Id="rId19" Type="http://schemas.openxmlformats.org/officeDocument/2006/relationships/hyperlink" Target="https://www.google.com/maps/dir/?api=1&amp;destination=0.029938493848880265,36.40696498057359" TargetMode="External"/><Relationship Id="rId224" Type="http://schemas.openxmlformats.org/officeDocument/2006/relationships/hyperlink" Target="https://www.google.com/maps/dir/?api=1&amp;destination=-1.2942147,36.7817814" TargetMode="External"/><Relationship Id="rId245" Type="http://schemas.openxmlformats.org/officeDocument/2006/relationships/hyperlink" Target="https://www.google.com/maps/dir/?api=1&amp;destination=-1.2800689,36.8444151" TargetMode="External"/><Relationship Id="rId266" Type="http://schemas.openxmlformats.org/officeDocument/2006/relationships/hyperlink" Target="https://www.google.com/maps/dir/?api=1&amp;destination=-1.3147737,36.859145" TargetMode="External"/><Relationship Id="rId287" Type="http://schemas.openxmlformats.org/officeDocument/2006/relationships/hyperlink" Target="https://www.google.com/maps/dir/?api=1&amp;destination=-1.2864403,36.7452228" TargetMode="External"/><Relationship Id="rId30" Type="http://schemas.openxmlformats.org/officeDocument/2006/relationships/hyperlink" Target="http://www.lifebridgehospital.org/" TargetMode="External"/><Relationship Id="rId105" Type="http://schemas.openxmlformats.org/officeDocument/2006/relationships/hyperlink" Target="https://www.google.com/maps/dir/?api=1&amp;destination=-1.2052229049202619%20,36.72524593640156" TargetMode="External"/><Relationship Id="rId126" Type="http://schemas.openxmlformats.org/officeDocument/2006/relationships/hyperlink" Target="https://www.google.com/maps/dir/?api=1&amp;destination=-1.1345140840018892,36.96806474989399" TargetMode="External"/><Relationship Id="rId147" Type="http://schemas.openxmlformats.org/officeDocument/2006/relationships/hyperlink" Target="https://www.google.com/maps/dir/?api=1&amp;destination=-1.4872922931882642%20,36.954399594074914" TargetMode="External"/><Relationship Id="rId168" Type="http://schemas.openxmlformats.org/officeDocument/2006/relationships/hyperlink" Target="https://www.google.com/maps/dir/?api=1&amp;destination=-1.3074645,36.8724596" TargetMode="External"/><Relationship Id="rId51" Type="http://schemas.openxmlformats.org/officeDocument/2006/relationships/hyperlink" Target="http://www.promedwellness.co.ke/" TargetMode="External"/><Relationship Id="rId72" Type="http://schemas.openxmlformats.org/officeDocument/2006/relationships/hyperlink" Target="http://www.reachout.or.ke/" TargetMode="External"/><Relationship Id="rId93" Type="http://schemas.openxmlformats.org/officeDocument/2006/relationships/hyperlink" Target="http://www.polkadotsrehab.com/" TargetMode="External"/><Relationship Id="rId189" Type="http://schemas.openxmlformats.org/officeDocument/2006/relationships/hyperlink" Target="https://www.google.com/maps/dir/?api=1&amp;destination=-0.282371,36.098575" TargetMode="External"/><Relationship Id="rId3" Type="http://schemas.openxmlformats.org/officeDocument/2006/relationships/hyperlink" Target="https://www.google.com/maps/dir/?api=1&amp;destination=12.923271471982183,80.09980663648956" TargetMode="External"/><Relationship Id="rId214" Type="http://schemas.openxmlformats.org/officeDocument/2006/relationships/hyperlink" Target="https://www.google.com/maps/dir/?api=1&amp;destination=-1.264964,36.8387121" TargetMode="External"/><Relationship Id="rId235" Type="http://schemas.openxmlformats.org/officeDocument/2006/relationships/hyperlink" Target="https://www.google.com/maps/dir/?api=1&amp;destination=-1.2982973,36.8131312" TargetMode="External"/><Relationship Id="rId256" Type="http://schemas.openxmlformats.org/officeDocument/2006/relationships/hyperlink" Target="https://www.google.com/maps/dir/?api=1&amp;destination=-1.3065809,36.8936292" TargetMode="External"/><Relationship Id="rId277" Type="http://schemas.openxmlformats.org/officeDocument/2006/relationships/hyperlink" Target="https://www.google.com/maps/dir/?api=1&amp;destination=-1.3213091,36.884217" TargetMode="External"/><Relationship Id="rId116" Type="http://schemas.openxmlformats.org/officeDocument/2006/relationships/hyperlink" Target="http://levuka.jamiiboratrust.com/" TargetMode="External"/><Relationship Id="rId137" Type="http://schemas.openxmlformats.org/officeDocument/2006/relationships/hyperlink" Target="https://www.google.com/maps/dir/?api=1&amp;destination=-1.2666397220059273,36.66808249407336" TargetMode="External"/><Relationship Id="rId158" Type="http://schemas.openxmlformats.org/officeDocument/2006/relationships/hyperlink" Target="https://www.google.com/maps/dir/?api=1&amp;destination=-1.366694,36.709561" TargetMode="External"/><Relationship Id="rId20" Type="http://schemas.openxmlformats.org/officeDocument/2006/relationships/hyperlink" Target="https://www.google.com/maps/dir/?api=1&amp;destination=-0.23685496858662036,35.73137557872474" TargetMode="External"/><Relationship Id="rId41" Type="http://schemas.openxmlformats.org/officeDocument/2006/relationships/hyperlink" Target="https://www.google.com/maps/dir/?api=1&amp;destination=-1.2477948203214406,%2036.87576659407323" TargetMode="External"/><Relationship Id="rId62" Type="http://schemas.openxmlformats.org/officeDocument/2006/relationships/hyperlink" Target="https://www.google.com/maps/dir/?api=1&amp;destination=0.17574900582811112,37.76159108242318" TargetMode="External"/><Relationship Id="rId83" Type="http://schemas.openxmlformats.org/officeDocument/2006/relationships/hyperlink" Target="https://www.google.com/maps/dir/?api=1&amp;destination=-0.6678748685399817,34.77005435174128" TargetMode="External"/><Relationship Id="rId179" Type="http://schemas.openxmlformats.org/officeDocument/2006/relationships/hyperlink" Target="https://www.google.com/maps/dir/?api=1&amp;destination=-0.2950695,36.0534814" TargetMode="External"/><Relationship Id="rId190" Type="http://schemas.openxmlformats.org/officeDocument/2006/relationships/hyperlink" Target="https://www.google.com/maps/dir/?api=1&amp;destination=-1.316234,36.834599" TargetMode="External"/><Relationship Id="rId204" Type="http://schemas.openxmlformats.org/officeDocument/2006/relationships/hyperlink" Target="https://www.google.com/maps/dir/?api=1&amp;destination=-0.2849853,36.0693113" TargetMode="External"/><Relationship Id="rId225" Type="http://schemas.openxmlformats.org/officeDocument/2006/relationships/hyperlink" Target="https://www.google.com/maps/dir/?api=1&amp;destination=-1.3120192,36.7745442" TargetMode="External"/><Relationship Id="rId246" Type="http://schemas.openxmlformats.org/officeDocument/2006/relationships/hyperlink" Target="https://www.google.com/maps/dir/?api=1&amp;destination=-1.2852219,36.8220084" TargetMode="External"/><Relationship Id="rId267" Type="http://schemas.openxmlformats.org/officeDocument/2006/relationships/hyperlink" Target="https://www.google.com/maps/dir/?api=1&amp;destination=-1.2813094,36.8180449" TargetMode="External"/><Relationship Id="rId288" Type="http://schemas.openxmlformats.org/officeDocument/2006/relationships/hyperlink" Target="https://www.google.com/maps/dir/?api=1&amp;destination=-1.293801,36.795243" TargetMode="External"/><Relationship Id="rId106" Type="http://schemas.openxmlformats.org/officeDocument/2006/relationships/hyperlink" Target="https://www.google.com/maps/dir/?api=1&amp;destination=-1.2283197295651305,36.705303094073024" TargetMode="External"/><Relationship Id="rId127" Type="http://schemas.openxmlformats.org/officeDocument/2006/relationships/hyperlink" Target="http://www.smartlifewellnesscentre.co.ke/" TargetMode="External"/><Relationship Id="rId10" Type="http://schemas.openxmlformats.org/officeDocument/2006/relationships/hyperlink" Target="https://www.google.com/maps/dir/?api=1&amp;destination=1.4847589903679679,35.075765374982524" TargetMode="External"/><Relationship Id="rId31" Type="http://schemas.openxmlformats.org/officeDocument/2006/relationships/hyperlink" Target="https://www.google.com/maps/dir/?api=1&amp;destination=-1.2060462637643818,36.887678424758754" TargetMode="External"/><Relationship Id="rId52" Type="http://schemas.openxmlformats.org/officeDocument/2006/relationships/hyperlink" Target="https://www.google.com/maps/dir/?api=1&amp;destination=-1.0014489006495662,37.067797436400305" TargetMode="External"/><Relationship Id="rId73" Type="http://schemas.openxmlformats.org/officeDocument/2006/relationships/hyperlink" Target="https://www.google.com/maps/dir/?api=1&amp;destination=-4.060521642632194,39.67653680944124" TargetMode="External"/><Relationship Id="rId94" Type="http://schemas.openxmlformats.org/officeDocument/2006/relationships/hyperlink" Target="https://www.google.com/maps/dir/?api=1&amp;destination=-1.2784861707499762,36.64164826523777" TargetMode="External"/><Relationship Id="rId148" Type="http://schemas.openxmlformats.org/officeDocument/2006/relationships/hyperlink" Target="https://www.google.com/maps/dir/?api=1&amp;destination=-1.4546449889059907,%2036.962192299912644" TargetMode="External"/><Relationship Id="rId169" Type="http://schemas.openxmlformats.org/officeDocument/2006/relationships/hyperlink" Target="https://www.google.com/maps/dir/?api=1&amp;destination=-1.3152764,36.7996521" TargetMode="External"/><Relationship Id="rId4" Type="http://schemas.openxmlformats.org/officeDocument/2006/relationships/hyperlink" Target="http://www.serenity.org/" TargetMode="External"/><Relationship Id="rId180" Type="http://schemas.openxmlformats.org/officeDocument/2006/relationships/hyperlink" Target="https://www.google.com/maps/dir/?api=1&amp;destination=-0.2884613,36.0634112" TargetMode="External"/><Relationship Id="rId215" Type="http://schemas.openxmlformats.org/officeDocument/2006/relationships/hyperlink" Target="https://www.google.com/maps/dir/?api=1&amp;destination=-1.2871322,36.8742048" TargetMode="External"/><Relationship Id="rId236" Type="http://schemas.openxmlformats.org/officeDocument/2006/relationships/hyperlink" Target="https://www.google.com/maps/dir/?api=1&amp;destination=-1.2857399,36.8235975" TargetMode="External"/><Relationship Id="rId257" Type="http://schemas.openxmlformats.org/officeDocument/2006/relationships/hyperlink" Target="https://www.google.com/maps/dir/?api=1&amp;destination=-1.3640944,36.7476257" TargetMode="External"/><Relationship Id="rId278" Type="http://schemas.openxmlformats.org/officeDocument/2006/relationships/hyperlink" Target="https://www.google.com/maps/dir/?api=1&amp;destination=-1.3099889,36.9319993" TargetMode="External"/><Relationship Id="rId42" Type="http://schemas.openxmlformats.org/officeDocument/2006/relationships/hyperlink" Target="http://www.serenehospital.org/" TargetMode="External"/><Relationship Id="rId84" Type="http://schemas.openxmlformats.org/officeDocument/2006/relationships/hyperlink" Target="https://www.google.com/maps/dir/?api=1&amp;destination=-0.6201541377693625,%2037.36548746708398" TargetMode="External"/><Relationship Id="rId138" Type="http://schemas.openxmlformats.org/officeDocument/2006/relationships/hyperlink" Target="https://www.google.com/maps/dir/?api=1&amp;destination=-1.3960639342644214%20,36.72712798058136" TargetMode="External"/><Relationship Id="rId191" Type="http://schemas.openxmlformats.org/officeDocument/2006/relationships/hyperlink" Target="https://www.google.com/maps/dir/?api=1&amp;destination=-4.0608457,39.6720892" TargetMode="External"/><Relationship Id="rId205" Type="http://schemas.openxmlformats.org/officeDocument/2006/relationships/hyperlink" Target="https://www.google.com/maps/dir/?api=1&amp;destination=0.0163811,37.078077" TargetMode="External"/><Relationship Id="rId247" Type="http://schemas.openxmlformats.org/officeDocument/2006/relationships/hyperlink" Target="https://www.google.com/maps/dir/?api=1&amp;destination=-1.301341,36.888382" TargetMode="External"/><Relationship Id="rId107" Type="http://schemas.openxmlformats.org/officeDocument/2006/relationships/hyperlink" Target="http://www.livinghopecounseling.co.ke/" TargetMode="External"/><Relationship Id="rId11" Type="http://schemas.openxmlformats.org/officeDocument/2006/relationships/hyperlink" Target="https://www.google.com/maps/dir/?api=1&amp;destination=%20-0.4470774293545054,36.976391465233064" TargetMode="External"/><Relationship Id="rId53" Type="http://schemas.openxmlformats.org/officeDocument/2006/relationships/hyperlink" Target="https://www.google.com/maps/dir/?api=1&amp;destination=%20-2.410223455943372,37.967825536410466" TargetMode="External"/><Relationship Id="rId149" Type="http://schemas.openxmlformats.org/officeDocument/2006/relationships/hyperlink" Target="https://www.google.com/maps/dir/?api=1&amp;destination=1.7370864720064878%20,40.05244553639064" TargetMode="External"/><Relationship Id="rId95" Type="http://schemas.openxmlformats.org/officeDocument/2006/relationships/hyperlink" Target="http://www.lifewayhouse.com/" TargetMode="External"/><Relationship Id="rId160" Type="http://schemas.openxmlformats.org/officeDocument/2006/relationships/hyperlink" Target="https://www.google.com/maps/dir/?api=1&amp;destination=0.588717,34.553146" TargetMode="External"/><Relationship Id="rId216" Type="http://schemas.openxmlformats.org/officeDocument/2006/relationships/hyperlink" Target="https://www.google.com/maps/dir/?api=1&amp;destination=-1.2759658,36.8511934" TargetMode="External"/><Relationship Id="rId258" Type="http://schemas.openxmlformats.org/officeDocument/2006/relationships/hyperlink" Target="https://www.google.com/maps/dir/?api=1&amp;destination=-1.3131998,36.8266525" TargetMode="External"/><Relationship Id="rId22" Type="http://schemas.openxmlformats.org/officeDocument/2006/relationships/hyperlink" Target="https://www.google.com/maps/dir/?api=1&amp;destination=-0.30284778333581475,36.08013293824661" TargetMode="External"/><Relationship Id="rId64" Type="http://schemas.openxmlformats.org/officeDocument/2006/relationships/hyperlink" Target="https://www.google.com/maps/dir/?api=1&amp;destination=3.9288039939192636,41.861850294063885" TargetMode="External"/><Relationship Id="rId118" Type="http://schemas.openxmlformats.org/officeDocument/2006/relationships/hyperlink" Target="https://www.google.com/maps/dir/?api=1&amp;destination=-1.2180354397237876,36.655363572729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.75" customHeight="1" x14ac:dyDescent="0.2"/>
  <cols>
    <col min="1" max="1" width="30.85546875" customWidth="1"/>
    <col min="2" max="2" width="20.28515625" customWidth="1"/>
    <col min="3" max="3" width="16.42578125" customWidth="1"/>
    <col min="4" max="4" width="24.42578125" customWidth="1"/>
    <col min="5" max="5" width="28.7109375" customWidth="1"/>
    <col min="6" max="6" width="18.7109375" hidden="1" customWidth="1"/>
    <col min="7" max="7" width="28.7109375" customWidth="1"/>
    <col min="8" max="8" width="19.28515625" customWidth="1"/>
    <col min="9" max="9" width="19.42578125" customWidth="1"/>
    <col min="10" max="10" width="34.1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3" t="s">
        <v>8</v>
      </c>
      <c r="B2" s="3" t="s">
        <v>9</v>
      </c>
      <c r="C2" s="3" t="s">
        <v>10</v>
      </c>
      <c r="D2" s="2" t="s">
        <v>11</v>
      </c>
      <c r="E2" s="3" t="s">
        <v>12</v>
      </c>
      <c r="F2" s="3" t="str">
        <f ca="1">IFERROR(__xludf.DUMMYFUNCTION("IF(OR(LEN(TRIM(F2))=0, REGEXMATCH(F2,""@"")), """", IF(REGEXMATCH(LOWER(F2),""(https?://|www\.)?[a-z0-9.-]+\.[a-z]{2,}""), F2, """"))
"),"#REF!")</f>
        <v>#REF!</v>
      </c>
      <c r="G2" s="3" t="str">
        <f t="shared" ref="G2:G64" ca="1" si="0">IFERROR(IF(ISNUMBER(SEARCH("@",F2)),"",F2),"")</f>
        <v>#REF!</v>
      </c>
      <c r="H2" s="3" t="str">
        <f ca="1">IFERROR(__xludf.DUMMYFUNCTION("IFERROR(
  TRIM(
    REGEXEXTRACT(
      SUBSTITUTE(J2,""%20"",""""),
      ""destination=(-?[0-9.]+)""
    )
  ),
"""")
"),"0.5118881960607042")</f>
        <v>0.5118881960607042</v>
      </c>
      <c r="I2" s="4" t="str">
        <f ca="1">IFERROR(__xludf.DUMMYFUNCTION("IFERROR(
  TRIM(
    REGEXEXTRACT(
      SUBSTITUTE(J2,""%20"",""""),
      ""destination=-?[0-9.]+,(-?[0-9.]+)""
    )
  ),
"""")
"),"35.28051990940758")</f>
        <v>35.28051990940758</v>
      </c>
      <c r="J2" s="5" t="s">
        <v>13</v>
      </c>
    </row>
    <row r="3" spans="1:10" x14ac:dyDescent="0.2">
      <c r="A3" s="3" t="s">
        <v>14</v>
      </c>
      <c r="B3" s="3" t="s">
        <v>9</v>
      </c>
      <c r="C3" s="3" t="s">
        <v>15</v>
      </c>
      <c r="D3" s="2" t="s">
        <v>16</v>
      </c>
      <c r="E3" s="6" t="s">
        <v>17</v>
      </c>
      <c r="F3" s="7" t="s">
        <v>18</v>
      </c>
      <c r="G3" s="5" t="str">
        <f t="shared" si="0"/>
        <v>www.adaptkenya.org</v>
      </c>
      <c r="H3" s="3" t="str">
        <f ca="1">IFERROR(__xludf.DUMMYFUNCTION("IFERROR(
  TRIM(
    REGEXEXTRACT(
      SUBSTITUTE(J3,""%20"",""""),
      ""destination=(-?[0-9.]+)""
    )
  ),
"""")
"),"12.923271471982183")</f>
        <v>12.923271471982183</v>
      </c>
      <c r="I3" s="4" t="str">
        <f ca="1">IFERROR(__xludf.DUMMYFUNCTION("IFERROR(
  TRIM(
    REGEXEXTRACT(
      SUBSTITUTE(J3,""%20"",""""),
      ""destination=-?[0-9.]+,(-?[0-9.]+)""
    )
  ),
"""")
"),"80.09980663648956")</f>
        <v>80.09980663648956</v>
      </c>
      <c r="J3" s="5" t="s">
        <v>19</v>
      </c>
    </row>
    <row r="4" spans="1:10" x14ac:dyDescent="0.2">
      <c r="A4" s="3" t="s">
        <v>20</v>
      </c>
      <c r="B4" s="3" t="s">
        <v>9</v>
      </c>
      <c r="C4" s="3" t="s">
        <v>21</v>
      </c>
      <c r="D4" s="2" t="s">
        <v>22</v>
      </c>
      <c r="E4" s="3" t="s">
        <v>23</v>
      </c>
      <c r="F4" s="8" t="s">
        <v>24</v>
      </c>
      <c r="G4" s="5" t="str">
        <f t="shared" si="0"/>
        <v xml:space="preserve">
www.serenity.org</v>
      </c>
      <c r="H4" s="3" t="str">
        <f ca="1">IFERROR(__xludf.DUMMYFUNCTION("IFERROR(
  TRIM(
    REGEXEXTRACT(
      SUBSTITUTE(J4,""%20"",""""),
      ""destination=(-?[0-9.]+)""
    )
  ),
"""")
"),"0.5080951382693916")</f>
        <v>0.5080951382693916</v>
      </c>
      <c r="I4" s="4" t="str">
        <f ca="1">IFERROR(__xludf.DUMMYFUNCTION("IFERROR(
  TRIM(
    REGEXEXTRACT(
      SUBSTITUTE(J4,""%20"",""""),
      ""destination=-?[0-9.]+,(-?[0-9.]+)""
    )
  ),
"""")
"),"35.30420814934346")</f>
        <v>35.30420814934346</v>
      </c>
      <c r="J4" s="5" t="s">
        <v>25</v>
      </c>
    </row>
    <row r="5" spans="1:10" x14ac:dyDescent="0.2">
      <c r="A5" s="3" t="s">
        <v>26</v>
      </c>
      <c r="B5" s="3" t="s">
        <v>9</v>
      </c>
      <c r="C5" s="3" t="s">
        <v>27</v>
      </c>
      <c r="D5" s="2" t="s">
        <v>28</v>
      </c>
      <c r="E5" s="3" t="s">
        <v>29</v>
      </c>
      <c r="F5" s="3" t="s">
        <v>30</v>
      </c>
      <c r="G5" s="3" t="str">
        <f t="shared" si="0"/>
        <v>www.lighthouse healthcare.co.ke</v>
      </c>
      <c r="H5" s="3" t="str">
        <f ca="1">IFERROR(__xludf.DUMMYFUNCTION("IFERROR(
  TRIM(
    REGEXEXTRACT(
      SUBSTITUTE(J5,""%20"",""""),
      ""destination=(-?[0-9.]+)""
    )
  ),
"""")
"),"0.5018587248443283")</f>
        <v>0.5018587248443283</v>
      </c>
      <c r="I5" s="4" t="str">
        <f ca="1">IFERROR(__xludf.DUMMYFUNCTION("IFERROR(
  TRIM(
    REGEXEXTRACT(
      SUBSTITUTE(J5,""%20"",""""),
      ""destination=-?[0-9.]+,(-?[0-9.]+)""
    )
  ),
"""")
"),"35.28822222763667")</f>
        <v>35.28822222763667</v>
      </c>
      <c r="J5" s="5" t="s">
        <v>31</v>
      </c>
    </row>
    <row r="6" spans="1:10" x14ac:dyDescent="0.2">
      <c r="A6" s="3" t="s">
        <v>32</v>
      </c>
      <c r="B6" s="3" t="s">
        <v>9</v>
      </c>
      <c r="C6" s="3" t="s">
        <v>33</v>
      </c>
      <c r="D6" s="2" t="s">
        <v>34</v>
      </c>
      <c r="E6" s="9"/>
      <c r="F6" s="9"/>
      <c r="G6" s="3">
        <f t="shared" si="0"/>
        <v>0</v>
      </c>
      <c r="H6" s="3" t="str">
        <f ca="1">IFERROR(__xludf.DUMMYFUNCTION("IFERROR(
  TRIM(
    REGEXEXTRACT(
      SUBSTITUTE(J6,""%20"",""""),
      ""destination=(-?[0-9.]+)""
    )
  ),
"""")
"),"-1.2792174754664167")</f>
        <v>-1.2792174754664167</v>
      </c>
      <c r="I6" s="4" t="str">
        <f ca="1">IFERROR(__xludf.DUMMYFUNCTION("IFERROR(
  TRIM(
    REGEXEXTRACT(
      SUBSTITUTE(J6,""%20"",""""),
      ""destination=-?[0-9.]+,(-?[0-9.]+)""
    )
  ),
"""")
"),"36.826275078730504")</f>
        <v>36.826275078730504</v>
      </c>
      <c r="J6" s="5" t="s">
        <v>35</v>
      </c>
    </row>
    <row r="7" spans="1:10" x14ac:dyDescent="0.2">
      <c r="A7" s="3" t="s">
        <v>36</v>
      </c>
      <c r="B7" s="3" t="s">
        <v>9</v>
      </c>
      <c r="C7" s="3" t="s">
        <v>37</v>
      </c>
      <c r="D7" s="2" t="s">
        <v>38</v>
      </c>
      <c r="E7" s="3" t="s">
        <v>39</v>
      </c>
      <c r="F7" s="3"/>
      <c r="G7" s="3">
        <f t="shared" si="0"/>
        <v>0</v>
      </c>
      <c r="H7" s="3" t="str">
        <f ca="1">IFERROR(__xludf.DUMMYFUNCTION("IFERROR(
  TRIM(
    REGEXEXTRACT(
      SUBSTITUTE(J7,""%20"",""""),
      ""destination=(-?[0-9.]+)""
    )
  ),
"""")
"),"0.018932849710589082")</f>
        <v>0.018932849710589082</v>
      </c>
      <c r="I7" s="4" t="str">
        <f ca="1">IFERROR(__xludf.DUMMYFUNCTION("IFERROR(
  TRIM(
    REGEXEXTRACT(
      SUBSTITUTE(J7,""%20"",""""),
      ""destination=-?[0-9.]+,(-?[0-9.]+)""
    )
  ),
"""")
"),"34.5816073670808")</f>
        <v>34.5816073670808</v>
      </c>
      <c r="J7" s="5" t="s">
        <v>40</v>
      </c>
    </row>
    <row r="8" spans="1:10" x14ac:dyDescent="0.2">
      <c r="A8" s="3" t="s">
        <v>41</v>
      </c>
      <c r="B8" s="3" t="s">
        <v>9</v>
      </c>
      <c r="C8" s="3" t="s">
        <v>42</v>
      </c>
      <c r="D8" s="2" t="s">
        <v>43</v>
      </c>
      <c r="E8" s="10" t="s">
        <v>44</v>
      </c>
      <c r="F8" s="8" t="s">
        <v>45</v>
      </c>
      <c r="G8" s="5" t="str">
        <f t="shared" si="0"/>
        <v xml:space="preserve"> 
www.kapkitale.com</v>
      </c>
      <c r="H8" s="3" t="str">
        <f ca="1">IFERROR(__xludf.DUMMYFUNCTION("IFERROR(
  TRIM(
    REGEXEXTRACT(
      SUBSTITUTE(J8,""%20"",""""),
      ""destination=(-?[0-9.]+)""
    )
  ),
"""")
"),"1.4847589903679679")</f>
        <v>1.4847589903679679</v>
      </c>
      <c r="I8" s="4" t="str">
        <f ca="1">IFERROR(__xludf.DUMMYFUNCTION("IFERROR(
  TRIM(
    REGEXEXTRACT(
      SUBSTITUTE(J8,""%20"",""""),
      ""destination=-?[0-9.]+,(-?[0-9.]+)""
    )
  ),
"""")
"),"35.075765374982524")</f>
        <v>35.075765374982524</v>
      </c>
      <c r="J8" s="5" t="s">
        <v>46</v>
      </c>
    </row>
    <row r="9" spans="1:10" x14ac:dyDescent="0.2">
      <c r="A9" s="3" t="s">
        <v>47</v>
      </c>
      <c r="B9" s="3" t="s">
        <v>9</v>
      </c>
      <c r="C9" s="3" t="s">
        <v>48</v>
      </c>
      <c r="D9" s="2" t="s">
        <v>49</v>
      </c>
      <c r="E9" s="3" t="s">
        <v>50</v>
      </c>
      <c r="F9" s="3"/>
      <c r="G9" s="3">
        <f t="shared" si="0"/>
        <v>0</v>
      </c>
      <c r="H9" s="3" t="str">
        <f ca="1">IFERROR(__xludf.DUMMYFUNCTION("IFERROR(
  TRIM(
    REGEXEXTRACT(
      SUBSTITUTE(J9,""%20"",""""),
      ""destination=(-?[0-9.]+)""
    )
  ),
"""")
"),"-0.4470774293545054")</f>
        <v>-0.4470774293545054</v>
      </c>
      <c r="I9" s="4" t="str">
        <f ca="1">IFERROR(__xludf.DUMMYFUNCTION("IFERROR(
  TRIM(
    REGEXEXTRACT(
      SUBSTITUTE(J9,""%20"",""""),
      ""destination=-?[0-9.]+,(-?[0-9.]+)""
    )
  ),
"""")
"),"36.976391465233064")</f>
        <v>36.976391465233064</v>
      </c>
      <c r="J9" s="5" t="s">
        <v>51</v>
      </c>
    </row>
    <row r="10" spans="1:10" x14ac:dyDescent="0.2">
      <c r="A10" s="3" t="s">
        <v>52</v>
      </c>
      <c r="B10" s="3" t="s">
        <v>9</v>
      </c>
      <c r="C10" s="3" t="s">
        <v>53</v>
      </c>
      <c r="D10" s="2" t="s">
        <v>54</v>
      </c>
      <c r="E10" s="3" t="s">
        <v>55</v>
      </c>
      <c r="F10" s="3"/>
      <c r="G10" s="3">
        <f t="shared" si="0"/>
        <v>0</v>
      </c>
      <c r="H10" s="3" t="str">
        <f ca="1">IFERROR(__xludf.DUMMYFUNCTION("IFERROR(
  TRIM(
    REGEXEXTRACT(
      SUBSTITUTE(J10,""%20"",""""),
      ""destination=(-?[0-9.]+)""
    )
  ),
"""")
"),"-0.39885369943685584")</f>
        <v>-0.39885369943685584</v>
      </c>
      <c r="I10" s="4" t="str">
        <f ca="1">IFERROR(__xludf.DUMMYFUNCTION("IFERROR(
  TRIM(
    REGEXEXTRACT(
      SUBSTITUTE(J10,""%20"",""""),
      ""destination=-?[0-9.]+,(-?[0-9.]+)""
    )
  ),
"""")
"),"36.91446792475418")</f>
        <v>36.91446792475418</v>
      </c>
      <c r="J10" s="5" t="s">
        <v>56</v>
      </c>
    </row>
    <row r="11" spans="1:10" x14ac:dyDescent="0.2">
      <c r="A11" s="3" t="s">
        <v>57</v>
      </c>
      <c r="B11" s="3" t="s">
        <v>9</v>
      </c>
      <c r="C11" s="3" t="s">
        <v>58</v>
      </c>
      <c r="D11" s="2" t="s">
        <v>59</v>
      </c>
      <c r="E11" s="3" t="s">
        <v>60</v>
      </c>
      <c r="F11" s="3"/>
      <c r="G11" s="3">
        <f t="shared" si="0"/>
        <v>0</v>
      </c>
      <c r="H11" s="3" t="str">
        <f ca="1">IFERROR(__xludf.DUMMYFUNCTION("IFERROR(
  TRIM(
    REGEXEXTRACT(
      SUBSTITUTE(J11,""%20"",""""),
      ""destination=(-?[0-9.]+)""
    )
  ),
"""")
"),"-0.41149512109932224")</f>
        <v>-0.41149512109932224</v>
      </c>
      <c r="I11" s="4" t="str">
        <f ca="1">IFERROR(__xludf.DUMMYFUNCTION("IFERROR(
  TRIM(
    REGEXEXTRACT(
      SUBSTITUTE(J11,""%20"",""""),
      ""destination=-?[0-9.]+,(-?[0-9.]+)""
    )
  ),
"""")
"),"36.890622428454236")</f>
        <v>36.890622428454236</v>
      </c>
      <c r="J11" s="5" t="s">
        <v>61</v>
      </c>
    </row>
    <row r="12" spans="1:10" x14ac:dyDescent="0.2">
      <c r="A12" s="3" t="s">
        <v>62</v>
      </c>
      <c r="B12" s="3" t="s">
        <v>9</v>
      </c>
      <c r="C12" s="3" t="s">
        <v>63</v>
      </c>
      <c r="D12" s="2" t="s">
        <v>64</v>
      </c>
      <c r="E12" s="3" t="s">
        <v>65</v>
      </c>
      <c r="F12" s="3"/>
      <c r="G12" s="3">
        <f t="shared" si="0"/>
        <v>0</v>
      </c>
      <c r="H12" s="3" t="str">
        <f ca="1">IFERROR(__xludf.DUMMYFUNCTION("IFERROR(
  TRIM(
    REGEXEXTRACT(
      SUBSTITUTE(J12,""%20"",""""),
      ""destination=(-?[0-9.]+)""
    )
  ),
"""")
"),"-0.44848187283297647")</f>
        <v>-0.44848187283297647</v>
      </c>
      <c r="I12" s="4" t="str">
        <f ca="1">IFERROR(__xludf.DUMMYFUNCTION("IFERROR(
  TRIM(
    REGEXEXTRACT(
      SUBSTITUTE(J12,""%20"",""""),
      ""destination=-?[0-9.]+,(-?[0-9.]+)""
    )
  ),
"""")
"),"36.991803278725826")</f>
        <v>36.991803278725826</v>
      </c>
      <c r="J12" s="5" t="s">
        <v>66</v>
      </c>
    </row>
    <row r="13" spans="1:10" x14ac:dyDescent="0.2">
      <c r="A13" s="3" t="s">
        <v>67</v>
      </c>
      <c r="B13" s="3" t="s">
        <v>9</v>
      </c>
      <c r="C13" s="3" t="s">
        <v>68</v>
      </c>
      <c r="D13" s="2" t="s">
        <v>69</v>
      </c>
      <c r="E13" s="3" t="s">
        <v>70</v>
      </c>
      <c r="F13" s="3"/>
      <c r="G13" s="3">
        <f t="shared" si="0"/>
        <v>0</v>
      </c>
      <c r="H13" s="3" t="str">
        <f ca="1">IFERROR(__xludf.DUMMYFUNCTION("IFERROR(
  TRIM(
    REGEXEXTRACT(
      SUBSTITUTE(J13,""%20"",""""),
      ""destination=(-?[0-9.]+)""
    )
  ),
"""")
"),"-1.223947391839359")</f>
        <v>-1.223947391839359</v>
      </c>
      <c r="I13" s="4" t="str">
        <f ca="1">IFERROR(__xludf.DUMMYFUNCTION("IFERROR(
  TRIM(
    REGEXEXTRACT(
      SUBSTITUTE(J13,""%20"",""""),
      ""destination=-?[0-9.]+,(-?[0-9.]+)""
    )
  ),
"""")
"),"36.843367205715786")</f>
        <v>36.843367205715786</v>
      </c>
      <c r="J13" s="5" t="s">
        <v>71</v>
      </c>
    </row>
    <row r="14" spans="1:10" x14ac:dyDescent="0.2">
      <c r="A14" s="3" t="s">
        <v>72</v>
      </c>
      <c r="B14" s="3" t="s">
        <v>9</v>
      </c>
      <c r="C14" s="3" t="s">
        <v>73</v>
      </c>
      <c r="D14" s="2" t="s">
        <v>74</v>
      </c>
      <c r="E14" s="10" t="s">
        <v>75</v>
      </c>
      <c r="F14" s="8" t="s">
        <v>76</v>
      </c>
      <c r="G14" s="5" t="str">
        <f t="shared" si="0"/>
        <v xml:space="preserve">
www.safestepsrecoverycentre.co.ke</v>
      </c>
      <c r="H14" s="3" t="str">
        <f ca="1">IFERROR(__xludf.DUMMYFUNCTION("IFERROR(
  TRIM(
    REGEXEXTRACT(
      SUBSTITUTE(J14,""%20"",""""),
      ""destination=(-?[0-9.]+)""
    )
  ),
"""")
"),"-0.4676733021250682")</f>
        <v>-0.4676733021250682</v>
      </c>
      <c r="I14" s="4" t="str">
        <f ca="1">IFERROR(__xludf.DUMMYFUNCTION("IFERROR(
  TRIM(
    REGEXEXTRACT(
      SUBSTITUTE(J14,""%20"",""""),
      ""destination=-?[0-9.]+,(-?[0-9.]+)""
    )
  ),
"""")
"),"37.13780812105445")</f>
        <v>37.13780812105445</v>
      </c>
      <c r="J14" s="5" t="s">
        <v>77</v>
      </c>
    </row>
    <row r="15" spans="1:10" x14ac:dyDescent="0.2">
      <c r="A15" s="3" t="s">
        <v>78</v>
      </c>
      <c r="B15" s="3" t="s">
        <v>9</v>
      </c>
      <c r="C15" s="3" t="s">
        <v>79</v>
      </c>
      <c r="D15" s="11" t="s">
        <v>80</v>
      </c>
      <c r="E15" s="3" t="s">
        <v>81</v>
      </c>
      <c r="F15" s="5" t="s">
        <v>82</v>
      </c>
      <c r="G15" s="5" t="str">
        <f t="shared" si="0"/>
        <v>recoverytrailsmedical.org</v>
      </c>
      <c r="H15" s="3" t="str">
        <f ca="1">IFERROR(__xludf.DUMMYFUNCTION("IFERROR(
  TRIM(
    REGEXEXTRACT(
      SUBSTITUTE(J15,""%20"",""""),
      ""destination=(-?[0-9.]+)""
    )
  ),
"""")
"),"0.029938493848880265")</f>
        <v>0.029938493848880265</v>
      </c>
      <c r="I15" s="4" t="str">
        <f ca="1">IFERROR(__xludf.DUMMYFUNCTION("IFERROR(
  TRIM(
    REGEXEXTRACT(
      SUBSTITUTE(J15,""%20"",""""),
      ""destination=-?[0-9.]+,(-?[0-9.]+)""
    )
  ),
"""")
"),"36.40696498057359")</f>
        <v>36.40696498057359</v>
      </c>
      <c r="J15" s="5" t="s">
        <v>83</v>
      </c>
    </row>
    <row r="16" spans="1:10" x14ac:dyDescent="0.2">
      <c r="A16" s="3" t="s">
        <v>84</v>
      </c>
      <c r="B16" s="3" t="s">
        <v>9</v>
      </c>
      <c r="C16" s="3" t="s">
        <v>85</v>
      </c>
      <c r="D16" s="2" t="s">
        <v>86</v>
      </c>
      <c r="E16" s="3" t="s">
        <v>87</v>
      </c>
      <c r="F16" s="3"/>
      <c r="G16" s="3">
        <f t="shared" si="0"/>
        <v>0</v>
      </c>
      <c r="H16" s="3" t="str">
        <f ca="1">IFERROR(__xludf.DUMMYFUNCTION("IFERROR(
  TRIM(
    REGEXEXTRACT(
      SUBSTITUTE(J16,""%20"",""""),
      ""destination=(-?[0-9.]+)""
    )
  ),
"""")
"),"-0.23685496858662036")</f>
        <v>-0.23685496858662036</v>
      </c>
      <c r="I16" s="4" t="str">
        <f ca="1">IFERROR(__xludf.DUMMYFUNCTION("IFERROR(
  TRIM(
    REGEXEXTRACT(
      SUBSTITUTE(J16,""%20"",""""),
      ""destination=-?[0-9.]+,(-?[0-9.]+)""
    )
  ),
"""")
"),"35.73137557872474")</f>
        <v>35.73137557872474</v>
      </c>
      <c r="J16" s="5" t="s">
        <v>88</v>
      </c>
    </row>
    <row r="17" spans="1:10" x14ac:dyDescent="0.2">
      <c r="A17" s="3" t="s">
        <v>89</v>
      </c>
      <c r="B17" s="3" t="s">
        <v>9</v>
      </c>
      <c r="C17" s="3" t="s">
        <v>90</v>
      </c>
      <c r="D17" s="2" t="s">
        <v>91</v>
      </c>
      <c r="E17" s="3" t="s">
        <v>92</v>
      </c>
      <c r="F17" s="3"/>
      <c r="G17" s="3">
        <f t="shared" si="0"/>
        <v>0</v>
      </c>
      <c r="H17" s="3" t="str">
        <f ca="1">IFERROR(__xludf.DUMMYFUNCTION("IFERROR(
  TRIM(
    REGEXEXTRACT(
      SUBSTITUTE(J17,""%20"",""""),
      ""destination=(-?[0-9.]+)""
    )
  ),
"""")
"),"-0.8277458448325485")</f>
        <v>-0.8277458448325485</v>
      </c>
      <c r="I17" s="4" t="str">
        <f ca="1">IFERROR(__xludf.DUMMYFUNCTION("IFERROR(
  TRIM(
    REGEXEXTRACT(
      SUBSTITUTE(J17,""%20"",""""),
      ""destination=-?[0-9.]+,(-?[0-9.]+)""
    )
  ),
"""")
"),"36.34189296338503")</f>
        <v>36.34189296338503</v>
      </c>
      <c r="J17" s="5" t="s">
        <v>93</v>
      </c>
    </row>
    <row r="18" spans="1:10" x14ac:dyDescent="0.2">
      <c r="A18" s="3" t="s">
        <v>94</v>
      </c>
      <c r="B18" s="3" t="s">
        <v>9</v>
      </c>
      <c r="C18" s="3" t="s">
        <v>95</v>
      </c>
      <c r="D18" s="2" t="s">
        <v>96</v>
      </c>
      <c r="E18" s="3" t="s">
        <v>97</v>
      </c>
      <c r="F18" s="3"/>
      <c r="G18" s="3">
        <f t="shared" si="0"/>
        <v>0</v>
      </c>
      <c r="H18" s="3" t="str">
        <f ca="1">IFERROR(__xludf.DUMMYFUNCTION("IFERROR(
  TRIM(
    REGEXEXTRACT(
      SUBSTITUTE(J18,""%20"",""""),
      ""destination=(-?[0-9.]+)""
    )
  ),
"""")
"),"-0.30284778333581475")</f>
        <v>-0.30284778333581475</v>
      </c>
      <c r="I18" s="4" t="str">
        <f ca="1">IFERROR(__xludf.DUMMYFUNCTION("IFERROR(
  TRIM(
    REGEXEXTRACT(
      SUBSTITUTE(J18,""%20"",""""),
      ""destination=-?[0-9.]+,(-?[0-9.]+)""
    )
  ),
"""")
"),"36.08013293824661")</f>
        <v>36.08013293824661</v>
      </c>
      <c r="J18" s="5" t="s">
        <v>98</v>
      </c>
    </row>
    <row r="19" spans="1:10" x14ac:dyDescent="0.2">
      <c r="A19" s="3" t="s">
        <v>99</v>
      </c>
      <c r="B19" s="3" t="s">
        <v>9</v>
      </c>
      <c r="C19" s="3" t="s">
        <v>100</v>
      </c>
      <c r="D19" s="2" t="s">
        <v>101</v>
      </c>
      <c r="E19" s="3" t="s">
        <v>102</v>
      </c>
      <c r="F19" s="3"/>
      <c r="G19" s="3">
        <f t="shared" si="0"/>
        <v>0</v>
      </c>
      <c r="H19" s="3" t="str">
        <f ca="1">IFERROR(__xludf.DUMMYFUNCTION("IFERROR(
  TRIM(
    REGEXEXTRACT(
      SUBSTITUTE(J19,""%20"",""""),
      ""destination=(-?[0-9.]+)""
    )
  ),
"""")
"),"-0.359787512644005")</f>
        <v>-0.359787512644005</v>
      </c>
      <c r="I19" s="4" t="str">
        <f ca="1">IFERROR(__xludf.DUMMYFUNCTION("IFERROR(
  TRIM(
    REGEXEXTRACT(
      SUBSTITUTE(J19,""%20"",""""),
      ""destination=-?[0-9.]+,(-?[0-9.]+)""
    )
  ),
"""")
"),"36.15107159406827")</f>
        <v>36.15107159406827</v>
      </c>
      <c r="J19" s="5" t="s">
        <v>103</v>
      </c>
    </row>
    <row r="20" spans="1:10" x14ac:dyDescent="0.2">
      <c r="A20" s="3" t="s">
        <v>104</v>
      </c>
      <c r="B20" s="3" t="s">
        <v>9</v>
      </c>
      <c r="C20" s="3" t="s">
        <v>105</v>
      </c>
      <c r="D20" s="2" t="s">
        <v>106</v>
      </c>
      <c r="E20" s="3" t="s">
        <v>107</v>
      </c>
      <c r="F20" s="3"/>
      <c r="G20" s="3">
        <f t="shared" si="0"/>
        <v>0</v>
      </c>
      <c r="H20" s="3" t="str">
        <f ca="1">IFERROR(__xludf.DUMMYFUNCTION("IFERROR(
  TRIM(
    REGEXEXTRACT(
      SUBSTITUTE(J20,""%20"",""""),
      ""destination=(-?[0-9.]+)""
    )
  ),
"""")
"),"-0.3353877400927677")</f>
        <v>-0.3353877400927677</v>
      </c>
      <c r="I20" s="4" t="str">
        <f ca="1">IFERROR(__xludf.DUMMYFUNCTION("IFERROR(
  TRIM(
    REGEXEXTRACT(
      SUBSTITUTE(J20,""%20"",""""),
      ""destination=-?[0-9.]+,(-?[0-9.]+)""
    )
  ),
"""")
"),"35.94597198057533")</f>
        <v>35.94597198057533</v>
      </c>
      <c r="J20" s="5" t="s">
        <v>108</v>
      </c>
    </row>
    <row r="21" spans="1:10" x14ac:dyDescent="0.2">
      <c r="A21" s="3" t="s">
        <v>109</v>
      </c>
      <c r="B21" s="3" t="s">
        <v>9</v>
      </c>
      <c r="C21" s="3" t="s">
        <v>110</v>
      </c>
      <c r="D21" s="2" t="s">
        <v>111</v>
      </c>
      <c r="E21" s="3" t="s">
        <v>112</v>
      </c>
      <c r="F21" s="3"/>
      <c r="G21" s="3">
        <f t="shared" si="0"/>
        <v>0</v>
      </c>
      <c r="H21" s="3" t="str">
        <f ca="1">IFERROR(__xludf.DUMMYFUNCTION("IFERROR(
  TRIM(
    REGEXEXTRACT(
      SUBSTITUTE(J21,""%20"",""""),
      ""destination=(-?[0-9.]+)""
    )
  ),
"""")
"),"-0.3484593550664043")</f>
        <v>-0.3484593550664043</v>
      </c>
      <c r="I21" s="4" t="str">
        <f ca="1">IFERROR(__xludf.DUMMYFUNCTION("IFERROR(
  TRIM(
    REGEXEXTRACT(
      SUBSTITUTE(J21,""%20"",""""),
      ""destination=-?[0-9.]+,(-?[0-9.]+)""
    )
  ),
"""")
"),"36.21743634988951")</f>
        <v>36.21743634988951</v>
      </c>
      <c r="J21" s="5" t="s">
        <v>113</v>
      </c>
    </row>
    <row r="22" spans="1:10" x14ac:dyDescent="0.2">
      <c r="A22" s="3" t="s">
        <v>114</v>
      </c>
      <c r="B22" s="3" t="s">
        <v>9</v>
      </c>
      <c r="C22" s="3" t="s">
        <v>115</v>
      </c>
      <c r="D22" s="2" t="s">
        <v>116</v>
      </c>
      <c r="E22" s="3" t="s">
        <v>117</v>
      </c>
      <c r="F22" s="5" t="s">
        <v>118</v>
      </c>
      <c r="G22" s="5" t="str">
        <f t="shared" si="0"/>
        <v>www.goldenlifekenya.org</v>
      </c>
      <c r="H22" s="3" t="str">
        <f ca="1">IFERROR(__xludf.DUMMYFUNCTION("IFERROR(
  TRIM(
    REGEXEXTRACT(
      SUBSTITUTE(J22,""%20"",""""),
      ""destination=(-?[0-9.]+)""
    )
  ),
"""")
"),"-0.7474407570118691")</f>
        <v>-0.7474407570118691</v>
      </c>
      <c r="I22" s="4" t="str">
        <f ca="1">IFERROR(__xludf.DUMMYFUNCTION("IFERROR(
  TRIM(
    REGEXEXTRACT(
      SUBSTITUTE(J22,""%20"",""""),
      ""destination=-?[0-9.]+,(-?[0-9.]+)""
    )
  ),
"""")
"),"36.47551957872729")</f>
        <v>36.47551957872729</v>
      </c>
      <c r="J22" s="5" t="s">
        <v>119</v>
      </c>
    </row>
    <row r="23" spans="1:10" x14ac:dyDescent="0.2">
      <c r="A23" s="3" t="s">
        <v>120</v>
      </c>
      <c r="B23" s="3" t="s">
        <v>9</v>
      </c>
      <c r="C23" s="3" t="s">
        <v>121</v>
      </c>
      <c r="D23" s="2" t="s">
        <v>122</v>
      </c>
      <c r="E23" s="3" t="s">
        <v>123</v>
      </c>
      <c r="F23" s="5" t="s">
        <v>124</v>
      </c>
      <c r="G23" s="5" t="str">
        <f t="shared" si="0"/>
        <v>www.silwanfountain.org</v>
      </c>
      <c r="H23" s="3" t="str">
        <f ca="1">IFERROR(__xludf.DUMMYFUNCTION("IFERROR(
  TRIM(
    REGEXEXTRACT(
      SUBSTITUTE(J23,""%20"",""""),
      ""destination=(-?[0-9.]+)""
    )
  ),
"""")
"),"-1.2129557172745251")</f>
        <v>-1.2129557172745251</v>
      </c>
      <c r="I23" s="4" t="str">
        <f ca="1">IFERROR(__xludf.DUMMYFUNCTION("IFERROR(
  TRIM(
    REGEXEXTRACT(
      SUBSTITUTE(J23,""%20"",""""),
      ""destination=-?[0-9.]+,(-?[0-9.]+)""
    )
  ),
"""")
"),"36.87527077873006")</f>
        <v>36.87527077873006</v>
      </c>
      <c r="J23" s="5" t="s">
        <v>125</v>
      </c>
    </row>
    <row r="24" spans="1:10" x14ac:dyDescent="0.2">
      <c r="A24" s="3" t="s">
        <v>126</v>
      </c>
      <c r="B24" s="3" t="s">
        <v>9</v>
      </c>
      <c r="C24" s="3" t="s">
        <v>127</v>
      </c>
      <c r="D24" s="2" t="s">
        <v>128</v>
      </c>
      <c r="E24" s="10" t="s">
        <v>129</v>
      </c>
      <c r="F24" s="8" t="s">
        <v>130</v>
      </c>
      <c r="G24" s="5" t="str">
        <f t="shared" si="0"/>
        <v>www.lifebridgehospital.org</v>
      </c>
      <c r="H24" s="3" t="str">
        <f ca="1">IFERROR(__xludf.DUMMYFUNCTION("IFERROR(
  TRIM(
    REGEXEXTRACT(
      SUBSTITUTE(J24,""%20"",""""),
      ""destination=(-?[0-9.]+)""
    )
  ),
"""")
"),"-1.2060462637643818")</f>
        <v>-1.2060462637643818</v>
      </c>
      <c r="I24" s="4" t="str">
        <f ca="1">IFERROR(__xludf.DUMMYFUNCTION("IFERROR(
  TRIM(
    REGEXEXTRACT(
      SUBSTITUTE(J24,""%20"",""""),
      ""destination=-?[0-9.]+,(-?[0-9.]+)""
    )
  ),
"""")
"),"36.887678424758754")</f>
        <v>36.887678424758754</v>
      </c>
      <c r="J24" s="5" t="s">
        <v>131</v>
      </c>
    </row>
    <row r="25" spans="1:10" x14ac:dyDescent="0.2">
      <c r="A25" s="3" t="s">
        <v>132</v>
      </c>
      <c r="B25" s="3" t="s">
        <v>9</v>
      </c>
      <c r="C25" s="3" t="s">
        <v>133</v>
      </c>
      <c r="D25" s="2" t="s">
        <v>134</v>
      </c>
      <c r="E25" s="3" t="s">
        <v>135</v>
      </c>
      <c r="F25" s="8" t="s">
        <v>136</v>
      </c>
      <c r="G25" s="5" t="str">
        <f t="shared" si="0"/>
        <v>www.chiromo.co.ke</v>
      </c>
      <c r="H25" s="3" t="str">
        <f ca="1">IFERROR(__xludf.DUMMYFUNCTION("IFERROR(
  TRIM(
    REGEXEXTRACT(
      SUBSTITUTE(J25,""%20"",""""),
      ""destination=(-?[0-9.]+)""
    )
  ),
"""")
"),"-1.2651969443343396")</f>
        <v>-1.2651969443343396</v>
      </c>
      <c r="I25" s="4" t="str">
        <f ca="1">IFERROR(__xludf.DUMMYFUNCTION("IFERROR(
  TRIM(
    REGEXEXTRACT(
      SUBSTITUTE(J25,""%20"",""""),
      ""destination=-?[0-9.]+,(-?[0-9.]+)""
    )
  ),
"""")
"),"36.809871297721216")</f>
        <v>36.809871297721216</v>
      </c>
      <c r="J25" s="5" t="s">
        <v>137</v>
      </c>
    </row>
    <row r="26" spans="1:10" x14ac:dyDescent="0.2">
      <c r="A26" s="3" t="s">
        <v>138</v>
      </c>
      <c r="B26" s="3" t="s">
        <v>9</v>
      </c>
      <c r="C26" s="3" t="s">
        <v>139</v>
      </c>
      <c r="D26" s="2" t="s">
        <v>140</v>
      </c>
      <c r="E26" s="3" t="s">
        <v>141</v>
      </c>
      <c r="F26" s="5" t="s">
        <v>142</v>
      </c>
      <c r="G26" s="5" t="str">
        <f t="shared" si="0"/>
        <v>www.shekowtreatmentandrehabilitationcentre</v>
      </c>
      <c r="H26" s="3" t="str">
        <f ca="1">IFERROR(__xludf.DUMMYFUNCTION("IFERROR(
  TRIM(
    REGEXEXTRACT(
      SUBSTITUTE(J26,""%20"",""""),
      ""destination=(-?[0-9.]+)""
    )
  ),
"""")
"),"-1.2839125758549916")</f>
        <v>-1.2839125758549916</v>
      </c>
      <c r="I26" s="4" t="str">
        <f ca="1">IFERROR(__xludf.DUMMYFUNCTION("IFERROR(
  TRIM(
    REGEXEXTRACT(
      SUBSTITUTE(J26,""%20"",""""),
      ""destination=-?[0-9.]+,(-?[0-9.]+)""
    )
  ),
"""")
"),"36.85356574010224")</f>
        <v>36.85356574010224</v>
      </c>
      <c r="J26" s="5" t="s">
        <v>143</v>
      </c>
    </row>
    <row r="27" spans="1:10" x14ac:dyDescent="0.2">
      <c r="A27" s="3" t="s">
        <v>144</v>
      </c>
      <c r="B27" s="3" t="s">
        <v>9</v>
      </c>
      <c r="C27" s="3" t="s">
        <v>145</v>
      </c>
      <c r="D27" s="2" t="s">
        <v>146</v>
      </c>
      <c r="E27" s="3" t="s">
        <v>147</v>
      </c>
      <c r="F27" s="5" t="s">
        <v>148</v>
      </c>
      <c r="G27" s="5" t="str">
        <f t="shared" si="0"/>
        <v>https://irshaadrehabilitationcentre.com</v>
      </c>
      <c r="H27" s="3" t="str">
        <f ca="1">IFERROR(__xludf.DUMMYFUNCTION("IFERROR(
  TRIM(
    REGEXEXTRACT(
      SUBSTITUTE(J27,""%20"",""""),
      ""destination=(-?[0-9.]+)""
    )
  ),
"""")
"),"-1.2819367187941044")</f>
        <v>-1.2819367187941044</v>
      </c>
      <c r="I27" s="4" t="str">
        <f ca="1">IFERROR(__xludf.DUMMYFUNCTION("IFERROR(
  TRIM(
    REGEXEXTRACT(
      SUBSTITUTE(J27,""%20"",""""),
      ""destination=-?[0-9.]+,(-?[0-9.]+)""
    )
  ),
"""")
"),"36.85229649407351")</f>
        <v>36.85229649407351</v>
      </c>
      <c r="J27" s="5" t="s">
        <v>149</v>
      </c>
    </row>
    <row r="28" spans="1:10" x14ac:dyDescent="0.2">
      <c r="A28" s="3" t="s">
        <v>150</v>
      </c>
      <c r="B28" s="3" t="s">
        <v>9</v>
      </c>
      <c r="C28" s="3" t="s">
        <v>151</v>
      </c>
      <c r="D28" s="2" t="s">
        <v>152</v>
      </c>
      <c r="E28" s="10" t="s">
        <v>153</v>
      </c>
      <c r="F28" s="8" t="s">
        <v>154</v>
      </c>
      <c r="G28" s="5" t="str">
        <f t="shared" si="0"/>
        <v>https://optimumrehabilitation.com</v>
      </c>
      <c r="H28" s="3" t="str">
        <f ca="1">IFERROR(__xludf.DUMMYFUNCTION("IFERROR(
  TRIM(
    REGEXEXTRACT(
      SUBSTITUTE(J28,""%20"",""""),
      ""destination=(-?[0-9.]+)""
    )
  ),
"""")
"),"-1.3416035512783886")</f>
        <v>-1.3416035512783886</v>
      </c>
      <c r="I28" s="4" t="str">
        <f ca="1">IFERROR(__xludf.DUMMYFUNCTION("IFERROR(
  TRIM(
    REGEXEXTRACT(
      SUBSTITUTE(J28,""%20"",""""),
      ""destination=-?[0-9.]+,(-?[0-9.]+)""
    )
  ),
"""")
"),"36.73666497873093")</f>
        <v>36.73666497873093</v>
      </c>
      <c r="J28" s="5" t="s">
        <v>155</v>
      </c>
    </row>
    <row r="29" spans="1:10" x14ac:dyDescent="0.2">
      <c r="A29" s="3" t="s">
        <v>156</v>
      </c>
      <c r="B29" s="3" t="s">
        <v>9</v>
      </c>
      <c r="C29" s="3" t="s">
        <v>157</v>
      </c>
      <c r="D29" s="2" t="s">
        <v>158</v>
      </c>
      <c r="E29" s="3" t="s">
        <v>159</v>
      </c>
      <c r="F29" s="5" t="s">
        <v>160</v>
      </c>
      <c r="G29" s="5" t="str">
        <f t="shared" si="0"/>
        <v>www.royalvictoryhosp.org</v>
      </c>
      <c r="H29" s="3" t="str">
        <f ca="1">IFERROR(__xludf.DUMMYFUNCTION("IFERROR(
  TRIM(
    REGEXEXTRACT(
      SUBSTITUTE(J29,""%20"",""""),
      ""destination=(-?[0-9.]+)""
    )
  ),
"""")
"),"-1.2477948203214406")</f>
        <v>-1.2477948203214406</v>
      </c>
      <c r="I29" s="4" t="str">
        <f ca="1">IFERROR(__xludf.DUMMYFUNCTION("IFERROR(
  TRIM(
    REGEXEXTRACT(
      SUBSTITUTE(J29,""%20"",""""),
      ""destination=-?[0-9.]+,(-?[0-9.]+)""
    )
  ),
"""")
"),"36.87576659407323")</f>
        <v>36.87576659407323</v>
      </c>
      <c r="J29" s="5" t="s">
        <v>161</v>
      </c>
    </row>
    <row r="30" spans="1:10" x14ac:dyDescent="0.2">
      <c r="A30" s="3" t="s">
        <v>162</v>
      </c>
      <c r="B30" s="3" t="s">
        <v>9</v>
      </c>
      <c r="C30" s="3" t="s">
        <v>163</v>
      </c>
      <c r="D30" s="12" t="s">
        <v>164</v>
      </c>
      <c r="E30" s="3"/>
      <c r="F30" s="5" t="s">
        <v>165</v>
      </c>
      <c r="G30" s="5" t="str">
        <f t="shared" si="0"/>
        <v xml:space="preserve">www.serenehospital.org
</v>
      </c>
      <c r="H30" s="3" t="str">
        <f ca="1">IFERROR(__xludf.DUMMYFUNCTION("IFERROR(
  TRIM(
    REGEXEXTRACT(
      SUBSTITUTE(J30,""%20"",""""),
      ""destination=(-?[0-9.]+)""
    )
  ),
"""")
"),"-1.1783965003005863")</f>
        <v>-1.1783965003005863</v>
      </c>
      <c r="I30" s="4" t="str">
        <f ca="1">IFERROR(__xludf.DUMMYFUNCTION("IFERROR(
  TRIM(
    REGEXEXTRACT(
      SUBSTITUTE(J30,""%20"",""""),
      ""destination=-?[0-9.]+,(-?[0-9.]+)""
    )
  ),
"""")
"),"36.84198279592287")</f>
        <v>36.84198279592287</v>
      </c>
      <c r="J30" s="5" t="s">
        <v>166</v>
      </c>
    </row>
    <row r="31" spans="1:10" x14ac:dyDescent="0.2">
      <c r="A31" s="3" t="s">
        <v>167</v>
      </c>
      <c r="B31" s="3" t="s">
        <v>9</v>
      </c>
      <c r="C31" s="3" t="s">
        <v>168</v>
      </c>
      <c r="D31" s="2" t="s">
        <v>169</v>
      </c>
      <c r="E31" s="3" t="s">
        <v>170</v>
      </c>
      <c r="F31" s="3"/>
      <c r="G31" s="3">
        <f t="shared" si="0"/>
        <v>0</v>
      </c>
      <c r="H31" s="3" t="str">
        <f ca="1">IFERROR(__xludf.DUMMYFUNCTION("IFERROR(
  TRIM(
    REGEXEXTRACT(
      SUBSTITUTE(J31,""%20"",""""),
      ""destination=(-?[0-9.]+)""
    )
  ),
"""")
"),"-1.2781551753787026")</f>
        <v>-1.2781551753787026</v>
      </c>
      <c r="I31" s="4" t="str">
        <f ca="1">IFERROR(__xludf.DUMMYFUNCTION("IFERROR(
  TRIM(
    REGEXEXTRACT(
      SUBSTITUTE(J31,""%20"",""""),
      ""destination=-?[0-9.]+,(-?[0-9.]+)""
    )
  ),
"""")
"),"36.97263262290911")</f>
        <v>36.97263262290911</v>
      </c>
      <c r="J31" s="5" t="s">
        <v>171</v>
      </c>
    </row>
    <row r="32" spans="1:10" x14ac:dyDescent="0.2">
      <c r="A32" s="3" t="s">
        <v>172</v>
      </c>
      <c r="B32" s="3" t="s">
        <v>9</v>
      </c>
      <c r="C32" s="3" t="s">
        <v>173</v>
      </c>
      <c r="D32" s="2" t="s">
        <v>174</v>
      </c>
      <c r="E32" s="10"/>
      <c r="F32" s="8" t="s">
        <v>175</v>
      </c>
      <c r="G32" s="5" t="str">
        <f t="shared" si="0"/>
        <v>www.excelwellness.com</v>
      </c>
      <c r="H32" s="3" t="str">
        <f ca="1">IFERROR(__xludf.DUMMYFUNCTION("IFERROR(
  TRIM(
    REGEXEXTRACT(
      SUBSTITUTE(J32,""%20"",""""),
      ""destination=(-?[0-9.]+)""
    )
  ),
"""")
"),"-1.209387864077582")</f>
        <v>-1.209387864077582</v>
      </c>
      <c r="I32" s="4" t="str">
        <f ca="1">IFERROR(__xludf.DUMMYFUNCTION("IFERROR(
  TRIM(
    REGEXEXTRACT(
      SUBSTITUTE(J32,""%20"",""""),
      ""destination=-?[0-9.]+,(-?[0-9.]+)""
    )
  ),
"""")
"),"36.889812509415826")</f>
        <v>36.889812509415826</v>
      </c>
      <c r="J32" s="5" t="s">
        <v>176</v>
      </c>
    </row>
    <row r="33" spans="1:27" x14ac:dyDescent="0.2">
      <c r="A33" s="3" t="s">
        <v>177</v>
      </c>
      <c r="B33" s="3" t="s">
        <v>9</v>
      </c>
      <c r="C33" s="3" t="s">
        <v>178</v>
      </c>
      <c r="D33" s="2" t="s">
        <v>179</v>
      </c>
      <c r="E33" s="3" t="s">
        <v>180</v>
      </c>
      <c r="F33" s="5" t="s">
        <v>181</v>
      </c>
      <c r="G33" s="5" t="str">
        <f t="shared" si="0"/>
        <v xml:space="preserve">www.medivawellness.org
</v>
      </c>
      <c r="H33" s="3" t="str">
        <f ca="1">IFERROR(__xludf.DUMMYFUNCTION("IFERROR(
  TRIM(
    REGEXEXTRACT(
      SUBSTITUTE(J33,""%20"",""""),
      ""destination=(-?[0-9.]+)""
    )
  ),
"""")
"),"-1.0112079013458792")</f>
        <v>-1.0112079013458792</v>
      </c>
      <c r="I33" s="4" t="str">
        <f ca="1">IFERROR(__xludf.DUMMYFUNCTION("IFERROR(
  TRIM(
    REGEXEXTRACT(
      SUBSTITUTE(J33,""%20"",""""),
      ""destination=-?[0-9.]+,(-?[0-9.]+)""
    )
  ),
"""")
"),"37.06721680756467")</f>
        <v>37.06721680756467</v>
      </c>
      <c r="J33" s="5" t="s">
        <v>182</v>
      </c>
    </row>
    <row r="34" spans="1:27" x14ac:dyDescent="0.2">
      <c r="A34" s="3" t="s">
        <v>183</v>
      </c>
      <c r="B34" s="3" t="s">
        <v>9</v>
      </c>
      <c r="C34" s="3" t="s">
        <v>184</v>
      </c>
      <c r="D34" s="2" t="s">
        <v>185</v>
      </c>
      <c r="E34" s="3" t="s">
        <v>186</v>
      </c>
      <c r="F34" s="5" t="s">
        <v>187</v>
      </c>
      <c r="G34" s="5" t="str">
        <f t="shared" si="0"/>
        <v>www.stmartinsrehab.co.ke</v>
      </c>
      <c r="H34" s="3" t="str">
        <f ca="1">IFERROR(__xludf.DUMMYFUNCTION("IFERROR(
  TRIM(
    REGEXEXTRACT(
      SUBSTITUTE(J34,""%20"",""""),
      ""destination=(-?[0-9.]+)""
    )
  ),
"""")
"),"-0.7836634477334333")</f>
        <v>-0.7836634477334333</v>
      </c>
      <c r="I34" s="4" t="str">
        <f ca="1">IFERROR(__xludf.DUMMYFUNCTION("IFERROR(
  TRIM(
    REGEXEXTRACT(
      SUBSTITUTE(J34,""%20"",""""),
      ""destination=-?[0-9.]+,(-?[0-9.]+)""
    )
  ),
"""")
"),"37.0400653229063")</f>
        <v>37.0400653229063</v>
      </c>
      <c r="J34" s="5" t="s">
        <v>188</v>
      </c>
    </row>
    <row r="35" spans="1:27" x14ac:dyDescent="0.2">
      <c r="A35" s="3" t="s">
        <v>189</v>
      </c>
      <c r="B35" s="3" t="s">
        <v>9</v>
      </c>
      <c r="C35" s="3" t="s">
        <v>190</v>
      </c>
      <c r="D35" s="2" t="s">
        <v>191</v>
      </c>
      <c r="E35" s="3" t="s">
        <v>192</v>
      </c>
      <c r="F35" s="5" t="s">
        <v>193</v>
      </c>
      <c r="G35" s="5" t="str">
        <f t="shared" si="0"/>
        <v>www.promedwellness.co.ke</v>
      </c>
      <c r="H35" s="3" t="str">
        <f ca="1">IFERROR(__xludf.DUMMYFUNCTION("IFERROR(
  TRIM(
    REGEXEXTRACT(
      SUBSTITUTE(J35,""%20"",""""),
      ""destination=(-?[0-9.]+)""
    )
  ),
"""")
"),"-1.0014489006495662")</f>
        <v>-1.0014489006495662</v>
      </c>
      <c r="I35" s="4" t="str">
        <f ca="1">IFERROR(__xludf.DUMMYFUNCTION("IFERROR(
  TRIM(
    REGEXEXTRACT(
      SUBSTITUTE(J35,""%20"",""""),
      ""destination=-?[0-9.]+,(-?[0-9.]+)""
    )
  ),
"""")
"),"37.067797436400305")</f>
        <v>37.067797436400305</v>
      </c>
      <c r="J35" s="5" t="s">
        <v>194</v>
      </c>
    </row>
    <row r="36" spans="1:27" x14ac:dyDescent="0.2">
      <c r="A36" s="3" t="s">
        <v>195</v>
      </c>
      <c r="B36" s="3" t="s">
        <v>9</v>
      </c>
      <c r="C36" s="3" t="s">
        <v>196</v>
      </c>
      <c r="D36" s="2" t="s">
        <v>197</v>
      </c>
      <c r="E36" s="3" t="s">
        <v>198</v>
      </c>
      <c r="F36" s="3"/>
      <c r="G36" s="3">
        <f t="shared" si="0"/>
        <v>0</v>
      </c>
      <c r="H36" s="3" t="str">
        <f ca="1">IFERROR(__xludf.DUMMYFUNCTION("IFERROR(
  TRIM(
    REGEXEXTRACT(
      SUBSTITUTE(J36,""%20"",""""),
      ""destination=(-?[0-9.]+)""
    )
  ),
"""")
"),"-2.410223455943372")</f>
        <v>-2.410223455943372</v>
      </c>
      <c r="I36" s="4" t="str">
        <f ca="1">IFERROR(__xludf.DUMMYFUNCTION("IFERROR(
  TRIM(
    REGEXEXTRACT(
      SUBSTITUTE(J36,""%20"",""""),
      ""destination=-?[0-9.]+,(-?[0-9.]+)""
    )
  ),
"""")
"),"37.967825536410466")</f>
        <v>37.967825536410466</v>
      </c>
      <c r="J36" s="5" t="s">
        <v>199</v>
      </c>
    </row>
    <row r="37" spans="1:27" x14ac:dyDescent="0.2">
      <c r="A37" s="3" t="s">
        <v>200</v>
      </c>
      <c r="B37" s="3" t="s">
        <v>9</v>
      </c>
      <c r="C37" s="3" t="s">
        <v>201</v>
      </c>
      <c r="D37" s="2" t="s">
        <v>202</v>
      </c>
      <c r="E37" s="3" t="s">
        <v>203</v>
      </c>
      <c r="F37" s="5" t="s">
        <v>204</v>
      </c>
      <c r="G37" s="5" t="str">
        <f t="shared" si="0"/>
        <v>www.mewa.or.ke</v>
      </c>
      <c r="H37" s="3" t="str">
        <f ca="1">IFERROR(__xludf.DUMMYFUNCTION("IFERROR(
  TRIM(
    REGEXEXTRACT(
      SUBSTITUTE(J37,""%20"",""""),
      ""destination=(-?[0-9.]+)""
    )
  ),
"""")
"),"-4.012557232575887")</f>
        <v>-4.012557232575887</v>
      </c>
      <c r="I37" s="4" t="str">
        <f ca="1">IFERROR(__xludf.DUMMYFUNCTION("IFERROR(
  TRIM(
    REGEXEXTRACT(
      SUBSTITUTE(J37,""%20"",""""),
      ""destination=-?[0-9.]+,(-?[0-9.]+)""
    )
  ),
"""")
"),"39.69339492108347")</f>
        <v>39.69339492108347</v>
      </c>
      <c r="J37" s="5" t="s">
        <v>205</v>
      </c>
    </row>
    <row r="38" spans="1:27" x14ac:dyDescent="0.2">
      <c r="A38" s="3" t="s">
        <v>206</v>
      </c>
      <c r="B38" s="3" t="s">
        <v>9</v>
      </c>
      <c r="C38" s="3" t="s">
        <v>207</v>
      </c>
      <c r="D38" s="2" t="s">
        <v>208</v>
      </c>
      <c r="E38" s="3" t="s">
        <v>203</v>
      </c>
      <c r="F38" s="5" t="s">
        <v>204</v>
      </c>
      <c r="G38" s="5" t="str">
        <f t="shared" si="0"/>
        <v>www.mewa.or.ke</v>
      </c>
      <c r="H38" s="3" t="str">
        <f ca="1">IFERROR(__xludf.DUMMYFUNCTION("IFERROR(
  TRIM(
    REGEXEXTRACT(
      SUBSTITUTE(J38,""%20"",""""),
      ""destination=(-?[0-9.]+)""
    )
  ),
"""")
"),"-4.006353783978408")</f>
        <v>-4.006353783978408</v>
      </c>
      <c r="I38" s="4" t="str">
        <f ca="1">IFERROR(__xludf.DUMMYFUNCTION("IFERROR(
  TRIM(
    REGEXEXTRACT(
      SUBSTITUTE(J38,""%20"",""""),
      ""destination=-?[0-9.]+,(-?[0-9.]+)""
    )
  ),
"""")
"),"39.693786278061424")</f>
        <v>39.693786278061424</v>
      </c>
      <c r="J38" s="5" t="s">
        <v>209</v>
      </c>
    </row>
    <row r="39" spans="1:27" x14ac:dyDescent="0.2">
      <c r="A39" s="3" t="s">
        <v>210</v>
      </c>
      <c r="B39" s="3" t="s">
        <v>9</v>
      </c>
      <c r="C39" s="3" t="s">
        <v>211</v>
      </c>
      <c r="D39" s="2" t="s">
        <v>212</v>
      </c>
      <c r="E39" s="4"/>
      <c r="F39" s="4"/>
      <c r="G39" s="3">
        <f t="shared" si="0"/>
        <v>0</v>
      </c>
      <c r="H39" s="3" t="str">
        <f ca="1">IFERROR(__xludf.DUMMYFUNCTION("IFERROR(
  TRIM(
    REGEXEXTRACT(
      SUBSTITUTE(J39,""%20"",""""),
      ""destination=(-?[0-9.]+)""
    )
  ),
"""")
"),"-4.061500217783944")</f>
        <v>-4.061500217783944</v>
      </c>
      <c r="I39" s="4" t="str">
        <f ca="1">IFERROR(__xludf.DUMMYFUNCTION("IFERROR(
  TRIM(
    REGEXEXTRACT(
      SUBSTITUTE(J39,""%20"",""""),
      ""destination=-?[0-9.]+,(-?[0-9.]+)""
    )
  ),
"""")
"),"39.67044074029542")</f>
        <v>39.67044074029542</v>
      </c>
      <c r="J39" s="5" t="s">
        <v>213</v>
      </c>
    </row>
    <row r="40" spans="1:27" x14ac:dyDescent="0.2">
      <c r="A40" s="3" t="s">
        <v>214</v>
      </c>
      <c r="B40" s="3" t="s">
        <v>9</v>
      </c>
      <c r="C40" s="3" t="s">
        <v>215</v>
      </c>
      <c r="D40" s="2" t="s">
        <v>216</v>
      </c>
      <c r="E40" s="3" t="s">
        <v>217</v>
      </c>
      <c r="F40" s="3"/>
      <c r="G40" s="3">
        <f t="shared" si="0"/>
        <v>0</v>
      </c>
      <c r="H40" s="3" t="str">
        <f ca="1">IFERROR(__xludf.DUMMYFUNCTION("IFERROR(
  TRIM(
    REGEXEXTRACT(
      SUBSTITUTE(J40,""%20"",""""),
      ""destination=(-?[0-9.]+)""
    )
  ),
"""")
"),"-4.025672925062995")</f>
        <v>-4.025672925062995</v>
      </c>
      <c r="I40" s="4" t="str">
        <f ca="1">IFERROR(__xludf.DUMMYFUNCTION("IFERROR(
  TRIM(
    REGEXEXTRACT(
      SUBSTITUTE(J40,""%20"",""""),
      ""destination=-?[0-9.]+,(-?[0-9.]+)""
    )
  ),
"""")
"),"39.69387696526225")</f>
        <v>39.69387696526225</v>
      </c>
      <c r="J40" s="5" t="s">
        <v>218</v>
      </c>
    </row>
    <row r="41" spans="1:27" x14ac:dyDescent="0.2">
      <c r="A41" s="13" t="s">
        <v>219</v>
      </c>
      <c r="B41" s="13" t="s">
        <v>9</v>
      </c>
      <c r="C41" s="13" t="s">
        <v>220</v>
      </c>
      <c r="D41" s="12" t="s">
        <v>221</v>
      </c>
      <c r="E41" s="13" t="s">
        <v>222</v>
      </c>
      <c r="F41" s="13"/>
      <c r="G41" s="3">
        <f t="shared" si="0"/>
        <v>0</v>
      </c>
      <c r="H41" s="3" t="str">
        <f ca="1">IFERROR(__xludf.DUMMYFUNCTION("IFERROR(
  TRIM(
    REGEXEXTRACT(
      SUBSTITUTE(J41,""%20"",""""),
      ""destination=(-?[0-9.]+)""
    )
  ),
"""")
"),"-0.07639016573203342")</f>
        <v>-0.07639016573203342</v>
      </c>
      <c r="I41" s="4" t="str">
        <f ca="1">IFERROR(__xludf.DUMMYFUNCTION("IFERROR(
  TRIM(
    REGEXEXTRACT(
      SUBSTITUTE(J41,""%20"",""""),
      ""destination=-?[0-9.]+,(-?[0-9.]+)""
    )
  ),
"""")
"),"37.68470366523121")</f>
        <v>37.68470366523121</v>
      </c>
      <c r="J41" s="14" t="s">
        <v>223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x14ac:dyDescent="0.2">
      <c r="A42" s="3" t="s">
        <v>224</v>
      </c>
      <c r="B42" s="3" t="s">
        <v>9</v>
      </c>
      <c r="C42" s="3" t="s">
        <v>225</v>
      </c>
      <c r="D42" s="2" t="s">
        <v>226</v>
      </c>
      <c r="E42" s="3" t="s">
        <v>227</v>
      </c>
      <c r="F42" s="5" t="s">
        <v>228</v>
      </c>
      <c r="G42" s="5" t="str">
        <f t="shared" si="0"/>
        <v>www.stnicholasriti.co.ke</v>
      </c>
      <c r="H42" s="3" t="str">
        <f ca="1">IFERROR(__xludf.DUMMYFUNCTION("IFERROR(
  TRIM(
    REGEXEXTRACT(
      SUBSTITUTE(J42,""%20"",""""),
      ""destination=(-?[0-9.]+)""
    )
  ),
"""")
"),"0.17574900582811112")</f>
        <v>0.17574900582811112</v>
      </c>
      <c r="I42" s="4" t="str">
        <f ca="1">IFERROR(__xludf.DUMMYFUNCTION("IFERROR(
  TRIM(
    REGEXEXTRACT(
      SUBSTITUTE(J42,""%20"",""""),
      ""destination=-?[0-9.]+,(-?[0-9.]+)""
    )
  ),
"""")
"),"37.76159108242318")</f>
        <v>37.76159108242318</v>
      </c>
      <c r="J42" s="5" t="s">
        <v>229</v>
      </c>
    </row>
    <row r="43" spans="1:27" x14ac:dyDescent="0.2">
      <c r="A43" s="13" t="s">
        <v>230</v>
      </c>
      <c r="B43" s="13" t="s">
        <v>9</v>
      </c>
      <c r="C43" s="13" t="s">
        <v>231</v>
      </c>
      <c r="D43" s="12" t="s">
        <v>232</v>
      </c>
      <c r="E43" s="13" t="s">
        <v>233</v>
      </c>
      <c r="F43" s="14" t="s">
        <v>234</v>
      </c>
      <c r="G43" s="5" t="str">
        <f t="shared" si="0"/>
        <v>www.manderawellnesscentre.com</v>
      </c>
      <c r="H43" s="3" t="str">
        <f ca="1">IFERROR(__xludf.DUMMYFUNCTION("IFERROR(
  TRIM(
    REGEXEXTRACT(
      SUBSTITUTE(J43,""%20"",""""),
      ""destination=(-?[0-9.]+)""
    )
  ),
"""")
"),"3.9288039939192636")</f>
        <v>3.9288039939192636</v>
      </c>
      <c r="I43" s="4" t="str">
        <f ca="1">IFERROR(__xludf.DUMMYFUNCTION("IFERROR(
  TRIM(
    REGEXEXTRACT(
      SUBSTITUTE(J43,""%20"",""""),
      ""destination=-?[0-9.]+,(-?[0-9.]+)""
    )
  ),
"""")
"),"41.861850294063885")</f>
        <v>41.861850294063885</v>
      </c>
      <c r="J43" s="14" t="s">
        <v>235</v>
      </c>
    </row>
    <row r="44" spans="1:27" x14ac:dyDescent="0.2">
      <c r="A44" s="3" t="s">
        <v>236</v>
      </c>
      <c r="B44" s="3" t="s">
        <v>9</v>
      </c>
      <c r="C44" s="3" t="s">
        <v>237</v>
      </c>
      <c r="D44" s="2" t="s">
        <v>238</v>
      </c>
      <c r="E44" s="3" t="s">
        <v>239</v>
      </c>
      <c r="F44" s="5" t="s">
        <v>240</v>
      </c>
      <c r="G44" s="5" t="str">
        <f t="shared" si="0"/>
        <v>www.goodshepherehabilitation.co.ke</v>
      </c>
      <c r="H44" s="3" t="str">
        <f ca="1">IFERROR(__xludf.DUMMYFUNCTION("IFERROR(
  TRIM(
    REGEXEXTRACT(
      SUBSTITUTE(J44,""%20"",""""),
      ""destination=(-?[0-9.]+)""
    )
  ),
"""")
"),"-2.41024489463221")</f>
        <v>-2.41024489463221</v>
      </c>
      <c r="I44" s="4" t="str">
        <f ca="1">IFERROR(__xludf.DUMMYFUNCTION("IFERROR(
  TRIM(
    REGEXEXTRACT(
      SUBSTITUTE(J44,""%20"",""""),
      ""destination=-?[0-9.]+,(-?[0-9.]+)""
    )
  ),
"""")
"),"37.96785772291763")</f>
        <v>37.96785772291763</v>
      </c>
      <c r="J44" s="5" t="s">
        <v>241</v>
      </c>
    </row>
    <row r="45" spans="1:27" x14ac:dyDescent="0.2">
      <c r="A45" s="3" t="s">
        <v>242</v>
      </c>
      <c r="B45" s="3" t="s">
        <v>9</v>
      </c>
      <c r="C45" s="3" t="s">
        <v>243</v>
      </c>
      <c r="D45" s="2" t="s">
        <v>244</v>
      </c>
      <c r="E45" s="3" t="s">
        <v>245</v>
      </c>
      <c r="F45" s="3"/>
      <c r="G45" s="3">
        <f t="shared" si="0"/>
        <v>0</v>
      </c>
      <c r="H45" s="3" t="str">
        <f ca="1">IFERROR(__xludf.DUMMYFUNCTION("IFERROR(
  TRIM(
    REGEXEXTRACT(
      SUBSTITUTE(J45,""%20"",""""),
      ""destination=(-?[0-9.]+)""
    )
  ),
"""")
"),"-1.345988300006768")</f>
        <v>-1.345988300006768</v>
      </c>
      <c r="I45" s="4" t="str">
        <f ca="1">IFERROR(__xludf.DUMMYFUNCTION("IFERROR(
  TRIM(
    REGEXEXTRACT(
      SUBSTITUTE(J45,""%20"",""""),
      ""destination=-?[0-9.]+,(-?[0-9.]+)""
    )
  ),
"""")
"),"36.93623942290969")</f>
        <v>36.93623942290969</v>
      </c>
      <c r="J45" s="5" t="s">
        <v>246</v>
      </c>
    </row>
    <row r="46" spans="1:27" x14ac:dyDescent="0.2">
      <c r="A46" s="3" t="s">
        <v>247</v>
      </c>
      <c r="B46" s="3" t="s">
        <v>9</v>
      </c>
      <c r="C46" s="3" t="s">
        <v>248</v>
      </c>
      <c r="D46" s="2" t="s">
        <v>249</v>
      </c>
      <c r="E46" s="3" t="s">
        <v>250</v>
      </c>
      <c r="F46" s="3"/>
      <c r="G46" s="3">
        <f t="shared" si="0"/>
        <v>0</v>
      </c>
      <c r="H46" s="3" t="str">
        <f ca="1">IFERROR(__xludf.DUMMYFUNCTION("IFERROR(
  TRIM(
    REGEXEXTRACT(
      SUBSTITUTE(J46,""%20"",""""),
      ""destination=(-?[0-9.]+)""
    )
  ),
"""")
"),"-1.5380350240044318")</f>
        <v>-1.5380350240044318</v>
      </c>
      <c r="I46" s="4" t="str">
        <f ca="1">IFERROR(__xludf.DUMMYFUNCTION("IFERROR(
  TRIM(
    REGEXEXTRACT(
      SUBSTITUTE(J46,""%20"",""""),
      ""destination=-?[0-9.]+,(-?[0-9.]+)""
    )
  ),
"""")
"),"37.19260068003978")</f>
        <v>37.19260068003978</v>
      </c>
      <c r="J46" s="5" t="s">
        <v>251</v>
      </c>
    </row>
    <row r="47" spans="1:27" x14ac:dyDescent="0.2">
      <c r="A47" s="3" t="s">
        <v>252</v>
      </c>
      <c r="B47" s="3" t="s">
        <v>9</v>
      </c>
      <c r="C47" s="3" t="s">
        <v>253</v>
      </c>
      <c r="D47" s="2" t="s">
        <v>254</v>
      </c>
      <c r="E47" s="3" t="s">
        <v>255</v>
      </c>
      <c r="F47" s="3"/>
      <c r="G47" s="3">
        <f t="shared" si="0"/>
        <v>0</v>
      </c>
      <c r="H47" s="3" t="str">
        <f ca="1">IFERROR(__xludf.DUMMYFUNCTION("IFERROR(
  TRIM(
    REGEXEXTRACT(
      SUBSTITUTE(J47,""%20"",""""),
      ""destination=(-?[0-9.]+)""
    )
  ),
"""")
"),"-1.2889729717953309")</f>
        <v>-1.2889729717953309</v>
      </c>
      <c r="I47" s="4" t="str">
        <f ca="1">IFERROR(__xludf.DUMMYFUNCTION("IFERROR(
  TRIM(
    REGEXEXTRACT(
      SUBSTITUTE(J47,""%20"",""""),
      ""destination=-?[0-9.]+,(-?[0-9.]+)""
    )
  ),
"""")
"),"37.086661734552045")</f>
        <v>37.086661734552045</v>
      </c>
      <c r="J47" s="5" t="s">
        <v>256</v>
      </c>
    </row>
    <row r="48" spans="1:27" x14ac:dyDescent="0.2">
      <c r="A48" s="3" t="s">
        <v>257</v>
      </c>
      <c r="B48" s="3" t="s">
        <v>9</v>
      </c>
      <c r="C48" s="3" t="s">
        <v>258</v>
      </c>
      <c r="D48" s="2" t="s">
        <v>259</v>
      </c>
      <c r="E48" s="3" t="s">
        <v>260</v>
      </c>
      <c r="F48" s="3"/>
      <c r="G48" s="3">
        <f t="shared" si="0"/>
        <v>0</v>
      </c>
      <c r="H48" s="3" t="str">
        <f ca="1">IFERROR(__xludf.DUMMYFUNCTION("IFERROR(
  TRIM(
    REGEXEXTRACT(
      SUBSTITUTE(J48,""%20"",""""),
      ""destination=(-?[0-9.]+)""
    )
  ),
"""")
"),"-2.2648894291316894")</f>
        <v>-2.2648894291316894</v>
      </c>
      <c r="I48" s="4" t="str">
        <f ca="1">IFERROR(__xludf.DUMMYFUNCTION("IFERROR(
  TRIM(
    REGEXEXTRACT(
      SUBSTITUTE(J48,""%20"",""""),
      ""destination=-?[0-9.]+,(-?[0-9.]+)""
    )
  ),
"""")
"),"40.899795907134525")</f>
        <v>40.899795907134525</v>
      </c>
      <c r="J48" s="5" t="s">
        <v>261</v>
      </c>
    </row>
    <row r="49" spans="1:10" x14ac:dyDescent="0.2">
      <c r="A49" s="3" t="s">
        <v>262</v>
      </c>
      <c r="B49" s="3" t="s">
        <v>9</v>
      </c>
      <c r="C49" s="3" t="s">
        <v>263</v>
      </c>
      <c r="D49" s="2" t="s">
        <v>264</v>
      </c>
      <c r="E49" s="3" t="s">
        <v>265</v>
      </c>
      <c r="F49" s="3"/>
      <c r="G49" s="3">
        <f t="shared" si="0"/>
        <v>0</v>
      </c>
      <c r="H49" s="3" t="str">
        <f ca="1">IFERROR(__xludf.DUMMYFUNCTION("IFERROR(
  TRIM(
    REGEXEXTRACT(
      SUBSTITUTE(J49,""%20"",""""),
      ""destination=(-?[0-9.]+)""
    )
  ),
"""")
"),"-1.3889284078746509")</f>
        <v>-1.3889284078746509</v>
      </c>
      <c r="I49" s="4" t="str">
        <f ca="1">IFERROR(__xludf.DUMMYFUNCTION("IFERROR(
  TRIM(
    REGEXEXTRACT(
      SUBSTITUTE(J49,""%20"",""""),
      ""destination=-?[0-9.]+,(-?[0-9.]+)""
    )
  ),
"""")
"),"36.680409936402775")</f>
        <v>36.680409936402775</v>
      </c>
      <c r="J49" s="5" t="s">
        <v>266</v>
      </c>
    </row>
    <row r="50" spans="1:10" x14ac:dyDescent="0.2">
      <c r="A50" s="3" t="s">
        <v>267</v>
      </c>
      <c r="B50" s="3" t="s">
        <v>9</v>
      </c>
      <c r="C50" s="3" t="s">
        <v>268</v>
      </c>
      <c r="D50" s="2" t="s">
        <v>269</v>
      </c>
      <c r="E50" s="3" t="s">
        <v>270</v>
      </c>
      <c r="F50" s="5" t="s">
        <v>271</v>
      </c>
      <c r="G50" s="5" t="str">
        <f t="shared" si="0"/>
        <v>www.reachout.or.ke</v>
      </c>
      <c r="H50" s="3" t="str">
        <f ca="1">IFERROR(__xludf.DUMMYFUNCTION("IFERROR(
  TRIM(
    REGEXEXTRACT(
      SUBSTITUTE(J50,""%20"",""""),
      ""destination=(-?[0-9.]+)""
    )
  ),
"""")
"),"-4.060521642632194")</f>
        <v>-4.060521642632194</v>
      </c>
      <c r="I50" s="4" t="str">
        <f ca="1">IFERROR(__xludf.DUMMYFUNCTION("IFERROR(
  TRIM(
    REGEXEXTRACT(
      SUBSTITUTE(J50,""%20"",""""),
      ""destination=-?[0-9.]+,(-?[0-9.]+)""
    )
  ),
"""")
"),"39.67653680944124")</f>
        <v>39.67653680944124</v>
      </c>
      <c r="J50" s="5" t="s">
        <v>272</v>
      </c>
    </row>
    <row r="51" spans="1:10" x14ac:dyDescent="0.2">
      <c r="A51" s="3" t="s">
        <v>273</v>
      </c>
      <c r="B51" s="3" t="s">
        <v>9</v>
      </c>
      <c r="C51" s="3" t="s">
        <v>274</v>
      </c>
      <c r="D51" s="2" t="s">
        <v>275</v>
      </c>
      <c r="E51" s="3" t="s">
        <v>276</v>
      </c>
      <c r="F51" s="5" t="s">
        <v>277</v>
      </c>
      <c r="G51" s="5" t="str">
        <f t="shared" si="0"/>
        <v>www.nolan-jamescentre.org</v>
      </c>
      <c r="H51" s="3" t="str">
        <f ca="1">IFERROR(__xludf.DUMMYFUNCTION("IFERROR(
  TRIM(
    REGEXEXTRACT(
      SUBSTITUTE(J51,""%20"",""""),
      ""destination=(-?[0-9.]+)""
    )
  ),
"""")
"),"-0.11789512191511613")</f>
        <v>-0.11789512191511613</v>
      </c>
      <c r="I51" s="4" t="str">
        <f ca="1">IFERROR(__xludf.DUMMYFUNCTION("IFERROR(
  TRIM(
    REGEXEXTRACT(
      SUBSTITUTE(J51,""%20"",""""),
      ""destination=-?[0-9.]+,(-?[0-9.]+)""
    )
  ),
"""")
"),"34.78914933454557")</f>
        <v>34.78914933454557</v>
      </c>
      <c r="J51" s="5" t="s">
        <v>278</v>
      </c>
    </row>
    <row r="52" spans="1:10" x14ac:dyDescent="0.2">
      <c r="A52" s="3" t="s">
        <v>279</v>
      </c>
      <c r="B52" s="3" t="s">
        <v>9</v>
      </c>
      <c r="C52" s="3" t="s">
        <v>274</v>
      </c>
      <c r="D52" s="2" t="s">
        <v>280</v>
      </c>
      <c r="E52" s="3" t="s">
        <v>281</v>
      </c>
      <c r="F52" s="5" t="s">
        <v>282</v>
      </c>
      <c r="G52" s="5" t="str">
        <f t="shared" si="0"/>
        <v xml:space="preserve">www.wellwaymedicalcentre.org
</v>
      </c>
      <c r="H52" s="3" t="str">
        <f ca="1">IFERROR(__xludf.DUMMYFUNCTION("IFERROR(
  TRIM(
    REGEXEXTRACT(
      SUBSTITUTE(J52,""%20"",""""),
      ""destination=(-?[0-9.]+)""
    )
  ),
"""")
"),"2.9833906193214244")</f>
        <v>2.9833906193214244</v>
      </c>
      <c r="I52" s="4" t="str">
        <f ca="1">IFERROR(__xludf.DUMMYFUNCTION("IFERROR(
  TRIM(
    REGEXEXTRACT(
      SUBSTITUTE(J52,""%20"",""""),
      ""destination=-?[0-9.]+,(-?[0-9.]+)""
    )
  ),
"""")
"),"34.22332196058031")</f>
        <v>34.22332196058031</v>
      </c>
      <c r="J52" s="5" t="s">
        <v>283</v>
      </c>
    </row>
    <row r="53" spans="1:10" x14ac:dyDescent="0.2">
      <c r="A53" s="3" t="s">
        <v>284</v>
      </c>
      <c r="B53" s="3" t="s">
        <v>9</v>
      </c>
      <c r="C53" s="3" t="s">
        <v>285</v>
      </c>
      <c r="D53" s="2" t="s">
        <v>286</v>
      </c>
      <c r="E53" s="3" t="s">
        <v>287</v>
      </c>
      <c r="F53" s="3"/>
      <c r="G53" s="3">
        <f t="shared" si="0"/>
        <v>0</v>
      </c>
      <c r="H53" s="3" t="str">
        <f ca="1">IFERROR(__xludf.DUMMYFUNCTION("IFERROR(
  TRIM(
    REGEXEXTRACT(
      SUBSTITUTE(J53,""%20"",""""),
      ""destination=(-?[0-9.]+)""
    )
  ),
"""")
"),"-1.326844119894986")</f>
        <v>-1.326844119894986</v>
      </c>
      <c r="I53" s="4" t="str">
        <f ca="1">IFERROR(__xludf.DUMMYFUNCTION("IFERROR(
  TRIM(
    REGEXEXTRACT(
      SUBSTITUTE(J53,""%20"",""""),
      ""destination=-?[0-9.]+,(-?[0-9.]+)""
    )
  ),
"""")
"),"36.74502107873095")</f>
        <v>36.74502107873095</v>
      </c>
      <c r="J53" s="5" t="s">
        <v>288</v>
      </c>
    </row>
    <row r="54" spans="1:10" x14ac:dyDescent="0.2">
      <c r="A54" s="3" t="s">
        <v>289</v>
      </c>
      <c r="B54" s="3" t="s">
        <v>9</v>
      </c>
      <c r="C54" s="3" t="s">
        <v>290</v>
      </c>
      <c r="D54" s="2" t="s">
        <v>291</v>
      </c>
      <c r="E54" s="3" t="s">
        <v>292</v>
      </c>
      <c r="F54" s="5" t="s">
        <v>293</v>
      </c>
      <c r="G54" s="5" t="str">
        <f t="shared" si="0"/>
        <v>www.tinada.org</v>
      </c>
      <c r="H54" s="3" t="str">
        <f ca="1">IFERROR(__xludf.DUMMYFUNCTION("IFERROR(
  TRIM(
    REGEXEXTRACT(
      SUBSTITUTE(J54,""%20"",""""),
      ""destination=(-?[0-9.]+)""
    )
  ),
"""")
"),"-0.08404903871410621")</f>
        <v>-0.08404903871410621</v>
      </c>
      <c r="I54" s="4" t="str">
        <f ca="1">IFERROR(__xludf.DUMMYFUNCTION("IFERROR(
  TRIM(
    REGEXEXTRACT(
      SUBSTITUTE(J54,""%20"",""""),
      ""destination=-?[0-9.]+,(-?[0-9.]+)""
    )
  ),
"""")
"),"34.76659038057413")</f>
        <v>34.76659038057413</v>
      </c>
      <c r="J54" s="5" t="s">
        <v>294</v>
      </c>
    </row>
    <row r="55" spans="1:10" x14ac:dyDescent="0.2">
      <c r="A55" s="3" t="s">
        <v>295</v>
      </c>
      <c r="B55" s="3" t="s">
        <v>9</v>
      </c>
      <c r="C55" s="3" t="s">
        <v>296</v>
      </c>
      <c r="D55" s="2" t="s">
        <v>297</v>
      </c>
      <c r="E55" s="16" t="s">
        <v>298</v>
      </c>
      <c r="F55" s="13"/>
      <c r="G55" s="3">
        <f t="shared" si="0"/>
        <v>0</v>
      </c>
      <c r="H55" s="3" t="str">
        <f ca="1">IFERROR(__xludf.DUMMYFUNCTION("IFERROR(
  TRIM(
    REGEXEXTRACT(
      SUBSTITUTE(J55,""%20"",""""),
      ""destination=(-?[0-9.]+)""
    )
  ),
"""")
"),"-0.6648503964847168")</f>
        <v>-0.6648503964847168</v>
      </c>
      <c r="I55" s="4" t="str">
        <f ca="1">IFERROR(__xludf.DUMMYFUNCTION("IFERROR(
  TRIM(
    REGEXEXTRACT(
      SUBSTITUTE(J55,""%20"",""""),
      ""destination=-?[0-9.]+,(-?[0-9.]+)""
    )
  ),
"""")
"),"34.7325216517412")</f>
        <v>34.7325216517412</v>
      </c>
      <c r="J55" s="5" t="s">
        <v>299</v>
      </c>
    </row>
    <row r="56" spans="1:10" x14ac:dyDescent="0.2">
      <c r="A56" s="3" t="s">
        <v>300</v>
      </c>
      <c r="B56" s="3" t="s">
        <v>9</v>
      </c>
      <c r="C56" s="3" t="s">
        <v>301</v>
      </c>
      <c r="D56" s="2" t="s">
        <v>302</v>
      </c>
      <c r="E56" s="3" t="s">
        <v>303</v>
      </c>
      <c r="F56" s="5" t="s">
        <v>304</v>
      </c>
      <c r="G56" s="5" t="str">
        <f t="shared" si="0"/>
        <v>www.oasishealthcaregroup.com</v>
      </c>
      <c r="H56" s="3" t="str">
        <f ca="1">IFERROR(__xludf.DUMMYFUNCTION("IFERROR(
  TRIM(
    REGEXEXTRACT(
      SUBSTITUTE(J56,""%20"",""""),
      ""destination=(-?[0-9.]+)""
    )
  ),
"""")
"),"-0.6678748685399817")</f>
        <v>-0.6678748685399817</v>
      </c>
      <c r="I56" s="4" t="str">
        <f ca="1">IFERROR(__xludf.DUMMYFUNCTION("IFERROR(
  TRIM(
    REGEXEXTRACT(
      SUBSTITUTE(J56,""%20"",""""),
      ""destination=-?[0-9.]+,(-?[0-9.]+)""
    )
  ),
"""")
"),"34.77005435174128")</f>
        <v>34.77005435174128</v>
      </c>
      <c r="J56" s="5" t="s">
        <v>305</v>
      </c>
    </row>
    <row r="57" spans="1:10" x14ac:dyDescent="0.2">
      <c r="A57" s="3" t="s">
        <v>306</v>
      </c>
      <c r="B57" s="3" t="s">
        <v>9</v>
      </c>
      <c r="C57" s="3" t="s">
        <v>307</v>
      </c>
      <c r="D57" s="2" t="s">
        <v>308</v>
      </c>
      <c r="E57" s="4"/>
      <c r="F57" s="4"/>
      <c r="G57" s="3">
        <f t="shared" si="0"/>
        <v>0</v>
      </c>
      <c r="H57" s="3" t="str">
        <f ca="1">IFERROR(__xludf.DUMMYFUNCTION("IFERROR(
  TRIM(
    REGEXEXTRACT(
      SUBSTITUTE(J57,""%20"",""""),
      ""destination=(-?[0-9.]+)""
    )
  ),
"""")
"),"-0.6201541377693625")</f>
        <v>-0.6201541377693625</v>
      </c>
      <c r="I57" s="4" t="str">
        <f ca="1">IFERROR(__xludf.DUMMYFUNCTION("IFERROR(
  TRIM(
    REGEXEXTRACT(
      SUBSTITUTE(J57,""%20"",""""),
      ""destination=-?[0-9.]+,(-?[0-9.]+)""
    )
  ),
"""")
"),"37.36548746708398")</f>
        <v>37.36548746708398</v>
      </c>
      <c r="J57" s="5" t="s">
        <v>309</v>
      </c>
    </row>
    <row r="58" spans="1:10" x14ac:dyDescent="0.2">
      <c r="A58" s="3" t="s">
        <v>310</v>
      </c>
      <c r="B58" s="3" t="s">
        <v>9</v>
      </c>
      <c r="C58" s="3" t="s">
        <v>311</v>
      </c>
      <c r="D58" s="2" t="s">
        <v>312</v>
      </c>
      <c r="E58" s="3" t="s">
        <v>313</v>
      </c>
      <c r="F58" s="5" t="s">
        <v>204</v>
      </c>
      <c r="G58" s="5" t="str">
        <f t="shared" si="0"/>
        <v>www.mewa.or.ke</v>
      </c>
      <c r="H58" s="3" t="str">
        <f ca="1">IFERROR(__xludf.DUMMYFUNCTION("IFERROR(
  TRIM(
    REGEXEXTRACT(
      SUBSTITUTE(J58,""%20"",""""),
      ""destination=(-?[0-9.]+)""
    )
  ),
"""")
"),"-3.5103616614399833")</f>
        <v>-3.5103616614399833</v>
      </c>
      <c r="I58" s="4" t="str">
        <f ca="1">IFERROR(__xludf.DUMMYFUNCTION("IFERROR(
  TRIM(
    REGEXEXTRACT(
      SUBSTITUTE(J58,""%20"",""""),
      ""destination=-?[0-9.]+,(-?[0-9.]+)""
    )
  ),
"""")
"),"39.909369809435205")</f>
        <v>39.909369809435205</v>
      </c>
      <c r="J58" s="5" t="s">
        <v>314</v>
      </c>
    </row>
    <row r="59" spans="1:10" x14ac:dyDescent="0.2">
      <c r="A59" s="3" t="s">
        <v>315</v>
      </c>
      <c r="B59" s="3" t="s">
        <v>9</v>
      </c>
      <c r="C59" s="3" t="s">
        <v>316</v>
      </c>
      <c r="D59" s="2" t="s">
        <v>317</v>
      </c>
      <c r="E59" s="3" t="s">
        <v>313</v>
      </c>
      <c r="F59" s="5" t="s">
        <v>204</v>
      </c>
      <c r="G59" s="5" t="str">
        <f t="shared" si="0"/>
        <v>www.mewa.or.ke</v>
      </c>
      <c r="H59" s="3" t="str">
        <f ca="1">IFERROR(__xludf.DUMMYFUNCTION("IFERROR(
  TRIM(
    REGEXEXTRACT(
      SUBSTITUTE(J59,""%20"",""""),
      ""destination=(-?[0-9.]+)""
    )
  ),
"""")
"),"-3.6155049646199586")</f>
        <v>-3.6155049646199586</v>
      </c>
      <c r="I59" s="4" t="str">
        <f ca="1">IFERROR(__xludf.DUMMYFUNCTION("IFERROR(
  TRIM(
    REGEXEXTRACT(
      SUBSTITUTE(J59,""%20"",""""),
      ""destination=-?[0-9.]+,(-?[0-9.]+)""
    )
  ),
"""")
"),"39.85119289544244")</f>
        <v>39.85119289544244</v>
      </c>
      <c r="J59" s="5" t="s">
        <v>318</v>
      </c>
    </row>
    <row r="60" spans="1:10" x14ac:dyDescent="0.2">
      <c r="A60" s="3" t="s">
        <v>319</v>
      </c>
      <c r="B60" s="3" t="s">
        <v>9</v>
      </c>
      <c r="C60" s="3" t="s">
        <v>320</v>
      </c>
      <c r="D60" s="2" t="s">
        <v>321</v>
      </c>
      <c r="E60" s="10" t="s">
        <v>322</v>
      </c>
      <c r="F60" s="5" t="s">
        <v>323</v>
      </c>
      <c r="G60" s="5" t="str">
        <f t="shared" si="0"/>
        <v>www.nururehab.co.ke</v>
      </c>
      <c r="H60" s="3" t="str">
        <f ca="1">IFERROR(__xludf.DUMMYFUNCTION("IFERROR(
  TRIM(
    REGEXEXTRACT(
      SUBSTITUTE(J60,""%20"",""""),
      ""destination=(-?[0-9.]+)""
    )
  ),
"""")
"),"-1.1652815801663234")</f>
        <v>-1.1652815801663234</v>
      </c>
      <c r="I60" s="4" t="str">
        <f ca="1">IFERROR(__xludf.DUMMYFUNCTION("IFERROR(
  TRIM(
    REGEXEXTRACT(
      SUBSTITUTE(J60,""%20"",""""),
      ""destination=-?[0-9.]+,(-?[0-9.]+)""
    )
  ),
"""")
"),"36.936073151744154")</f>
        <v>36.936073151744154</v>
      </c>
      <c r="J60" s="5" t="s">
        <v>324</v>
      </c>
    </row>
    <row r="61" spans="1:10" x14ac:dyDescent="0.2">
      <c r="A61" s="3" t="s">
        <v>325</v>
      </c>
      <c r="B61" s="3" t="s">
        <v>9</v>
      </c>
      <c r="C61" s="3" t="s">
        <v>326</v>
      </c>
      <c r="D61" s="2" t="s">
        <v>327</v>
      </c>
      <c r="E61" s="3" t="s">
        <v>328</v>
      </c>
      <c r="F61" s="5" t="s">
        <v>329</v>
      </c>
      <c r="G61" s="5" t="str">
        <f t="shared" si="0"/>
        <v>www.nuevarehab.com</v>
      </c>
      <c r="H61" s="3" t="str">
        <f ca="1">IFERROR(__xludf.DUMMYFUNCTION("IFERROR(
  TRIM(
    REGEXEXTRACT(
      SUBSTITUTE(J61,""%20"",""""),
      ""destination=(-?[0-9.]+)""
    )
  ),
"""")
"),"-1.1627821331630686")</f>
        <v>-1.1627821331630686</v>
      </c>
      <c r="I61" s="4" t="str">
        <f ca="1">IFERROR(__xludf.DUMMYFUNCTION("IFERROR(
  TRIM(
    REGEXEXTRACT(
      SUBSTITUTE(J61,""%20"",""""),
      ""destination=-?[0-9.]+,(-?[0-9.]+)""
    )
  ),
"""")
"),"36.92865979592278")</f>
        <v>36.92865979592278</v>
      </c>
      <c r="J61" s="5" t="s">
        <v>330</v>
      </c>
    </row>
    <row r="62" spans="1:10" x14ac:dyDescent="0.2">
      <c r="A62" s="3" t="s">
        <v>331</v>
      </c>
      <c r="B62" s="3" t="s">
        <v>9</v>
      </c>
      <c r="C62" s="3" t="s">
        <v>332</v>
      </c>
      <c r="D62" s="2" t="s">
        <v>333</v>
      </c>
      <c r="E62" s="3" t="s">
        <v>334</v>
      </c>
      <c r="F62" s="5" t="s">
        <v>335</v>
      </c>
      <c r="G62" s="5" t="str">
        <f t="shared" si="0"/>
        <v>www.polkadotsrehab.com</v>
      </c>
      <c r="H62" s="3" t="str">
        <f ca="1">IFERROR(__xludf.DUMMYFUNCTION("IFERROR(
  TRIM(
    REGEXEXTRACT(
      SUBSTITUTE(J62,""%20"",""""),
      ""destination=(-?[0-9.]+)""
    )
  ),
"""")
"),"-1.2784861707499762")</f>
        <v>-1.2784861707499762</v>
      </c>
      <c r="I62" s="4" t="str">
        <f ca="1">IFERROR(__xludf.DUMMYFUNCTION("IFERROR(
  TRIM(
    REGEXEXTRACT(
      SUBSTITUTE(J62,""%20"",""""),
      ""destination=-?[0-9.]+,(-?[0-9.]+)""
    )
  ),
"""")
"),"36.64164826523777")</f>
        <v>36.64164826523777</v>
      </c>
      <c r="J62" s="5" t="s">
        <v>336</v>
      </c>
    </row>
    <row r="63" spans="1:10" x14ac:dyDescent="0.2">
      <c r="A63" s="3" t="s">
        <v>337</v>
      </c>
      <c r="B63" s="3" t="s">
        <v>9</v>
      </c>
      <c r="C63" s="3" t="s">
        <v>338</v>
      </c>
      <c r="D63" s="2" t="s">
        <v>339</v>
      </c>
      <c r="E63" s="3" t="s">
        <v>340</v>
      </c>
      <c r="F63" s="8" t="s">
        <v>341</v>
      </c>
      <c r="G63" s="5" t="str">
        <f t="shared" si="0"/>
        <v>www.lifewayhouse.com</v>
      </c>
      <c r="H63" s="3" t="str">
        <f ca="1">IFERROR(__xludf.DUMMYFUNCTION("IFERROR(
  TRIM(
    REGEXEXTRACT(
      SUBSTITUTE(J63,""%20"",""""),
      ""destination=(-?[0-9.]+)""
    )
  ),
"""")
"),"-1.2037780782843577")</f>
        <v>-1.2037780782843577</v>
      </c>
      <c r="I63" s="4" t="str">
        <f ca="1">IFERROR(__xludf.DUMMYFUNCTION("IFERROR(
  TRIM(
    REGEXEXTRACT(
      SUBSTITUTE(J63,""%20"",""""),
      ""destination=-?[0-9.]+,(-?[0-9.]+)""
    )
  ),
"""")
"),"36.840566978729996")</f>
        <v>36.840566978729996</v>
      </c>
      <c r="J63" s="5" t="s">
        <v>342</v>
      </c>
    </row>
    <row r="64" spans="1:10" x14ac:dyDescent="0.2">
      <c r="A64" s="3" t="s">
        <v>343</v>
      </c>
      <c r="B64" s="3" t="s">
        <v>9</v>
      </c>
      <c r="C64" s="3" t="s">
        <v>344</v>
      </c>
      <c r="D64" s="2" t="s">
        <v>345</v>
      </c>
      <c r="E64" s="3" t="s">
        <v>346</v>
      </c>
      <c r="F64" s="5" t="s">
        <v>347</v>
      </c>
      <c r="G64" s="5" t="str">
        <f t="shared" si="0"/>
        <v>www.zawenatreatment.com</v>
      </c>
      <c r="H64" s="3" t="str">
        <f ca="1">IFERROR(__xludf.DUMMYFUNCTION("IFERROR(
  TRIM(
    REGEXEXTRACT(
      SUBSTITUTE(J64,""%20"",""""),
      ""destination=(-?[0-9.]+)""
    )
  ),
"""")
"),"-1.1189092898530884")</f>
        <v>-1.1189092898530884</v>
      </c>
      <c r="I64" s="4" t="str">
        <f ca="1">IFERROR(__xludf.DUMMYFUNCTION("IFERROR(
  TRIM(
    REGEXEXTRACT(
      SUBSTITUTE(J64,""%20"",""""),
      ""destination=-?[0-9.]+,(-?[0-9.]+)""
    )
  ),
"""")
"),"36.756039651743954")</f>
        <v>36.756039651743954</v>
      </c>
      <c r="J64" s="5" t="s">
        <v>348</v>
      </c>
    </row>
    <row r="65" spans="1:10" x14ac:dyDescent="0.2">
      <c r="A65" s="3" t="s">
        <v>349</v>
      </c>
      <c r="B65" s="3" t="s">
        <v>9</v>
      </c>
      <c r="C65" s="3" t="s">
        <v>350</v>
      </c>
      <c r="D65" s="2" t="s">
        <v>351</v>
      </c>
      <c r="E65" s="10" t="s">
        <v>352</v>
      </c>
      <c r="F65" s="8" t="s">
        <v>353</v>
      </c>
      <c r="G65" s="8" t="s">
        <v>354</v>
      </c>
      <c r="H65" s="3" t="str">
        <f ca="1">IFERROR(__xludf.DUMMYFUNCTION("IFERROR(
  TRIM(
    REGEXEXTRACT(
      SUBSTITUTE(J65,""%20"",""""),
      ""destination=(-?[0-9.]+)""
    )
  ),
"""")
"),"-1.1823799615713797")</f>
        <v>-1.1823799615713797</v>
      </c>
      <c r="I65" s="4" t="str">
        <f ca="1">IFERROR(__xludf.DUMMYFUNCTION("IFERROR(
  TRIM(
    REGEXEXTRACT(
      SUBSTITUTE(J65,""%20"",""""),
      ""destination=-?[0-9.]+,(-?[0-9.]+)""
    )
  ),
"""")
"),"36.71510596338702")</f>
        <v>36.71510596338702</v>
      </c>
      <c r="J65" s="5" t="s">
        <v>355</v>
      </c>
    </row>
    <row r="66" spans="1:10" x14ac:dyDescent="0.2">
      <c r="A66" s="3" t="s">
        <v>356</v>
      </c>
      <c r="B66" s="3" t="s">
        <v>9</v>
      </c>
      <c r="C66" s="3" t="s">
        <v>357</v>
      </c>
      <c r="D66" s="2" t="s">
        <v>358</v>
      </c>
      <c r="E66" s="3" t="s">
        <v>359</v>
      </c>
      <c r="F66" s="3" t="s">
        <v>360</v>
      </c>
      <c r="G66" s="8" t="s">
        <v>361</v>
      </c>
      <c r="H66" s="3" t="str">
        <f ca="1">IFERROR(__xludf.DUMMYFUNCTION("IFERROR(
  TRIM(
    REGEXEXTRACT(
      SUBSTITUTE(J66,""%20"",""""),
      ""destination=(-?[0-9.]+)""
    )
  ),
"""")
"),"-1.1154380826990102")</f>
        <v>-1.1154380826990102</v>
      </c>
      <c r="I66" s="4" t="str">
        <f ca="1">IFERROR(__xludf.DUMMYFUNCTION("IFERROR(
  TRIM(
    REGEXEXTRACT(
      SUBSTITUTE(J66,""%20"",""""),
      ""destination=-?[0-9.]+,(-?[0-9.]+)""
    )
  ),
"""")
"),"36.95256382721326")</f>
        <v>36.95256382721326</v>
      </c>
      <c r="J66" s="5" t="s">
        <v>362</v>
      </c>
    </row>
    <row r="67" spans="1:10" x14ac:dyDescent="0.2">
      <c r="A67" s="3" t="s">
        <v>363</v>
      </c>
      <c r="B67" s="3" t="s">
        <v>9</v>
      </c>
      <c r="C67" s="3" t="s">
        <v>364</v>
      </c>
      <c r="D67" s="2" t="s">
        <v>365</v>
      </c>
      <c r="E67" s="3" t="s">
        <v>366</v>
      </c>
      <c r="F67" s="3" t="s">
        <v>367</v>
      </c>
      <c r="G67" s="8" t="s">
        <v>368</v>
      </c>
      <c r="H67" s="3" t="str">
        <f ca="1">IFERROR(__xludf.DUMMYFUNCTION("IFERROR(
  TRIM(
    REGEXEXTRACT(
      SUBSTITUTE(J67,""%20"",""""),
      ""destination=(-?[0-9.]+)""
    )
  ),
"""")
"),"-1.2052229049202619")</f>
        <v>-1.2052229049202619</v>
      </c>
      <c r="I67" s="4" t="str">
        <f ca="1">IFERROR(__xludf.DUMMYFUNCTION("IFERROR(
  TRIM(
    REGEXEXTRACT(
      SUBSTITUTE(J67,""%20"",""""),
      ""destination=-?[0-9.]+,(-?[0-9.]+)""
    )
  ),
"""")
"),"36.72524593640156")</f>
        <v>36.72524593640156</v>
      </c>
      <c r="J67" s="5" t="s">
        <v>369</v>
      </c>
    </row>
    <row r="68" spans="1:10" x14ac:dyDescent="0.2">
      <c r="A68" s="3" t="s">
        <v>370</v>
      </c>
      <c r="B68" s="3" t="s">
        <v>9</v>
      </c>
      <c r="C68" s="3" t="s">
        <v>371</v>
      </c>
      <c r="D68" s="2" t="s">
        <v>372</v>
      </c>
      <c r="E68" s="3" t="s">
        <v>373</v>
      </c>
      <c r="F68" s="3"/>
      <c r="G68" s="3">
        <f>IFERROR(IF(ISNUMBER(SEARCH("@",F68)),"",F68),"")</f>
        <v>0</v>
      </c>
      <c r="H68" s="3" t="str">
        <f ca="1">IFERROR(__xludf.DUMMYFUNCTION("IFERROR(
  TRIM(
    REGEXEXTRACT(
      SUBSTITUTE(J68,""%20"",""""),
      ""destination=(-?[0-9.]+)""
    )
  ),
"""")
"),"-1.2283197295651305")</f>
        <v>-1.2283197295651305</v>
      </c>
      <c r="I68" s="4" t="str">
        <f ca="1">IFERROR(__xludf.DUMMYFUNCTION("IFERROR(
  TRIM(
    REGEXEXTRACT(
      SUBSTITUTE(J68,""%20"",""""),
      ""destination=-?[0-9.]+,(-?[0-9.]+)""
    )
  ),
"""")
"),"36.705303094073024")</f>
        <v>36.705303094073024</v>
      </c>
      <c r="J68" s="5" t="s">
        <v>374</v>
      </c>
    </row>
    <row r="69" spans="1:10" x14ac:dyDescent="0.2">
      <c r="A69" s="3" t="s">
        <v>375</v>
      </c>
      <c r="B69" s="3" t="s">
        <v>9</v>
      </c>
      <c r="C69" s="3" t="s">
        <v>376</v>
      </c>
      <c r="D69" s="2" t="s">
        <v>377</v>
      </c>
      <c r="E69" s="3" t="s">
        <v>378</v>
      </c>
      <c r="F69" s="3" t="s">
        <v>379</v>
      </c>
      <c r="G69" s="8" t="s">
        <v>380</v>
      </c>
      <c r="H69" s="3" t="str">
        <f ca="1">IFERROR(__xludf.DUMMYFUNCTION("IFERROR(
  TRIM(
    REGEXEXTRACT(
      SUBSTITUTE(J69,""%20"",""""),
      ""destination=(-?[0-9.]+)""
    )
  ),
"""")
"),"-1.1671210867897739")</f>
        <v>-1.1671210867897739</v>
      </c>
      <c r="I69" s="4" t="str">
        <f ca="1">IFERROR(__xludf.DUMMYFUNCTION("IFERROR(
  TRIM(
    REGEXEXTRACT(
      SUBSTITUTE(J69,""%20"",""""),
      ""destination=-?[0-9.]+,(-?[0-9.]+)""
    )
  ),
"""")
"),"36.883020692222715")</f>
        <v>36.883020692222715</v>
      </c>
      <c r="J69" s="5" t="s">
        <v>381</v>
      </c>
    </row>
    <row r="70" spans="1:10" x14ac:dyDescent="0.2">
      <c r="A70" s="3" t="s">
        <v>382</v>
      </c>
      <c r="B70" s="3" t="s">
        <v>9</v>
      </c>
      <c r="C70" s="3" t="s">
        <v>383</v>
      </c>
      <c r="D70" s="2" t="s">
        <v>384</v>
      </c>
      <c r="E70" s="3" t="s">
        <v>385</v>
      </c>
      <c r="F70" s="3"/>
      <c r="G70" s="3">
        <f>IFERROR(IF(ISNUMBER(SEARCH("@",F70)),"",F70),"")</f>
        <v>0</v>
      </c>
      <c r="H70" s="3" t="str">
        <f ca="1">IFERROR(__xludf.DUMMYFUNCTION("IFERROR(
  TRIM(
    REGEXEXTRACT(
      SUBSTITUTE(J70,""%20"",""""),
      ""destination=(-?[0-9.]+)""
    )
  ),
"""")
"),"-1.1651777197043267")</f>
        <v>-1.1651777197043267</v>
      </c>
      <c r="I70" s="4" t="str">
        <f ca="1">IFERROR(__xludf.DUMMYFUNCTION("IFERROR(
  TRIM(
    REGEXEXTRACT(
      SUBSTITUTE(J70,""%20"",""""),
      ""destination=-?[0-9.]+,(-?[0-9.]+)""
    )
  ),
"""")
"),"36.66732503640138")</f>
        <v>36.66732503640138</v>
      </c>
      <c r="J70" s="5" t="s">
        <v>386</v>
      </c>
    </row>
    <row r="71" spans="1:10" x14ac:dyDescent="0.2">
      <c r="A71" s="3" t="s">
        <v>387</v>
      </c>
      <c r="B71" s="3" t="s">
        <v>9</v>
      </c>
      <c r="C71" s="3" t="s">
        <v>388</v>
      </c>
      <c r="D71" s="2" t="s">
        <v>389</v>
      </c>
      <c r="E71" s="3" t="s">
        <v>390</v>
      </c>
      <c r="F71" s="3" t="s">
        <v>391</v>
      </c>
      <c r="G71" s="8" t="s">
        <v>392</v>
      </c>
      <c r="H71" s="3" t="str">
        <f ca="1">IFERROR(__xludf.DUMMYFUNCTION("IFERROR(
  TRIM(
    REGEXEXTRACT(
      SUBSTITUTE(J71,""%20"",""""),
      ""destination=(-?[0-9.]+)""
    )
  ),
"""")
"),"-1.1671814005340466")</f>
        <v>-1.1671814005340466</v>
      </c>
      <c r="I71" s="4" t="str">
        <f ca="1">IFERROR(__xludf.DUMMYFUNCTION("IFERROR(
  TRIM(
    REGEXEXTRACT(
      SUBSTITUTE(J71,""%20"",""""),
      ""destination=-?[0-9.]+,(-?[0-9.]+)""
    )
  ),
"""")
"),"36.654850480579896")</f>
        <v>36.654850480579896</v>
      </c>
      <c r="J71" s="5" t="s">
        <v>393</v>
      </c>
    </row>
    <row r="72" spans="1:10" x14ac:dyDescent="0.2">
      <c r="A72" s="3" t="s">
        <v>394</v>
      </c>
      <c r="B72" s="3" t="s">
        <v>9</v>
      </c>
      <c r="C72" s="3" t="s">
        <v>395</v>
      </c>
      <c r="D72" s="2" t="s">
        <v>396</v>
      </c>
      <c r="E72" s="4"/>
      <c r="F72" s="4"/>
      <c r="G72" s="3">
        <f>IFERROR(IF(ISNUMBER(SEARCH("@",F72)),"",F72),"")</f>
        <v>0</v>
      </c>
      <c r="H72" s="3" t="str">
        <f ca="1">IFERROR(__xludf.DUMMYFUNCTION("IFERROR(
  TRIM(
    REGEXEXTRACT(
      SUBSTITUTE(J72,""%20"",""""),
      ""destination=(-?[0-9.]+)""
    )
  ),
"""")
"),"-1.0862642262095035")</f>
        <v>-1.0862642262095035</v>
      </c>
      <c r="I72" s="4" t="str">
        <f ca="1">IFERROR(__xludf.DUMMYFUNCTION("IFERROR(
  TRIM(
    REGEXEXTRACT(
      SUBSTITUTE(J72,""%20"",""""),
      ""destination=-?[0-9.]+,(-?[0-9.]+)""
    )
  ),
"""")
"),"36.778523540100906")</f>
        <v>36.778523540100906</v>
      </c>
      <c r="J72" s="5" t="s">
        <v>397</v>
      </c>
    </row>
    <row r="73" spans="1:10" x14ac:dyDescent="0.2">
      <c r="A73" s="3" t="s">
        <v>398</v>
      </c>
      <c r="B73" s="3" t="s">
        <v>9</v>
      </c>
      <c r="C73" s="3" t="s">
        <v>399</v>
      </c>
      <c r="D73" s="2" t="s">
        <v>400</v>
      </c>
      <c r="E73" s="3" t="s">
        <v>401</v>
      </c>
      <c r="F73" s="3" t="s">
        <v>402</v>
      </c>
      <c r="G73" s="8" t="s">
        <v>403</v>
      </c>
      <c r="H73" s="3" t="str">
        <f ca="1">IFERROR(__xludf.DUMMYFUNCTION("IFERROR(
  TRIM(
    REGEXEXTRACT(
      SUBSTITUTE(J73,""%20"",""""),
      ""destination=(-?[0-9.]+)""
    )
  ),
"""")
"),"-1.1890235091332515")</f>
        <v>-1.1890235091332515</v>
      </c>
      <c r="I73" s="4" t="str">
        <f ca="1">IFERROR(__xludf.DUMMYFUNCTION("IFERROR(
  TRIM(
    REGEXEXTRACT(
      SUBSTITUTE(J73,""%20"",""""),
      ""destination=-?[0-9.]+,(-?[0-9.]+)""
    )
  ),
"""")
"),"36.84043049407286")</f>
        <v>36.84043049407286</v>
      </c>
      <c r="J73" s="5" t="s">
        <v>404</v>
      </c>
    </row>
    <row r="74" spans="1:10" x14ac:dyDescent="0.2">
      <c r="A74" s="3" t="s">
        <v>405</v>
      </c>
      <c r="B74" s="3" t="s">
        <v>9</v>
      </c>
      <c r="C74" s="3" t="s">
        <v>406</v>
      </c>
      <c r="D74" s="2" t="s">
        <v>407</v>
      </c>
      <c r="E74" s="3" t="s">
        <v>408</v>
      </c>
      <c r="F74" s="3"/>
      <c r="G74" s="3">
        <f>IFERROR(IF(ISNUMBER(SEARCH("@",F74)),"",F74),"")</f>
        <v>0</v>
      </c>
      <c r="H74" s="3" t="str">
        <f ca="1">IFERROR(__xludf.DUMMYFUNCTION("IFERROR(
  TRIM(
    REGEXEXTRACT(
      SUBSTITUTE(J74,""%20"",""""),
      ""destination=(-?[0-9.]+)""
    )
  ),
"""")
"),"-1.0784085332425861")</f>
        <v>-1.0784085332425861</v>
      </c>
      <c r="I74" s="4" t="str">
        <f ca="1">IFERROR(__xludf.DUMMYFUNCTION("IFERROR(
  TRIM(
    REGEXEXTRACT(
      SUBSTITUTE(J74,""%20"",""""),
      ""destination=-?[0-9.]+,(-?[0-9.]+)""
    )
  ),
"""")
"),"36.80228240447021")</f>
        <v>36.80228240447021</v>
      </c>
      <c r="J74" s="5" t="s">
        <v>409</v>
      </c>
    </row>
    <row r="75" spans="1:10" x14ac:dyDescent="0.2">
      <c r="A75" s="3" t="s">
        <v>410</v>
      </c>
      <c r="B75" s="3" t="s">
        <v>9</v>
      </c>
      <c r="C75" s="3" t="s">
        <v>411</v>
      </c>
      <c r="D75" s="2" t="s">
        <v>412</v>
      </c>
      <c r="E75" s="3" t="s">
        <v>413</v>
      </c>
      <c r="F75" s="3" t="s">
        <v>414</v>
      </c>
      <c r="G75" s="8" t="s">
        <v>415</v>
      </c>
      <c r="H75" s="3" t="str">
        <f ca="1">IFERROR(__xludf.DUMMYFUNCTION("IFERROR(
  TRIM(
    REGEXEXTRACT(
      SUBSTITUTE(J75,""%20"",""""),
      ""destination=(-?[0-9.]+)""
    )
  ),
"""")
"),"-1.1673058601974466")</f>
        <v>-1.1673058601974466</v>
      </c>
      <c r="I75" s="4" t="str">
        <f ca="1">IFERROR(__xludf.DUMMYFUNCTION("IFERROR(
  TRIM(
    REGEXEXTRACT(
      SUBSTITUTE(J75,""%20"",""""),
      ""destination=-?[0-9.]+,(-?[0-9.]+)""
    )
  ),
"""")
"),"36.63916180756554")</f>
        <v>36.63916180756554</v>
      </c>
      <c r="J75" s="5" t="s">
        <v>416</v>
      </c>
    </row>
    <row r="76" spans="1:10" x14ac:dyDescent="0.2">
      <c r="A76" s="3" t="s">
        <v>417</v>
      </c>
      <c r="B76" s="3" t="s">
        <v>9</v>
      </c>
      <c r="C76" s="3" t="s">
        <v>418</v>
      </c>
      <c r="D76" s="2" t="s">
        <v>419</v>
      </c>
      <c r="E76" s="3" t="s">
        <v>420</v>
      </c>
      <c r="F76" s="3"/>
      <c r="G76" s="3">
        <f>IFERROR(IF(ISNUMBER(SEARCH("@",F76)),"",F76),"")</f>
        <v>0</v>
      </c>
      <c r="H76" s="3" t="str">
        <f ca="1">IFERROR(__xludf.DUMMYFUNCTION("IFERROR(
  TRIM(
    REGEXEXTRACT(
      SUBSTITUTE(J76,""%20"",""""),
      ""destination=(-?[0-9.]+)""
    )
  ),
"""")
"),"-1.2180354397237876")</f>
        <v>-1.2180354397237876</v>
      </c>
      <c r="I76" s="4" t="str">
        <f ca="1">IFERROR(__xludf.DUMMYFUNCTION("IFERROR(
  TRIM(
    REGEXEXTRACT(
      SUBSTITUTE(J76,""%20"",""""),
      ""destination=-?[0-9.]+,(-?[0-9.]+)""
    )
  ),
"""")
"),"36.655363572729485")</f>
        <v>36.655363572729485</v>
      </c>
      <c r="J76" s="5" t="s">
        <v>421</v>
      </c>
    </row>
    <row r="77" spans="1:10" x14ac:dyDescent="0.2">
      <c r="A77" s="3" t="s">
        <v>422</v>
      </c>
      <c r="B77" s="3" t="s">
        <v>9</v>
      </c>
      <c r="C77" s="3" t="s">
        <v>423</v>
      </c>
      <c r="D77" s="2" t="s">
        <v>424</v>
      </c>
      <c r="E77" s="3" t="s">
        <v>425</v>
      </c>
      <c r="F77" s="3" t="s">
        <v>426</v>
      </c>
      <c r="G77" s="8" t="s">
        <v>427</v>
      </c>
      <c r="H77" s="3" t="str">
        <f ca="1">IFERROR(__xludf.DUMMYFUNCTION("IFERROR(
  TRIM(
    REGEXEXTRACT(
      SUBSTITUTE(J77,""%20"",""""),
      ""destination=(-?[0-9.]+)""
    )
  ),
"""")
"),"-1.3476434935598094")</f>
        <v>-1.3476434935598094</v>
      </c>
      <c r="I77" s="4" t="str">
        <f ca="1">IFERROR(__xludf.DUMMYFUNCTION("IFERROR(
  TRIM(
    REGEXEXTRACT(
      SUBSTITUTE(J77,""%20"",""""),
      ""destination=-?[0-9.]+,(-?[0-9.]+)""
    )
  ),
"""")
"),"36.72629373359107")</f>
        <v>36.72629373359107</v>
      </c>
      <c r="J77" s="5" t="s">
        <v>428</v>
      </c>
    </row>
    <row r="78" spans="1:10" x14ac:dyDescent="0.2">
      <c r="A78" s="3" t="s">
        <v>429</v>
      </c>
      <c r="B78" s="3" t="s">
        <v>9</v>
      </c>
      <c r="C78" s="3" t="s">
        <v>430</v>
      </c>
      <c r="D78" s="2" t="s">
        <v>431</v>
      </c>
      <c r="E78" s="3" t="s">
        <v>432</v>
      </c>
      <c r="F78" s="3"/>
      <c r="G78" s="3">
        <f t="shared" ref="G78:G237" si="1">IFERROR(IF(ISNUMBER(SEARCH("@",F78)),"",F78),"")</f>
        <v>0</v>
      </c>
      <c r="H78" s="3" t="str">
        <f ca="1">IFERROR(__xludf.DUMMYFUNCTION("IFERROR(
  TRIM(
    REGEXEXTRACT(
      SUBSTITUTE(J78,""%20"",""""),
      ""destination=(-?[0-9.]+)""
    )
  ),
"""")
"),"-1.1090590550559756")</f>
        <v>-1.1090590550559756</v>
      </c>
      <c r="I78" s="4" t="str">
        <f ca="1">IFERROR(__xludf.DUMMYFUNCTION("IFERROR(
  TRIM(
    REGEXEXTRACT(
      SUBSTITUTE(J78,""%20"",""""),
      ""destination=-?[0-9.]+,(-?[0-9.]+)""
    )
  ),
"""")
"),"36.64342555174384")</f>
        <v>36.64342555174384</v>
      </c>
      <c r="J78" s="5" t="s">
        <v>433</v>
      </c>
    </row>
    <row r="79" spans="1:10" x14ac:dyDescent="0.2">
      <c r="A79" s="3" t="s">
        <v>434</v>
      </c>
      <c r="B79" s="3" t="s">
        <v>9</v>
      </c>
      <c r="C79" s="3" t="s">
        <v>435</v>
      </c>
      <c r="D79" s="2" t="s">
        <v>436</v>
      </c>
      <c r="E79" s="3" t="s">
        <v>437</v>
      </c>
      <c r="F79" s="3"/>
      <c r="G79" s="3">
        <f t="shared" si="1"/>
        <v>0</v>
      </c>
      <c r="H79" s="3" t="str">
        <f ca="1">IFERROR(__xludf.DUMMYFUNCTION("IFERROR(
  TRIM(
    REGEXEXTRACT(
      SUBSTITUTE(J79,""%20"",""""),
      ""destination=(-?[0-9.]+)""
    )
  ),
"""")
"),"-1.205977916674748")</f>
        <v>-1.205977916674748</v>
      </c>
      <c r="I79" s="4" t="str">
        <f ca="1">IFERROR(__xludf.DUMMYFUNCTION("IFERROR(
  TRIM(
    REGEXEXTRACT(
      SUBSTITUTE(J79,""%20"",""""),
      ""destination=-?[0-9.]+,(-?[0-9.]+)""
    )
  ),
"""")
"),"36.835959836401564")</f>
        <v>36.835959836401564</v>
      </c>
      <c r="J79" s="5" t="s">
        <v>438</v>
      </c>
    </row>
    <row r="80" spans="1:10" x14ac:dyDescent="0.2">
      <c r="A80" s="3" t="s">
        <v>439</v>
      </c>
      <c r="B80" s="3" t="s">
        <v>9</v>
      </c>
      <c r="C80" s="3" t="s">
        <v>440</v>
      </c>
      <c r="D80" s="2" t="s">
        <v>441</v>
      </c>
      <c r="E80" s="3" t="s">
        <v>442</v>
      </c>
      <c r="F80" s="5" t="s">
        <v>443</v>
      </c>
      <c r="G80" s="5" t="str">
        <f t="shared" si="1"/>
        <v>www.diamondsrecovery.com</v>
      </c>
      <c r="H80" s="3" t="str">
        <f ca="1">IFERROR(__xludf.DUMMYFUNCTION("IFERROR(
  TRIM(
    REGEXEXTRACT(
      SUBSTITUTE(J80,""%20"",""""),
      ""destination=(-?[0-9.]+)""
    )
  ),
"""")
"),"-1.172574146793912")</f>
        <v>-1.172574146793912</v>
      </c>
      <c r="I80" s="4" t="str">
        <f ca="1">IFERROR(__xludf.DUMMYFUNCTION("IFERROR(
  TRIM(
    REGEXEXTRACT(
      SUBSTITUTE(J80,""%20"",""""),
      ""destination=-?[0-9.]+,(-?[0-9.]+)""
    )
  ),
"""")
"),"36.87643348057988")</f>
        <v>36.87643348057988</v>
      </c>
      <c r="J80" s="5" t="s">
        <v>444</v>
      </c>
    </row>
    <row r="81" spans="1:10" x14ac:dyDescent="0.2">
      <c r="A81" s="3" t="s">
        <v>445</v>
      </c>
      <c r="B81" s="3" t="s">
        <v>9</v>
      </c>
      <c r="C81" s="3" t="s">
        <v>446</v>
      </c>
      <c r="D81" s="2" t="s">
        <v>447</v>
      </c>
      <c r="E81" s="3" t="s">
        <v>448</v>
      </c>
      <c r="F81" s="3"/>
      <c r="G81" s="3">
        <f t="shared" si="1"/>
        <v>0</v>
      </c>
      <c r="H81" s="3" t="str">
        <f ca="1">IFERROR(__xludf.DUMMYFUNCTION("IFERROR(
  TRIM(
    REGEXEXTRACT(
      SUBSTITUTE(J81,""%20"",""""),
      ""destination=(-?[0-9.]+)""
    )
  ),
"""")
"),"-1.189063962186287")</f>
        <v>-1.189063962186287</v>
      </c>
      <c r="I81" s="4" t="str">
        <f ca="1">IFERROR(__xludf.DUMMYFUNCTION("IFERROR(
  TRIM(
    REGEXEXTRACT(
      SUBSTITUTE(J81,""%20"",""""),
      ""destination=-?[0-9.]+,(-?[0-9.]+)""
    )
  ),
"""")
"),"36.93416602290854")</f>
        <v>36.93416602290854</v>
      </c>
      <c r="J81" s="5" t="s">
        <v>449</v>
      </c>
    </row>
    <row r="82" spans="1:10" x14ac:dyDescent="0.2">
      <c r="A82" s="13" t="s">
        <v>450</v>
      </c>
      <c r="B82" s="3" t="s">
        <v>9</v>
      </c>
      <c r="C82" s="3"/>
      <c r="D82" s="2"/>
      <c r="E82" s="3"/>
      <c r="F82" s="3"/>
      <c r="G82" s="3">
        <f t="shared" si="1"/>
        <v>0</v>
      </c>
      <c r="H82" s="3" t="str">
        <f ca="1">IFERROR(__xludf.DUMMYFUNCTION("IFERROR(
  TRIM(
    REGEXEXTRACT(
      SUBSTITUTE(J82,""%20"",""""),
      ""destination=(-?[0-9.]+)""
    )
  ),
"""")
"),"")</f>
        <v/>
      </c>
      <c r="I82" s="4" t="str">
        <f ca="1">IFERROR(__xludf.DUMMYFUNCTION("IFERROR(
  TRIM(
    REGEXEXTRACT(
      SUBSTITUTE(J82,""%20"",""""),
      ""destination=-?[0-9.]+,(-?[0-9.]+)""
    )
  ),
"""")
"),"")</f>
        <v/>
      </c>
      <c r="J82" s="3"/>
    </row>
    <row r="83" spans="1:10" x14ac:dyDescent="0.2">
      <c r="A83" s="13" t="s">
        <v>451</v>
      </c>
      <c r="B83" s="3" t="s">
        <v>9</v>
      </c>
      <c r="C83" s="3"/>
      <c r="D83" s="2"/>
      <c r="E83" s="3"/>
      <c r="F83" s="3"/>
      <c r="G83" s="3">
        <f t="shared" si="1"/>
        <v>0</v>
      </c>
      <c r="H83" s="3" t="str">
        <f ca="1">IFERROR(__xludf.DUMMYFUNCTION("IFERROR(
  TRIM(
    REGEXEXTRACT(
      SUBSTITUTE(J83,""%20"",""""),
      ""destination=(-?[0-9.]+)""
    )
  ),
"""")
"),"")</f>
        <v/>
      </c>
      <c r="I83" s="4" t="str">
        <f ca="1">IFERROR(__xludf.DUMMYFUNCTION("IFERROR(
  TRIM(
    REGEXEXTRACT(
      SUBSTITUTE(J83,""%20"",""""),
      ""destination=-?[0-9.]+,(-?[0-9.]+)""
    )
  ),
"""")
"),"")</f>
        <v/>
      </c>
      <c r="J83" s="3"/>
    </row>
    <row r="84" spans="1:10" x14ac:dyDescent="0.2">
      <c r="A84" s="3" t="s">
        <v>452</v>
      </c>
      <c r="B84" s="3" t="s">
        <v>9</v>
      </c>
      <c r="C84" s="3" t="s">
        <v>453</v>
      </c>
      <c r="D84" s="2" t="s">
        <v>454</v>
      </c>
      <c r="E84" s="3" t="s">
        <v>455</v>
      </c>
      <c r="F84" s="3"/>
      <c r="G84" s="3">
        <f t="shared" si="1"/>
        <v>0</v>
      </c>
      <c r="H84" s="3" t="str">
        <f ca="1">IFERROR(__xludf.DUMMYFUNCTION("IFERROR(
  TRIM(
    REGEXEXTRACT(
      SUBSTITUTE(J84,""%20"",""""),
      ""destination=(-?[0-9.]+)""
    )
  ),
"""")
"),"-1.1345140840018892")</f>
        <v>-1.1345140840018892</v>
      </c>
      <c r="I84" s="4" t="str">
        <f ca="1">IFERROR(__xludf.DUMMYFUNCTION("IFERROR(
  TRIM(
    REGEXEXTRACT(
      SUBSTITUTE(J84,""%20"",""""),
      ""destination=-?[0-9.]+,(-?[0-9.]+)""
    )
  ),
"""")
"),"36.96806474989399")</f>
        <v>36.96806474989399</v>
      </c>
      <c r="J84" s="5" t="s">
        <v>456</v>
      </c>
    </row>
    <row r="85" spans="1:10" x14ac:dyDescent="0.2">
      <c r="A85" s="3" t="s">
        <v>457</v>
      </c>
      <c r="B85" s="3" t="s">
        <v>9</v>
      </c>
      <c r="C85" s="3" t="s">
        <v>357</v>
      </c>
      <c r="D85" s="2" t="s">
        <v>358</v>
      </c>
      <c r="E85" s="10" t="s">
        <v>359</v>
      </c>
      <c r="F85" s="8" t="s">
        <v>458</v>
      </c>
      <c r="G85" s="5" t="str">
        <f t="shared" si="1"/>
        <v>www.smartlifewellnesscentre.co.ke</v>
      </c>
      <c r="H85" s="3" t="str">
        <f ca="1">IFERROR(__xludf.DUMMYFUNCTION("IFERROR(
  TRIM(
    REGEXEXTRACT(
      SUBSTITUTE(J85,""%20"",""""),
      ""destination=(-?[0-9.]+)""
    )
  ),
"""")
"),"-1.1218848829435573")</f>
        <v>-1.1218848829435573</v>
      </c>
      <c r="I85" s="4" t="str">
        <f ca="1">IFERROR(__xludf.DUMMYFUNCTION("IFERROR(
  TRIM(
    REGEXEXTRACT(
      SUBSTITUTE(J85,""%20"",""""),
      ""destination=-?[0-9.]+,(-?[0-9.]+)""
    )
  ),
"""")
"),"36.953550878729466")</f>
        <v>36.953550878729466</v>
      </c>
      <c r="J85" s="5" t="s">
        <v>459</v>
      </c>
    </row>
    <row r="86" spans="1:10" x14ac:dyDescent="0.2">
      <c r="A86" s="3" t="s">
        <v>460</v>
      </c>
      <c r="B86" s="3" t="s">
        <v>9</v>
      </c>
      <c r="C86" s="3" t="s">
        <v>461</v>
      </c>
      <c r="D86" s="2" t="s">
        <v>462</v>
      </c>
      <c r="E86" s="3" t="s">
        <v>463</v>
      </c>
      <c r="F86" s="5" t="s">
        <v>464</v>
      </c>
      <c r="G86" s="5" t="str">
        <f t="shared" si="1"/>
        <v xml:space="preserve">www.ambassadorswellnesscentre.com
</v>
      </c>
      <c r="H86" s="3" t="str">
        <f ca="1">IFERROR(__xludf.DUMMYFUNCTION("IFERROR(
  TRIM(
    REGEXEXTRACT(
      SUBSTITUTE(J86,""%20"",""""),
      ""destination=(-?[0-9.]+)""
    )
  ),
"""")
"),"-1.086578040637529")</f>
        <v>-1.086578040637529</v>
      </c>
      <c r="I86" s="4" t="str">
        <f ca="1">IFERROR(__xludf.DUMMYFUNCTION("IFERROR(
  TRIM(
    REGEXEXTRACT(
      SUBSTITUTE(J86,""%20"",""""),
      ""destination=-?[0-9.]+,(-?[0-9.]+)""
    )
  ),
"""")
"),"36.964169178206234")</f>
        <v>36.964169178206234</v>
      </c>
      <c r="J86" s="5" t="s">
        <v>465</v>
      </c>
    </row>
    <row r="87" spans="1:10" x14ac:dyDescent="0.2">
      <c r="A87" s="3" t="s">
        <v>466</v>
      </c>
      <c r="B87" s="3" t="s">
        <v>9</v>
      </c>
      <c r="C87" s="3" t="s">
        <v>467</v>
      </c>
      <c r="D87" s="2" t="s">
        <v>468</v>
      </c>
      <c r="E87" s="3" t="s">
        <v>469</v>
      </c>
      <c r="F87" s="5" t="s">
        <v>470</v>
      </c>
      <c r="G87" s="5" t="str">
        <f t="shared" si="1"/>
        <v xml:space="preserve">www.tigonitreatment.com
 </v>
      </c>
      <c r="H87" s="3" t="str">
        <f ca="1">IFERROR(__xludf.DUMMYFUNCTION("IFERROR(
  TRIM(
    REGEXEXTRACT(
      SUBSTITUTE(J87,""%20"",""""),
      ""destination=(-?[0-9.]+)""
    )
  ),
"""")
"),"-1.1270159180760113")</f>
        <v>-1.1270159180760113</v>
      </c>
      <c r="I87" s="4" t="str">
        <f ca="1">IFERROR(__xludf.DUMMYFUNCTION("IFERROR(
  TRIM(
    REGEXEXTRACT(
      SUBSTITUTE(J87,""%20"",""""),
      ""destination=-?[0-9.]+,(-?[0-9.]+)""
    )
  ),
"""")
"),"36.67836446469002")</f>
        <v>36.67836446469002</v>
      </c>
      <c r="J87" s="5" t="s">
        <v>471</v>
      </c>
    </row>
    <row r="88" spans="1:10" x14ac:dyDescent="0.2">
      <c r="A88" s="3" t="s">
        <v>472</v>
      </c>
      <c r="B88" s="3" t="s">
        <v>9</v>
      </c>
      <c r="C88" s="3" t="s">
        <v>473</v>
      </c>
      <c r="D88" s="2" t="s">
        <v>474</v>
      </c>
      <c r="E88" s="3"/>
      <c r="F88" s="5" t="s">
        <v>475</v>
      </c>
      <c r="G88" s="5" t="str">
        <f t="shared" si="1"/>
        <v xml:space="preserve">
 kizimamentalwelnessfoundation.org
 </v>
      </c>
      <c r="H88" s="3" t="str">
        <f ca="1">IFERROR(__xludf.DUMMYFUNCTION("IFERROR(
  TRIM(
    REGEXEXTRACT(
      SUBSTITUTE(J88,""%20"",""""),
      ""destination=(-?[0-9.]+)""
    )
  ),
"""")
"),"-0.2746983957625612")</f>
        <v>-0.2746983957625612</v>
      </c>
      <c r="I88" s="4" t="str">
        <f ca="1">IFERROR(__xludf.DUMMYFUNCTION("IFERROR(
  TRIM(
    REGEXEXTRACT(
      SUBSTITUTE(J88,""%20"",""""),
      ""destination=-?[0-9.]+,(-?[0-9.]+)""
    )
  ),
"""")
"),"36.15544507872494")</f>
        <v>36.15544507872494</v>
      </c>
      <c r="J88" s="5" t="s">
        <v>476</v>
      </c>
    </row>
    <row r="89" spans="1:10" x14ac:dyDescent="0.2">
      <c r="A89" s="3" t="s">
        <v>477</v>
      </c>
      <c r="B89" s="3" t="s">
        <v>9</v>
      </c>
      <c r="C89" s="3" t="s">
        <v>478</v>
      </c>
      <c r="D89" s="2" t="s">
        <v>479</v>
      </c>
      <c r="E89" s="3" t="s">
        <v>480</v>
      </c>
      <c r="F89" s="3"/>
      <c r="G89" s="3">
        <f t="shared" si="1"/>
        <v>0</v>
      </c>
      <c r="H89" s="3" t="str">
        <f ca="1">IFERROR(__xludf.DUMMYFUNCTION("IFERROR(
  TRIM(
    REGEXEXTRACT(
      SUBSTITUTE(J89,""%20"",""""),
      ""destination=(-?[0-9.]+)""
    )
  ),
"""")
"),"-0.37382204139082326")</f>
        <v>-0.37382204139082326</v>
      </c>
      <c r="I89" s="4" t="str">
        <f ca="1">IFERROR(__xludf.DUMMYFUNCTION("IFERROR(
  TRIM(
    REGEXEXTRACT(
      SUBSTITUTE(J89,""%20"",""""),
      ""destination=-?[0-9.]+,(-?[0-9.]+)""
    )
  ),
"""")
"),"35.28433213824686")</f>
        <v>35.28433213824686</v>
      </c>
      <c r="J89" s="5" t="s">
        <v>481</v>
      </c>
    </row>
    <row r="90" spans="1:10" x14ac:dyDescent="0.2">
      <c r="A90" s="3" t="s">
        <v>482</v>
      </c>
      <c r="B90" s="3" t="s">
        <v>9</v>
      </c>
      <c r="C90" s="3" t="s">
        <v>483</v>
      </c>
      <c r="D90" s="2" t="s">
        <v>484</v>
      </c>
      <c r="E90" s="3" t="s">
        <v>485</v>
      </c>
      <c r="F90" s="3"/>
      <c r="G90" s="3">
        <f t="shared" si="1"/>
        <v>0</v>
      </c>
      <c r="H90" s="3" t="str">
        <f ca="1">IFERROR(__xludf.DUMMYFUNCTION("IFERROR(
  TRIM(
    REGEXEXTRACT(
      SUBSTITUTE(J90,""%20"",""""),
      ""destination=(-?[0-9.]+)""
    )
  ),
"""")
"),"33.42228454924017")</f>
        <v>33.42228454924017</v>
      </c>
      <c r="I90" s="4" t="str">
        <f ca="1">IFERROR(__xludf.DUMMYFUNCTION("IFERROR(
  TRIM(
    REGEXEXTRACT(
      SUBSTITUTE(J90,""%20"",""""),
      ""destination=-?[0-9.]+,(-?[0-9.]+)""
    )
  ),
"""")
"),"-111.82810656276925")</f>
        <v>-111.82810656276925</v>
      </c>
      <c r="J90" s="5" t="s">
        <v>486</v>
      </c>
    </row>
    <row r="91" spans="1:10" x14ac:dyDescent="0.2">
      <c r="A91" s="3" t="s">
        <v>487</v>
      </c>
      <c r="B91" s="3" t="s">
        <v>9</v>
      </c>
      <c r="C91" s="3" t="s">
        <v>488</v>
      </c>
      <c r="D91" s="2" t="s">
        <v>489</v>
      </c>
      <c r="E91" s="3" t="s">
        <v>490</v>
      </c>
      <c r="F91" s="3"/>
      <c r="G91" s="3">
        <f t="shared" si="1"/>
        <v>0</v>
      </c>
      <c r="H91" s="3" t="str">
        <f ca="1">IFERROR(__xludf.DUMMYFUNCTION("IFERROR(
  TRIM(
    REGEXEXTRACT(
      SUBSTITUTE(J91,""%20"",""""),
      ""destination=(-?[0-9.]+)""
    )
  ),
"""")
"),"-1.2666397220059273")</f>
        <v>-1.2666397220059273</v>
      </c>
      <c r="I91" s="4" t="str">
        <f ca="1">IFERROR(__xludf.DUMMYFUNCTION("IFERROR(
  TRIM(
    REGEXEXTRACT(
      SUBSTITUTE(J91,""%20"",""""),
      ""destination=-?[0-9.]+,(-?[0-9.]+)""
    )
  ),
"""")
"),"36.66808249407336")</f>
        <v>36.66808249407336</v>
      </c>
      <c r="J91" s="5" t="s">
        <v>491</v>
      </c>
    </row>
    <row r="92" spans="1:10" x14ac:dyDescent="0.2">
      <c r="A92" s="3" t="s">
        <v>492</v>
      </c>
      <c r="B92" s="3" t="s">
        <v>9</v>
      </c>
      <c r="C92" s="3" t="s">
        <v>493</v>
      </c>
      <c r="D92" s="2" t="s">
        <v>494</v>
      </c>
      <c r="E92" s="3" t="s">
        <v>495</v>
      </c>
      <c r="F92" s="3"/>
      <c r="G92" s="3">
        <f t="shared" si="1"/>
        <v>0</v>
      </c>
      <c r="H92" s="3" t="str">
        <f ca="1">IFERROR(__xludf.DUMMYFUNCTION("IFERROR(
  TRIM(
    REGEXEXTRACT(
      SUBSTITUTE(J92,""%20"",""""),
      ""destination=(-?[0-9.]+)""
    )
  ),
"""")
"),"-1.3960639342644214")</f>
        <v>-1.3960639342644214</v>
      </c>
      <c r="I92" s="4" t="str">
        <f ca="1">IFERROR(__xludf.DUMMYFUNCTION("IFERROR(
  TRIM(
    REGEXEXTRACT(
      SUBSTITUTE(J92,""%20"",""""),
      ""destination=-?[0-9.]+,(-?[0-9.]+)""
    )
  ),
"""")
"),"36.72712798058136")</f>
        <v>36.72712798058136</v>
      </c>
      <c r="J92" s="5" t="s">
        <v>496</v>
      </c>
    </row>
    <row r="93" spans="1:10" x14ac:dyDescent="0.2">
      <c r="A93" s="3" t="s">
        <v>497</v>
      </c>
      <c r="B93" s="3" t="s">
        <v>9</v>
      </c>
      <c r="C93" s="3" t="s">
        <v>498</v>
      </c>
      <c r="D93" s="2" t="s">
        <v>499</v>
      </c>
      <c r="E93" s="3" t="s">
        <v>500</v>
      </c>
      <c r="F93" s="5" t="s">
        <v>501</v>
      </c>
      <c r="G93" s="5" t="str">
        <f t="shared" si="1"/>
        <v>www.myndsparehab.co.ke</v>
      </c>
      <c r="H93" s="3" t="str">
        <f ca="1">IFERROR(__xludf.DUMMYFUNCTION("IFERROR(
  TRIM(
    REGEXEXTRACT(
      SUBSTITUTE(J93,""%20"",""""),
      ""destination=(-?[0-9.]+)""
    )
  ),
"""")
"),"-1.42147253468037")</f>
        <v>-1.42147253468037</v>
      </c>
      <c r="I93" s="4" t="str">
        <f ca="1">IFERROR(__xludf.DUMMYFUNCTION("IFERROR(
  TRIM(
    REGEXEXTRACT(
      SUBSTITUTE(J93,""%20"",""""),
      ""destination=-?[0-9.]+,(-?[0-9.]+)""
    )
  ),
"""")
"),"36.72141087873159")</f>
        <v>36.72141087873159</v>
      </c>
      <c r="J93" s="5" t="s">
        <v>502</v>
      </c>
    </row>
    <row r="94" spans="1:10" x14ac:dyDescent="0.2">
      <c r="A94" s="3" t="s">
        <v>503</v>
      </c>
      <c r="B94" s="3" t="s">
        <v>9</v>
      </c>
      <c r="C94" s="3" t="s">
        <v>504</v>
      </c>
      <c r="D94" s="2" t="s">
        <v>505</v>
      </c>
      <c r="E94" s="3" t="s">
        <v>506</v>
      </c>
      <c r="F94" s="5" t="s">
        <v>507</v>
      </c>
      <c r="G94" s="5" t="str">
        <f t="shared" si="1"/>
        <v>www.crosswaypsychometrics.org</v>
      </c>
      <c r="H94" s="3" t="str">
        <f ca="1">IFERROR(__xludf.DUMMYFUNCTION("IFERROR(
  TRIM(
    REGEXEXTRACT(
      SUBSTITUTE(J94,""%20"",""""),
      ""destination=(-?[0-9.]+)""
    )
  ),
"""")
"),"-1.3929639740907869")</f>
        <v>-1.3929639740907869</v>
      </c>
      <c r="I94" s="4" t="str">
        <f ca="1">IFERROR(__xludf.DUMMYFUNCTION("IFERROR(
  TRIM(
    REGEXEXTRACT(
      SUBSTITUTE(J94,""%20"",""""),
      ""destination=-?[0-9.]+,(-?[0-9.]+)""
    )
  ),
"""")
"),"36.637368949956326")</f>
        <v>36.637368949956326</v>
      </c>
      <c r="J94" s="5" t="s">
        <v>508</v>
      </c>
    </row>
    <row r="95" spans="1:10" x14ac:dyDescent="0.2">
      <c r="A95" s="3" t="s">
        <v>509</v>
      </c>
      <c r="B95" s="3" t="s">
        <v>9</v>
      </c>
      <c r="C95" s="3" t="s">
        <v>510</v>
      </c>
      <c r="D95" s="2" t="s">
        <v>511</v>
      </c>
      <c r="E95" s="3" t="s">
        <v>512</v>
      </c>
      <c r="F95" s="3"/>
      <c r="G95" s="3">
        <f t="shared" si="1"/>
        <v>0</v>
      </c>
      <c r="H95" s="3" t="str">
        <f ca="1">IFERROR(__xludf.DUMMYFUNCTION("IFERROR(
  TRIM(
    REGEXEXTRACT(
      SUBSTITUTE(J95,""%20"",""""),
      ""destination=(-?[0-9.]+)""
    )
  ),
"""")
"),"-1.3618867834399606")</f>
        <v>-1.3618867834399606</v>
      </c>
      <c r="I95" s="4" t="str">
        <f ca="1">IFERROR(__xludf.DUMMYFUNCTION("IFERROR(
  TRIM(
    REGEXEXTRACT(
      SUBSTITUTE(J95,""%20"",""""),
      ""destination=-?[0-9.]+,(-?[0-9.]+)""
    )
  ),
"""")
"),"36.67455198641466")</f>
        <v>36.67455198641466</v>
      </c>
      <c r="J95" s="5" t="s">
        <v>513</v>
      </c>
    </row>
    <row r="96" spans="1:10" x14ac:dyDescent="0.2">
      <c r="A96" s="3" t="s">
        <v>514</v>
      </c>
      <c r="B96" s="3" t="s">
        <v>9</v>
      </c>
      <c r="C96" s="3" t="s">
        <v>515</v>
      </c>
      <c r="D96" s="2" t="s">
        <v>516</v>
      </c>
      <c r="E96" s="3" t="s">
        <v>517</v>
      </c>
      <c r="F96" s="3"/>
      <c r="G96" s="3">
        <f t="shared" si="1"/>
        <v>0</v>
      </c>
      <c r="H96" s="3" t="str">
        <f ca="1">IFERROR(__xludf.DUMMYFUNCTION("IFERROR(
  TRIM(
    REGEXEXTRACT(
      SUBSTITUTE(J96,""%20"",""""),
      ""destination=(-?[0-9.]+)""
    )
  ),
"""")
"),"-1.3720245288614537")</f>
        <v>-1.3720245288614537</v>
      </c>
      <c r="I96" s="4" t="str">
        <f ca="1">IFERROR(__xludf.DUMMYFUNCTION("IFERROR(
  TRIM(
    REGEXEXTRACT(
      SUBSTITUTE(J96,""%20"",""""),
      ""destination=-?[0-9.]+,(-?[0-9.]+)""
    )
  ),
"""")
"),"36.66589646523838")</f>
        <v>36.66589646523838</v>
      </c>
      <c r="J96" s="5" t="s">
        <v>518</v>
      </c>
    </row>
    <row r="97" spans="1:10" x14ac:dyDescent="0.2">
      <c r="A97" s="3" t="s">
        <v>519</v>
      </c>
      <c r="B97" s="3" t="s">
        <v>9</v>
      </c>
      <c r="C97" s="13" t="s">
        <v>520</v>
      </c>
      <c r="D97" s="2" t="s">
        <v>521</v>
      </c>
      <c r="E97" s="9"/>
      <c r="F97" s="9" t="s">
        <v>522</v>
      </c>
      <c r="G97" s="5" t="str">
        <f t="shared" si="1"/>
        <v xml:space="preserve"> info.etrcenter.org
</v>
      </c>
      <c r="H97" s="3" t="str">
        <f ca="1">IFERROR(__xludf.DUMMYFUNCTION("IFERROR(
  TRIM(
    REGEXEXTRACT(
      SUBSTITUTE(J97,""%20"",""""),
      ""destination=(-?[0-9.]+)""
    )
  ),
"""")
"),"-1.374430029139722")</f>
        <v>-1.374430029139722</v>
      </c>
      <c r="I97" s="4" t="str">
        <f ca="1">IFERROR(__xludf.DUMMYFUNCTION("IFERROR(
  TRIM(
    REGEXEXTRACT(
      SUBSTITUTE(J97,""%20"",""""),
      ""destination=-?[0-9.]+,(-?[0-9.]+)""
    )
  ),
"""")
"),"36.66392089407417")</f>
        <v>36.66392089407417</v>
      </c>
      <c r="J97" s="5" t="s">
        <v>523</v>
      </c>
    </row>
    <row r="98" spans="1:10" x14ac:dyDescent="0.2">
      <c r="A98" s="3" t="s">
        <v>524</v>
      </c>
      <c r="B98" s="3" t="s">
        <v>9</v>
      </c>
      <c r="C98" s="3" t="s">
        <v>525</v>
      </c>
      <c r="D98" s="2" t="s">
        <v>526</v>
      </c>
      <c r="E98" s="3" t="s">
        <v>527</v>
      </c>
      <c r="F98" s="3"/>
      <c r="G98" s="3">
        <f t="shared" si="1"/>
        <v>0</v>
      </c>
      <c r="H98" s="3" t="str">
        <f ca="1">IFERROR(__xludf.DUMMYFUNCTION("IFERROR(
  TRIM(
    REGEXEXTRACT(
      SUBSTITUTE(J98,""%20"",""""),
      ""destination=(-?[0-9.]+)""
    )
  ),
"""")
"),"-1.2673260744887398")</f>
        <v>-1.2673260744887398</v>
      </c>
      <c r="I98" s="4" t="str">
        <f ca="1">IFERROR(__xludf.DUMMYFUNCTION("IFERROR(
  TRIM(
    REGEXEXTRACT(
      SUBSTITUTE(J98,""%20"",""""),
      ""destination=-?[0-9.]+,(-?[0-9.]+)""
    )
  ),
"""")
"),"36.83873172290909")</f>
        <v>36.83873172290909</v>
      </c>
      <c r="J98" s="5" t="s">
        <v>528</v>
      </c>
    </row>
    <row r="99" spans="1:10" x14ac:dyDescent="0.2">
      <c r="A99" s="3" t="s">
        <v>529</v>
      </c>
      <c r="B99" s="3" t="s">
        <v>9</v>
      </c>
      <c r="C99" s="3" t="s">
        <v>530</v>
      </c>
      <c r="D99" s="2" t="s">
        <v>531</v>
      </c>
      <c r="E99" s="3"/>
      <c r="F99" s="3" t="s">
        <v>532</v>
      </c>
      <c r="G99" s="3" t="str">
        <f t="shared" si="1"/>
        <v>www. almansurrehabilitationcenter.co.ke</v>
      </c>
      <c r="H99" s="3" t="str">
        <f ca="1">IFERROR(__xludf.DUMMYFUNCTION("IFERROR(
  TRIM(
    REGEXEXTRACT(
      SUBSTITUTE(J99,""%20"",""""),
      ""destination=(-?[0-9.]+)""
    )
  ),
"""")
"),"-1.4872922931882642")</f>
        <v>-1.4872922931882642</v>
      </c>
      <c r="I99" s="4" t="str">
        <f ca="1">IFERROR(__xludf.DUMMYFUNCTION("IFERROR(
  TRIM(
    REGEXEXTRACT(
      SUBSTITUTE(J99,""%20"",""""),
      ""destination=-?[0-9.]+,(-?[0-9.]+)""
    )
  ),
"""")
"),"36.954399594074914")</f>
        <v>36.954399594074914</v>
      </c>
      <c r="J99" s="5" t="s">
        <v>533</v>
      </c>
    </row>
    <row r="100" spans="1:10" x14ac:dyDescent="0.2">
      <c r="A100" s="3" t="s">
        <v>534</v>
      </c>
      <c r="B100" s="3" t="s">
        <v>9</v>
      </c>
      <c r="C100" s="3" t="s">
        <v>535</v>
      </c>
      <c r="D100" s="2" t="s">
        <v>536</v>
      </c>
      <c r="E100" s="3" t="s">
        <v>537</v>
      </c>
      <c r="F100" s="3"/>
      <c r="G100" s="3">
        <f t="shared" si="1"/>
        <v>0</v>
      </c>
      <c r="H100" s="3" t="str">
        <f ca="1">IFERROR(__xludf.DUMMYFUNCTION("IFERROR(
  TRIM(
    REGEXEXTRACT(
      SUBSTITUTE(J100,""%20"",""""),
      ""destination=(-?[0-9.]+)""
    )
  ),
"""")
"),"-1.4546449889059907")</f>
        <v>-1.4546449889059907</v>
      </c>
      <c r="I100" s="4" t="str">
        <f ca="1">IFERROR(__xludf.DUMMYFUNCTION("IFERROR(
  TRIM(
    REGEXEXTRACT(
      SUBSTITUTE(J100,""%20"",""""),
      ""destination=-?[0-9.]+,(-?[0-9.]+)""
    )
  ),
"""")
"),"36.962192299912644")</f>
        <v>36.962192299912644</v>
      </c>
      <c r="J100" s="5" t="s">
        <v>538</v>
      </c>
    </row>
    <row r="101" spans="1:10" x14ac:dyDescent="0.2">
      <c r="A101" s="3" t="s">
        <v>539</v>
      </c>
      <c r="B101" s="3" t="s">
        <v>9</v>
      </c>
      <c r="C101" s="3" t="s">
        <v>540</v>
      </c>
      <c r="D101" s="2" t="s">
        <v>541</v>
      </c>
      <c r="E101" s="3" t="s">
        <v>542</v>
      </c>
      <c r="F101" s="3"/>
      <c r="G101" s="3">
        <f t="shared" si="1"/>
        <v>0</v>
      </c>
      <c r="H101" s="3" t="str">
        <f ca="1">IFERROR(__xludf.DUMMYFUNCTION("IFERROR(
  TRIM(
    REGEXEXTRACT(
      SUBSTITUTE(J101,""%20"",""""),
      ""destination=(-?[0-9.]+)""
    )
  ),
"""")
"),"1.7370864720064878")</f>
        <v>1.7370864720064878</v>
      </c>
      <c r="I101" s="4" t="str">
        <f ca="1">IFERROR(__xludf.DUMMYFUNCTION("IFERROR(
  TRIM(
    REGEXEXTRACT(
      SUBSTITUTE(J101,""%20"",""""),
      ""destination=-?[0-9.]+,(-?[0-9.]+)""
    )
  ),
"""")
"),"40.05244553639064")</f>
        <v>40.05244553639064</v>
      </c>
      <c r="J101" s="5" t="s">
        <v>543</v>
      </c>
    </row>
    <row r="102" spans="1:10" x14ac:dyDescent="0.2">
      <c r="A102" s="3" t="s">
        <v>544</v>
      </c>
      <c r="B102" s="3" t="s">
        <v>9</v>
      </c>
      <c r="C102" s="3" t="s">
        <v>545</v>
      </c>
      <c r="D102" s="2" t="s">
        <v>546</v>
      </c>
      <c r="E102" s="3" t="s">
        <v>547</v>
      </c>
      <c r="F102" s="3"/>
      <c r="G102" s="3">
        <f t="shared" si="1"/>
        <v>0</v>
      </c>
      <c r="H102" s="3" t="str">
        <f ca="1">IFERROR(__xludf.DUMMYFUNCTION("IFERROR(
  TRIM(
    REGEXEXTRACT(
      SUBSTITUTE(J102,""%20"",""""),
      ""destination=(-?[0-9.]+)""
    )
  ),
"""")
"),"-0.43868745630078076")</f>
        <v>-0.43868745630078076</v>
      </c>
      <c r="I102" s="4" t="str">
        <f ca="1">IFERROR(__xludf.DUMMYFUNCTION("IFERROR(
  TRIM(
    REGEXEXTRACT(
      SUBSTITUTE(J102,""%20"",""""),
      ""destination=-?[0-9.]+,(-?[0-9.]+)""
    )
  ),
"""")
"),"39.650722395442436")</f>
        <v>39.650722395442436</v>
      </c>
      <c r="J102" s="5" t="s">
        <v>548</v>
      </c>
    </row>
    <row r="103" spans="1:10" x14ac:dyDescent="0.2">
      <c r="A103" s="3" t="s">
        <v>549</v>
      </c>
      <c r="B103" s="3" t="s">
        <v>9</v>
      </c>
      <c r="C103" s="3" t="s">
        <v>545</v>
      </c>
      <c r="D103" s="2" t="s">
        <v>550</v>
      </c>
      <c r="E103" s="3" t="s">
        <v>551</v>
      </c>
      <c r="F103" s="3"/>
      <c r="G103" s="3">
        <f t="shared" si="1"/>
        <v>0</v>
      </c>
      <c r="H103" s="3" t="str">
        <f ca="1">IFERROR(__xludf.DUMMYFUNCTION("IFERROR(
  TRIM(
    REGEXEXTRACT(
      SUBSTITUTE(J103,""%20"",""""),
      ""destination=(-?[0-9.]+)""
    )
  ),
"""")
"),"-1.167235")</f>
        <v>-1.167235</v>
      </c>
      <c r="I103" s="4" t="str">
        <f ca="1">IFERROR(__xludf.DUMMYFUNCTION("IFERROR(
  TRIM(
    REGEXEXTRACT(
      SUBSTITUTE(J103,""%20"",""""),
      ""destination=-?[0-9.]+,(-?[0-9.]+)""
    )
  ),
"""")
"),"36.654818")</f>
        <v>36.654818</v>
      </c>
      <c r="J103" s="5" t="s">
        <v>552</v>
      </c>
    </row>
    <row r="104" spans="1:10" x14ac:dyDescent="0.2">
      <c r="A104" s="3" t="s">
        <v>553</v>
      </c>
      <c r="B104" s="3" t="s">
        <v>9</v>
      </c>
      <c r="C104" s="3" t="s">
        <v>554</v>
      </c>
      <c r="D104" s="2" t="s">
        <v>555</v>
      </c>
      <c r="E104" s="3" t="s">
        <v>556</v>
      </c>
      <c r="F104" s="5" t="s">
        <v>557</v>
      </c>
      <c r="G104" s="5" t="str">
        <f t="shared" si="1"/>
        <v>www.serenityrehabilitation.co.ke</v>
      </c>
      <c r="H104" s="3" t="str">
        <f ca="1">IFERROR(__xludf.DUMMYFUNCTION("IFERROR(
  TRIM(
    REGEXEXTRACT(
      SUBSTITUTE(J104,""%20"",""""),
      ""destination=(-?[0-9.]+)""
    )
  ),
"""")
"),"0.631406")</f>
        <v>0.631406</v>
      </c>
      <c r="I104" s="4" t="str">
        <f ca="1">IFERROR(__xludf.DUMMYFUNCTION("IFERROR(
  TRIM(
    REGEXEXTRACT(
      SUBSTITUTE(J104,""%20"",""""),
      ""destination=-?[0-9.]+,(-?[0-9.]+)""
    )
  ),
"""")
"),"35.303704")</f>
        <v>35.303704</v>
      </c>
      <c r="J104" s="5" t="s">
        <v>558</v>
      </c>
    </row>
    <row r="105" spans="1:10" x14ac:dyDescent="0.2">
      <c r="A105" s="3" t="s">
        <v>559</v>
      </c>
      <c r="B105" s="3" t="s">
        <v>9</v>
      </c>
      <c r="C105" s="3" t="s">
        <v>560</v>
      </c>
      <c r="D105" s="2"/>
      <c r="E105" s="10" t="s">
        <v>561</v>
      </c>
      <c r="F105" s="8" t="s">
        <v>562</v>
      </c>
      <c r="G105" s="5" t="str">
        <f t="shared" si="1"/>
        <v xml:space="preserve"> www.cynerdhospitalandrehab.org</v>
      </c>
      <c r="H105" s="3" t="str">
        <f ca="1">IFERROR(__xludf.DUMMYFUNCTION("IFERROR(
  TRIM(
    REGEXEXTRACT(
      SUBSTITUTE(J105,""%20"",""""),
      ""destination=(-?[0-9.]+)""
    )
  ),
"""")
"),"0.670016")</f>
        <v>0.670016</v>
      </c>
      <c r="I105" s="4" t="str">
        <f ca="1">IFERROR(__xludf.DUMMYFUNCTION("IFERROR(
  TRIM(
    REGEXEXTRACT(
      SUBSTITUTE(J105,""%20"",""""),
      ""destination=-?[0-9.]+,(-?[0-9.]+)""
    )
  ),
"""")
"),"35.507841")</f>
        <v>35.507841</v>
      </c>
      <c r="J105" s="5" t="s">
        <v>563</v>
      </c>
    </row>
    <row r="106" spans="1:10" x14ac:dyDescent="0.2">
      <c r="A106" s="3" t="s">
        <v>564</v>
      </c>
      <c r="B106" s="3" t="s">
        <v>9</v>
      </c>
      <c r="C106" s="3" t="s">
        <v>565</v>
      </c>
      <c r="D106" s="2"/>
      <c r="E106" s="4"/>
      <c r="F106" s="4"/>
      <c r="G106" s="3">
        <f t="shared" si="1"/>
        <v>0</v>
      </c>
      <c r="H106" s="3" t="str">
        <f ca="1">IFERROR(__xludf.DUMMYFUNCTION("IFERROR(
  TRIM(
    REGEXEXTRACT(
      SUBSTITUTE(J106,""%20"",""""),
      ""destination=(-?[0-9.]+)""
    )
  ),
"""")
"),"0.679129")</f>
        <v>0.679129</v>
      </c>
      <c r="I106" s="4" t="str">
        <f ca="1">IFERROR(__xludf.DUMMYFUNCTION("IFERROR(
  TRIM(
    REGEXEXTRACT(
      SUBSTITUTE(J106,""%20"",""""),
      ""destination=-?[0-9.]+,(-?[0-9.]+)""
    )
  ),
"""")
"),"35.504903")</f>
        <v>35.504903</v>
      </c>
      <c r="J106" s="5" t="s">
        <v>566</v>
      </c>
    </row>
    <row r="107" spans="1:10" x14ac:dyDescent="0.2">
      <c r="A107" s="3" t="s">
        <v>567</v>
      </c>
      <c r="B107" s="3" t="s">
        <v>9</v>
      </c>
      <c r="C107" s="3" t="s">
        <v>568</v>
      </c>
      <c r="D107" s="2" t="s">
        <v>569</v>
      </c>
      <c r="E107" s="3" t="s">
        <v>570</v>
      </c>
      <c r="F107" s="3" t="s">
        <v>571</v>
      </c>
      <c r="G107" s="3" t="str">
        <f t="shared" si="1"/>
        <v/>
      </c>
      <c r="H107" s="3" t="str">
        <f ca="1">IFERROR(__xludf.DUMMYFUNCTION("IFERROR(
  TRIM(
    REGEXEXTRACT(
      SUBSTITUTE(J107,""%20"",""""),
      ""destination=(-?[0-9.]+)""
    )
  ),
"""")
"),"0.482945")</f>
        <v>0.482945</v>
      </c>
      <c r="I107" s="4" t="str">
        <f ca="1">IFERROR(__xludf.DUMMYFUNCTION("IFERROR(
  TRIM(
    REGEXEXTRACT(
      SUBSTITUTE(J107,""%20"",""""),
      ""destination=-?[0-9.]+,(-?[0-9.]+)""
    )
  ),
"""")
"),"34.112999")</f>
        <v>34.112999</v>
      </c>
      <c r="J107" s="5" t="s">
        <v>572</v>
      </c>
    </row>
    <row r="108" spans="1:10" x14ac:dyDescent="0.2">
      <c r="A108" s="3" t="s">
        <v>573</v>
      </c>
      <c r="B108" s="3" t="s">
        <v>9</v>
      </c>
      <c r="C108" s="3" t="s">
        <v>574</v>
      </c>
      <c r="D108" s="2" t="s">
        <v>575</v>
      </c>
      <c r="E108" s="3" t="s">
        <v>576</v>
      </c>
      <c r="F108" s="3"/>
      <c r="G108" s="3">
        <f t="shared" si="1"/>
        <v>0</v>
      </c>
      <c r="H108" s="3" t="str">
        <f ca="1">IFERROR(__xludf.DUMMYFUNCTION("IFERROR(
  TRIM(
    REGEXEXTRACT(
      SUBSTITUTE(J108,""%20"",""""),
      ""destination=(-?[0-9.]+)""
    )
  ),
"""")
"),"-1.366694")</f>
        <v>-1.366694</v>
      </c>
      <c r="I108" s="4" t="str">
        <f ca="1">IFERROR(__xludf.DUMMYFUNCTION("IFERROR(
  TRIM(
    REGEXEXTRACT(
      SUBSTITUTE(J108,""%20"",""""),
      ""destination=-?[0-9.]+,(-?[0-9.]+)""
    )
  ),
"""")
"),"36.709561")</f>
        <v>36.709561</v>
      </c>
      <c r="J108" s="5" t="s">
        <v>577</v>
      </c>
    </row>
    <row r="109" spans="1:10" x14ac:dyDescent="0.2">
      <c r="A109" s="3" t="s">
        <v>578</v>
      </c>
      <c r="B109" s="3" t="s">
        <v>9</v>
      </c>
      <c r="C109" s="3" t="s">
        <v>579</v>
      </c>
      <c r="D109" s="2">
        <v>721970625</v>
      </c>
      <c r="E109" s="3" t="s">
        <v>580</v>
      </c>
      <c r="F109" s="3"/>
      <c r="G109" s="3">
        <f t="shared" si="1"/>
        <v>0</v>
      </c>
      <c r="H109" s="3" t="str">
        <f ca="1">IFERROR(__xludf.DUMMYFUNCTION("IFERROR(
  TRIM(
    REGEXEXTRACT(
      SUBSTITUTE(J109,""%20"",""""),
      ""destination=(-?[0-9.]+)""
    )
  ),
"""")
"),"-1.287534")</f>
        <v>-1.287534</v>
      </c>
      <c r="I109" s="4" t="str">
        <f ca="1">IFERROR(__xludf.DUMMYFUNCTION("IFERROR(
  TRIM(
    REGEXEXTRACT(
      SUBSTITUTE(J109,""%20"",""""),
      ""destination=-?[0-9.]+,(-?[0-9.]+)""
    )
  ),
"""")
"),"36.824003")</f>
        <v>36.824003</v>
      </c>
      <c r="J109" s="5" t="s">
        <v>581</v>
      </c>
    </row>
    <row r="110" spans="1:10" x14ac:dyDescent="0.2">
      <c r="A110" s="3" t="s">
        <v>582</v>
      </c>
      <c r="B110" s="3" t="s">
        <v>9</v>
      </c>
      <c r="C110" s="3" t="s">
        <v>583</v>
      </c>
      <c r="D110" s="2" t="s">
        <v>584</v>
      </c>
      <c r="E110" s="3" t="s">
        <v>585</v>
      </c>
      <c r="F110" s="3"/>
      <c r="G110" s="3">
        <f t="shared" si="1"/>
        <v>0</v>
      </c>
      <c r="H110" s="3" t="str">
        <f ca="1">IFERROR(__xludf.DUMMYFUNCTION("IFERROR(
  TRIM(
    REGEXEXTRACT(
      SUBSTITUTE(J110,""%20"",""""),
      ""destination=(-?[0-9.]+)""
    )
  ),
"""")
"),"0.588717")</f>
        <v>0.588717</v>
      </c>
      <c r="I110" s="4" t="str">
        <f ca="1">IFERROR(__xludf.DUMMYFUNCTION("IFERROR(
  TRIM(
    REGEXEXTRACT(
      SUBSTITUTE(J110,""%20"",""""),
      ""destination=-?[0-9.]+,(-?[0-9.]+)""
    )
  ),
"""")
"),"34.553146")</f>
        <v>34.553146</v>
      </c>
      <c r="J110" s="5" t="s">
        <v>586</v>
      </c>
    </row>
    <row r="111" spans="1:10" x14ac:dyDescent="0.2">
      <c r="A111" s="3" t="s">
        <v>587</v>
      </c>
      <c r="B111" s="3" t="s">
        <v>9</v>
      </c>
      <c r="C111" s="3" t="s">
        <v>588</v>
      </c>
      <c r="D111" s="2" t="s">
        <v>589</v>
      </c>
      <c r="E111" s="3" t="s">
        <v>590</v>
      </c>
      <c r="F111" s="8" t="s">
        <v>591</v>
      </c>
      <c r="G111" s="5" t="str">
        <f t="shared" si="1"/>
        <v xml:space="preserve">disneydetoxcare.com
</v>
      </c>
      <c r="H111" s="3" t="str">
        <f ca="1">IFERROR(__xludf.DUMMYFUNCTION("IFERROR(
  TRIM(
    REGEXEXTRACT(
      SUBSTITUTE(J111,""%20"",""""),
      ""destination=(-?[0-9.]+)""
    )
  ),
"""")
"),"0.602854")</f>
        <v>0.602854</v>
      </c>
      <c r="I111" s="4" t="str">
        <f ca="1">IFERROR(__xludf.DUMMYFUNCTION("IFERROR(
  TRIM(
    REGEXEXTRACT(
      SUBSTITUTE(J111,""%20"",""""),
      ""destination=-?[0-9.]+,(-?[0-9.]+)""
    )
  ),
"""")
"),"34.552691")</f>
        <v>34.552691</v>
      </c>
      <c r="J111" s="5" t="s">
        <v>592</v>
      </c>
    </row>
    <row r="112" spans="1:10" x14ac:dyDescent="0.2">
      <c r="A112" s="3" t="s">
        <v>578</v>
      </c>
      <c r="B112" s="3" t="s">
        <v>9</v>
      </c>
      <c r="C112" s="3" t="s">
        <v>593</v>
      </c>
      <c r="D112" s="2" t="s">
        <v>594</v>
      </c>
      <c r="E112" s="3" t="s">
        <v>595</v>
      </c>
      <c r="F112" s="3"/>
      <c r="G112" s="3">
        <f t="shared" si="1"/>
        <v>0</v>
      </c>
      <c r="H112" s="3" t="str">
        <f ca="1">IFERROR(__xludf.DUMMYFUNCTION("IFERROR(
  TRIM(
    REGEXEXTRACT(
      SUBSTITUTE(J112,""%20"",""""),
      ""destination=(-?[0-9.]+)""
    )
  ),
"""")
"),"0.599103")</f>
        <v>0.599103</v>
      </c>
      <c r="I112" s="4" t="str">
        <f ca="1">IFERROR(__xludf.DUMMYFUNCTION("IFERROR(
  TRIM(
    REGEXEXTRACT(
      SUBSTITUTE(J112,""%20"",""""),
      ""destination=-?[0-9.]+,(-?[0-9.]+)""
    )
  ),
"""")
"),"34.759958")</f>
        <v>34.759958</v>
      </c>
      <c r="J112" s="5" t="s">
        <v>596</v>
      </c>
    </row>
    <row r="113" spans="1:10" x14ac:dyDescent="0.2">
      <c r="A113" s="3" t="s">
        <v>597</v>
      </c>
      <c r="B113" s="3" t="s">
        <v>9</v>
      </c>
      <c r="C113" s="3" t="s">
        <v>598</v>
      </c>
      <c r="D113" s="2" t="s">
        <v>599</v>
      </c>
      <c r="E113" s="10" t="s">
        <v>600</v>
      </c>
      <c r="F113" s="8" t="s">
        <v>601</v>
      </c>
      <c r="G113" s="5" t="str">
        <f t="shared" si="1"/>
        <v xml:space="preserve">www.sobonserenity.org </v>
      </c>
      <c r="H113" s="3" t="str">
        <f ca="1">IFERROR(__xludf.DUMMYFUNCTION("IFERROR(
  TRIM(
    REGEXEXTRACT(
      SUBSTITUTE(J113,""%20"",""""),
      ""destination=(-?[0-9.]+)""
    )
  ),
"""")
"),"-0.008134790728284338")</f>
        <v>-0.008134790728284338</v>
      </c>
      <c r="I113" s="4" t="str">
        <f ca="1">IFERROR(__xludf.DUMMYFUNCTION("IFERROR(
  TRIM(
    REGEXEXTRACT(
      SUBSTITUTE(J113,""%20"",""""),
      ""destination=-?[0-9.]+,(-?[0-9.]+)""
    )
  ),
"""")
"),"35.75433366523103")</f>
        <v>35.75433366523103</v>
      </c>
      <c r="J113" s="5" t="s">
        <v>602</v>
      </c>
    </row>
    <row r="114" spans="1:10" x14ac:dyDescent="0.2">
      <c r="A114" s="14" t="s">
        <v>603</v>
      </c>
      <c r="B114" s="13"/>
      <c r="C114" s="13"/>
      <c r="D114" s="12"/>
      <c r="E114" s="13"/>
      <c r="F114" s="13"/>
      <c r="G114" s="3">
        <f t="shared" si="1"/>
        <v>0</v>
      </c>
      <c r="H114" s="3" t="str">
        <f ca="1">IFERROR(__xludf.DUMMYFUNCTION("IFERROR(
  TRIM(
    REGEXEXTRACT(
      SUBSTITUTE(J114,""%20"",""""),
      ""destination=(-?[0-9.]+)""
    )
  ),
"""")
"),"")</f>
        <v/>
      </c>
      <c r="I114" s="4" t="str">
        <f ca="1">IFERROR(__xludf.DUMMYFUNCTION("IFERROR(
  TRIM(
    REGEXEXTRACT(
      SUBSTITUTE(J114,""%20"",""""),
      ""destination=-?[0-9.]+,(-?[0-9.]+)""
    )
  ),
"""")
"),"")</f>
        <v/>
      </c>
      <c r="J114" s="17"/>
    </row>
    <row r="115" spans="1:10" x14ac:dyDescent="0.2">
      <c r="A115" s="13" t="s">
        <v>604</v>
      </c>
      <c r="B115" s="13" t="s">
        <v>605</v>
      </c>
      <c r="C115" s="17"/>
      <c r="D115" s="13" t="s">
        <v>606</v>
      </c>
      <c r="E115" s="18"/>
      <c r="F115" s="18"/>
      <c r="G115" s="3">
        <f t="shared" si="1"/>
        <v>0</v>
      </c>
      <c r="H115" s="3" t="str">
        <f ca="1">IFERROR(__xludf.DUMMYFUNCTION("IFERROR(
  TRIM(
    REGEXEXTRACT(
      SUBSTITUTE(J115,""%20"",""""),
      ""destination=(-?[0-9.]+)""
    )
  ),
"""")
"),"")</f>
        <v/>
      </c>
      <c r="I115" s="4" t="str">
        <f ca="1">IFERROR(__xludf.DUMMYFUNCTION("IFERROR(
  TRIM(
    REGEXEXTRACT(
      SUBSTITUTE(J115,""%20"",""""),
      ""destination=-?[0-9.]+,(-?[0-9.]+)""
    )
  ),
"""")
"),"")</f>
        <v/>
      </c>
      <c r="J115" s="17"/>
    </row>
    <row r="116" spans="1:10" x14ac:dyDescent="0.2">
      <c r="A116" s="3" t="s">
        <v>607</v>
      </c>
      <c r="B116" s="3" t="s">
        <v>608</v>
      </c>
      <c r="C116" s="3" t="s">
        <v>609</v>
      </c>
      <c r="D116" s="2" t="s">
        <v>610</v>
      </c>
      <c r="E116" s="4"/>
      <c r="F116" s="4"/>
      <c r="G116" s="3">
        <f t="shared" si="1"/>
        <v>0</v>
      </c>
      <c r="H116" s="3" t="str">
        <f ca="1">IFERROR(__xludf.DUMMYFUNCTION("IFERROR(
  TRIM(
    REGEXEXTRACT(
      SUBSTITUTE(J116,""%20"",""""),
      ""destination=(-?[0-9.]+)""
    )
  ),
"""")
"),"-1.3968963003873")</f>
        <v>-1.3968963003873</v>
      </c>
      <c r="I116" s="4" t="str">
        <f ca="1">IFERROR(__xludf.DUMMYFUNCTION("IFERROR(
  TRIM(
    REGEXEXTRACT(
      SUBSTITUTE(J116,""%20"",""""),
      ""destination=-?[0-9.]+,(-?[0-9.]+)""
    )
  ),
"""")
"),"36.7535382")</f>
        <v>36.7535382</v>
      </c>
      <c r="J116" s="5" t="s">
        <v>611</v>
      </c>
    </row>
    <row r="117" spans="1:10" x14ac:dyDescent="0.2">
      <c r="A117" s="3" t="s">
        <v>612</v>
      </c>
      <c r="B117" s="3" t="s">
        <v>613</v>
      </c>
      <c r="C117" s="3" t="s">
        <v>614</v>
      </c>
      <c r="D117" s="2" t="s">
        <v>615</v>
      </c>
      <c r="E117" s="3" t="s">
        <v>616</v>
      </c>
      <c r="F117" s="3"/>
      <c r="G117" s="3">
        <f t="shared" si="1"/>
        <v>0</v>
      </c>
      <c r="H117" s="3" t="str">
        <f ca="1">IFERROR(__xludf.DUMMYFUNCTION("IFERROR(
  TRIM(
    REGEXEXTRACT(
      SUBSTITUTE(J117,""%20"",""""),
      ""destination=(-?[0-9.]+)""
    )
  ),
"""")
"),"-1.3074645")</f>
        <v>-1.3074645</v>
      </c>
      <c r="I117" s="4" t="str">
        <f ca="1">IFERROR(__xludf.DUMMYFUNCTION("IFERROR(
  TRIM(
    REGEXEXTRACT(
      SUBSTITUTE(J117,""%20"",""""),
      ""destination=-?[0-9.]+,(-?[0-9.]+)""
    )
  ),
"""")
"),"36.8724596")</f>
        <v>36.8724596</v>
      </c>
      <c r="J117" s="5" t="s">
        <v>617</v>
      </c>
    </row>
    <row r="118" spans="1:10" x14ac:dyDescent="0.2">
      <c r="A118" s="3" t="s">
        <v>618</v>
      </c>
      <c r="B118" s="3" t="s">
        <v>619</v>
      </c>
      <c r="C118" s="3" t="s">
        <v>620</v>
      </c>
      <c r="D118" s="2" t="s">
        <v>621</v>
      </c>
      <c r="E118" s="3" t="s">
        <v>622</v>
      </c>
      <c r="F118" s="3"/>
      <c r="G118" s="3">
        <f t="shared" si="1"/>
        <v>0</v>
      </c>
      <c r="H118" s="3" t="str">
        <f ca="1">IFERROR(__xludf.DUMMYFUNCTION("IFERROR(
  TRIM(
    REGEXEXTRACT(
      SUBSTITUTE(J118,""%20"",""""),
      ""destination=(-?[0-9.]+)""
    )
  ),
"""")
"),"-1.3152764")</f>
        <v>-1.3152764</v>
      </c>
      <c r="I118" s="4" t="str">
        <f ca="1">IFERROR(__xludf.DUMMYFUNCTION("IFERROR(
  TRIM(
    REGEXEXTRACT(
      SUBSTITUTE(J118,""%20"",""""),
      ""destination=-?[0-9.]+,(-?[0-9.]+)""
    )
  ),
"""")
"),"36.7996521")</f>
        <v>36.7996521</v>
      </c>
      <c r="J118" s="5" t="s">
        <v>623</v>
      </c>
    </row>
    <row r="119" spans="1:10" x14ac:dyDescent="0.2">
      <c r="A119" s="3" t="s">
        <v>624</v>
      </c>
      <c r="B119" s="3" t="s">
        <v>625</v>
      </c>
      <c r="C119" s="3" t="s">
        <v>626</v>
      </c>
      <c r="D119" s="2" t="s">
        <v>627</v>
      </c>
      <c r="E119" s="3" t="s">
        <v>628</v>
      </c>
      <c r="F119" s="3"/>
      <c r="G119" s="3">
        <f t="shared" si="1"/>
        <v>0</v>
      </c>
      <c r="H119" s="3" t="str">
        <f ca="1">IFERROR(__xludf.DUMMYFUNCTION("IFERROR(
  TRIM(
    REGEXEXTRACT(
      SUBSTITUTE(J119,""%20"",""""),
      ""destination=(-?[0-9.]+)""
    )
  ),
"""")
"),"-1.2920659")</f>
        <v>-1.2920659</v>
      </c>
      <c r="I119" s="4" t="str">
        <f ca="1">IFERROR(__xludf.DUMMYFUNCTION("IFERROR(
  TRIM(
    REGEXEXTRACT(
      SUBSTITUTE(J119,""%20"",""""),
      ""destination=-?[0-9.]+,(-?[0-9.]+)""
    )
  ),
"""")
"),"36.8219462")</f>
        <v>36.8219462</v>
      </c>
      <c r="J119" s="5" t="s">
        <v>629</v>
      </c>
    </row>
    <row r="120" spans="1:10" x14ac:dyDescent="0.2">
      <c r="A120" s="3" t="s">
        <v>630</v>
      </c>
      <c r="B120" s="3" t="s">
        <v>613</v>
      </c>
      <c r="C120" s="3" t="s">
        <v>631</v>
      </c>
      <c r="D120" s="2" t="s">
        <v>632</v>
      </c>
      <c r="E120" s="3" t="s">
        <v>633</v>
      </c>
      <c r="F120" s="3"/>
      <c r="G120" s="3">
        <f t="shared" si="1"/>
        <v>0</v>
      </c>
      <c r="H120" s="3" t="str">
        <f ca="1">IFERROR(__xludf.DUMMYFUNCTION("IFERROR(
  TRIM(
    REGEXEXTRACT(
      SUBSTITUTE(J120,""%20"",""""),
      ""destination=(-?[0-9.]+)""
    )
  ),
"""")
"),"-1.3065809")</f>
        <v>-1.3065809</v>
      </c>
      <c r="I120" s="4" t="str">
        <f ca="1">IFERROR(__xludf.DUMMYFUNCTION("IFERROR(
  TRIM(
    REGEXEXTRACT(
      SUBSTITUTE(J120,""%20"",""""),
      ""destination=-?[0-9.]+,(-?[0-9.]+)""
    )
  ),
"""")
"),"36.8936292")</f>
        <v>36.8936292</v>
      </c>
      <c r="J120" s="5" t="s">
        <v>634</v>
      </c>
    </row>
    <row r="121" spans="1:10" x14ac:dyDescent="0.2">
      <c r="A121" s="3" t="s">
        <v>635</v>
      </c>
      <c r="B121" s="3" t="s">
        <v>613</v>
      </c>
      <c r="C121" s="3" t="s">
        <v>636</v>
      </c>
      <c r="D121" s="2" t="s">
        <v>637</v>
      </c>
      <c r="E121" s="3" t="s">
        <v>638</v>
      </c>
      <c r="F121" s="3"/>
      <c r="G121" s="3">
        <f t="shared" si="1"/>
        <v>0</v>
      </c>
      <c r="H121" s="3" t="str">
        <f ca="1">IFERROR(__xludf.DUMMYFUNCTION("IFERROR(
  TRIM(
    REGEXEXTRACT(
      SUBSTITUTE(J121,""%20"",""""),
      ""destination=(-?[0-9.]+)""
    )
  ),
"""")
"),"-1.2705291")</f>
        <v>-1.2705291</v>
      </c>
      <c r="I121" s="4" t="str">
        <f ca="1">IFERROR(__xludf.DUMMYFUNCTION("IFERROR(
  TRIM(
    REGEXEXTRACT(
      SUBSTITUTE(J121,""%20"",""""),
      ""destination=-?[0-9.]+,(-?[0-9.]+)""
    )
  ),
"""")
"),"36.9197059")</f>
        <v>36.9197059</v>
      </c>
      <c r="J121" s="5" t="s">
        <v>639</v>
      </c>
    </row>
    <row r="122" spans="1:10" x14ac:dyDescent="0.2">
      <c r="A122" s="3" t="s">
        <v>640</v>
      </c>
      <c r="B122" s="3" t="s">
        <v>613</v>
      </c>
      <c r="C122" s="3" t="s">
        <v>641</v>
      </c>
      <c r="D122" s="2" t="s">
        <v>642</v>
      </c>
      <c r="E122" s="3" t="s">
        <v>643</v>
      </c>
      <c r="F122" s="3"/>
      <c r="G122" s="3">
        <f t="shared" si="1"/>
        <v>0</v>
      </c>
      <c r="H122" s="3" t="str">
        <f ca="1">IFERROR(__xludf.DUMMYFUNCTION("IFERROR(
  TRIM(
    REGEXEXTRACT(
      SUBSTITUTE(J122,""%20"",""""),
      ""destination=(-?[0-9.]+)""
    )
  ),
"""")
"),"-1.2564898")</f>
        <v>-1.2564898</v>
      </c>
      <c r="I122" s="4" t="str">
        <f ca="1">IFERROR(__xludf.DUMMYFUNCTION("IFERROR(
  TRIM(
    REGEXEXTRACT(
      SUBSTITUTE(J122,""%20"",""""),
      ""destination=-?[0-9.]+,(-?[0-9.]+)""
    )
  ),
"""")
"),"36.8721139")</f>
        <v>36.8721139</v>
      </c>
      <c r="J122" s="5" t="s">
        <v>644</v>
      </c>
    </row>
    <row r="123" spans="1:10" x14ac:dyDescent="0.2">
      <c r="A123" s="3" t="s">
        <v>645</v>
      </c>
      <c r="B123" s="3" t="s">
        <v>646</v>
      </c>
      <c r="C123" s="3" t="s">
        <v>647</v>
      </c>
      <c r="D123" s="2" t="s">
        <v>648</v>
      </c>
      <c r="E123" s="3" t="s">
        <v>649</v>
      </c>
      <c r="F123" s="3"/>
      <c r="G123" s="3">
        <f t="shared" si="1"/>
        <v>0</v>
      </c>
      <c r="H123" s="3" t="str">
        <f ca="1">IFERROR(__xludf.DUMMYFUNCTION("IFERROR(
  TRIM(
    REGEXEXTRACT(
      SUBSTITUTE(J123,""%20"",""""),
      ""destination=(-?[0-9.]+)""
    )
  ),
"""")
"),"-1.2514169")</f>
        <v>-1.2514169</v>
      </c>
      <c r="I123" s="4" t="str">
        <f ca="1">IFERROR(__xludf.DUMMYFUNCTION("IFERROR(
  TRIM(
    REGEXEXTRACT(
      SUBSTITUTE(J123,""%20"",""""),
      ""destination=-?[0-9.]+,(-?[0-9.]+)""
    )
  ),
"""")
"),"36.8920339")</f>
        <v>36.8920339</v>
      </c>
      <c r="J123" s="5" t="s">
        <v>650</v>
      </c>
    </row>
    <row r="124" spans="1:10" x14ac:dyDescent="0.2">
      <c r="A124" s="3" t="s">
        <v>651</v>
      </c>
      <c r="B124" s="3" t="s">
        <v>652</v>
      </c>
      <c r="C124" s="3" t="s">
        <v>653</v>
      </c>
      <c r="D124" s="2" t="s">
        <v>654</v>
      </c>
      <c r="E124" s="3" t="s">
        <v>655</v>
      </c>
      <c r="F124" s="3"/>
      <c r="G124" s="3">
        <f t="shared" si="1"/>
        <v>0</v>
      </c>
      <c r="H124" s="3" t="str">
        <f ca="1">IFERROR(__xludf.DUMMYFUNCTION("IFERROR(
  TRIM(
    REGEXEXTRACT(
      SUBSTITUTE(J124,""%20"",""""),
      ""destination=(-?[0-9.]+)""
    )
  ),
"""")
"),"-1.2586058")</f>
        <v>-1.2586058</v>
      </c>
      <c r="I124" s="4" t="str">
        <f ca="1">IFERROR(__xludf.DUMMYFUNCTION("IFERROR(
  TRIM(
    REGEXEXTRACT(
      SUBSTITUTE(J124,""%20"",""""),
      ""destination=-?[0-9.]+,(-?[0-9.]+)""
    )
  ),
"""")
"),"36.8762541")</f>
        <v>36.8762541</v>
      </c>
      <c r="J124" s="5" t="s">
        <v>656</v>
      </c>
    </row>
    <row r="125" spans="1:10" x14ac:dyDescent="0.2">
      <c r="A125" s="3" t="s">
        <v>657</v>
      </c>
      <c r="B125" s="3" t="s">
        <v>658</v>
      </c>
      <c r="C125" s="3" t="s">
        <v>659</v>
      </c>
      <c r="D125" s="2" t="s">
        <v>660</v>
      </c>
      <c r="E125" s="3" t="s">
        <v>661</v>
      </c>
      <c r="F125" s="3"/>
      <c r="G125" s="3">
        <f t="shared" si="1"/>
        <v>0</v>
      </c>
      <c r="H125" s="3" t="str">
        <f ca="1">IFERROR(__xludf.DUMMYFUNCTION("IFERROR(
  TRIM(
    REGEXEXTRACT(
      SUBSTITUTE(J125,""%20"",""""),
      ""destination=(-?[0-9.]+)""
    )
  ),
"""")
"),"-1.200083")</f>
        <v>-1.200083</v>
      </c>
      <c r="I125" s="4" t="str">
        <f ca="1">IFERROR(__xludf.DUMMYFUNCTION("IFERROR(
  TRIM(
    REGEXEXTRACT(
      SUBSTITUTE(J125,""%20"",""""),
      ""destination=-?[0-9.]+,(-?[0-9.]+)""
    )
  ),
"""")
"),"36.9001862")</f>
        <v>36.9001862</v>
      </c>
      <c r="J125" s="5" t="s">
        <v>662</v>
      </c>
    </row>
    <row r="126" spans="1:10" x14ac:dyDescent="0.2">
      <c r="A126" s="3" t="s">
        <v>663</v>
      </c>
      <c r="B126" s="3" t="s">
        <v>664</v>
      </c>
      <c r="C126" s="3" t="s">
        <v>665</v>
      </c>
      <c r="D126" s="2" t="s">
        <v>666</v>
      </c>
      <c r="E126" s="3" t="s">
        <v>667</v>
      </c>
      <c r="F126" s="3"/>
      <c r="G126" s="3">
        <f t="shared" si="1"/>
        <v>0</v>
      </c>
      <c r="H126" s="3" t="str">
        <f ca="1">IFERROR(__xludf.DUMMYFUNCTION("IFERROR(
  TRIM(
    REGEXEXTRACT(
      SUBSTITUTE(J126,""%20"",""""),
      ""destination=(-?[0-9.]+)""
    )
  ),
"""")
"),"-1.1854015")</f>
        <v>-1.1854015</v>
      </c>
      <c r="I126" s="4" t="str">
        <f ca="1">IFERROR(__xludf.DUMMYFUNCTION("IFERROR(
  TRIM(
    REGEXEXTRACT(
      SUBSTITUTE(J126,""%20"",""""),
      ""destination=-?[0-9.]+,(-?[0-9.]+)""
    )
  ),
"""")
"),"36.9029945")</f>
        <v>36.9029945</v>
      </c>
      <c r="J126" s="5" t="s">
        <v>668</v>
      </c>
    </row>
    <row r="127" spans="1:10" x14ac:dyDescent="0.2">
      <c r="A127" s="3" t="s">
        <v>669</v>
      </c>
      <c r="B127" s="4"/>
      <c r="C127" s="3" t="s">
        <v>670</v>
      </c>
      <c r="D127" s="2" t="s">
        <v>671</v>
      </c>
      <c r="E127" s="3" t="s">
        <v>672</v>
      </c>
      <c r="F127" s="3"/>
      <c r="G127" s="3">
        <f t="shared" si="1"/>
        <v>0</v>
      </c>
      <c r="H127" s="3" t="str">
        <f ca="1">IFERROR(__xludf.DUMMYFUNCTION("IFERROR(
  TRIM(
    REGEXEXTRACT(
      SUBSTITUTE(J127,""%20"",""""),
      ""destination=(-?[0-9.]+)""
    )
  ),
"""")
"),"-4.0840986")</f>
        <v>-4.0840986</v>
      </c>
      <c r="I127" s="4" t="str">
        <f ca="1">IFERROR(__xludf.DUMMYFUNCTION("IFERROR(
  TRIM(
    REGEXEXTRACT(
      SUBSTITUTE(J127,""%20"",""""),
      ""destination=-?[0-9.]+,(-?[0-9.]+)""
    )
  ),
"""")
"),"39.6608103")</f>
        <v>39.6608103</v>
      </c>
      <c r="J127" s="5" t="s">
        <v>673</v>
      </c>
    </row>
    <row r="128" spans="1:10" x14ac:dyDescent="0.2">
      <c r="A128" s="3" t="s">
        <v>674</v>
      </c>
      <c r="B128" s="3" t="s">
        <v>664</v>
      </c>
      <c r="C128" s="3" t="s">
        <v>675</v>
      </c>
      <c r="D128" s="2" t="s">
        <v>676</v>
      </c>
      <c r="E128" s="3" t="s">
        <v>677</v>
      </c>
      <c r="F128" s="3"/>
      <c r="G128" s="3">
        <f t="shared" si="1"/>
        <v>0</v>
      </c>
      <c r="H128" s="3" t="str">
        <f ca="1">IFERROR(__xludf.DUMMYFUNCTION("IFERROR(
  TRIM(
    REGEXEXTRACT(
      SUBSTITUTE(J128,""%20"",""""),
      ""destination=(-?[0-9.]+)""
    )
  ),
"""")
"),"-0.2950695")</f>
        <v>-0.2950695</v>
      </c>
      <c r="I128" s="4" t="str">
        <f ca="1">IFERROR(__xludf.DUMMYFUNCTION("IFERROR(
  TRIM(
    REGEXEXTRACT(
      SUBSTITUTE(J128,""%20"",""""),
      ""destination=-?[0-9.]+,(-?[0-9.]+)""
    )
  ),
"""")
"),"36.0534814")</f>
        <v>36.0534814</v>
      </c>
      <c r="J128" s="5" t="s">
        <v>678</v>
      </c>
    </row>
    <row r="129" spans="1:10" x14ac:dyDescent="0.2">
      <c r="A129" s="3" t="s">
        <v>679</v>
      </c>
      <c r="B129" s="3" t="s">
        <v>680</v>
      </c>
      <c r="C129" s="3" t="s">
        <v>681</v>
      </c>
      <c r="D129" s="2" t="s">
        <v>682</v>
      </c>
      <c r="E129" s="3" t="s">
        <v>683</v>
      </c>
      <c r="F129" s="3"/>
      <c r="G129" s="3">
        <f t="shared" si="1"/>
        <v>0</v>
      </c>
      <c r="H129" s="3" t="str">
        <f ca="1">IFERROR(__xludf.DUMMYFUNCTION("IFERROR(
  TRIM(
    REGEXEXTRACT(
      SUBSTITUTE(J129,""%20"",""""),
      ""destination=(-?[0-9.]+)""
    )
  ),
"""")
"),"-0.2884613")</f>
        <v>-0.2884613</v>
      </c>
      <c r="I129" s="4" t="str">
        <f ca="1">IFERROR(__xludf.DUMMYFUNCTION("IFERROR(
  TRIM(
    REGEXEXTRACT(
      SUBSTITUTE(J129,""%20"",""""),
      ""destination=-?[0-9.]+,(-?[0-9.]+)""
    )
  ),
"""")
"),"36.0634112")</f>
        <v>36.0634112</v>
      </c>
      <c r="J129" s="5" t="s">
        <v>684</v>
      </c>
    </row>
    <row r="130" spans="1:10" x14ac:dyDescent="0.2">
      <c r="A130" s="3" t="s">
        <v>685</v>
      </c>
      <c r="B130" s="3" t="s">
        <v>680</v>
      </c>
      <c r="C130" s="3" t="s">
        <v>686</v>
      </c>
      <c r="D130" s="2" t="s">
        <v>687</v>
      </c>
      <c r="E130" s="3" t="s">
        <v>688</v>
      </c>
      <c r="F130" s="3"/>
      <c r="G130" s="3">
        <f t="shared" si="1"/>
        <v>0</v>
      </c>
      <c r="H130" s="3" t="str">
        <f ca="1">IFERROR(__xludf.DUMMYFUNCTION("IFERROR(
  TRIM(
    REGEXEXTRACT(
      SUBSTITUTE(J130,""%20"",""""),
      ""destination=(-?[0-9.]+)""
    )
  ),
"""")
"),"-1.2657762")</f>
        <v>-1.2657762</v>
      </c>
      <c r="I130" s="4" t="str">
        <f ca="1">IFERROR(__xludf.DUMMYFUNCTION("IFERROR(
  TRIM(
    REGEXEXTRACT(
      SUBSTITUTE(J130,""%20"",""""),
      ""destination=-?[0-9.]+,(-?[0-9.]+)""
    )
  ),
"""")
"),"36.667954")</f>
        <v>36.667954</v>
      </c>
      <c r="J130" s="5" t="s">
        <v>689</v>
      </c>
    </row>
    <row r="131" spans="1:10" x14ac:dyDescent="0.2">
      <c r="A131" s="3" t="s">
        <v>690</v>
      </c>
      <c r="B131" s="3" t="s">
        <v>680</v>
      </c>
      <c r="C131" s="3" t="s">
        <v>691</v>
      </c>
      <c r="D131" s="2" t="s">
        <v>692</v>
      </c>
      <c r="E131" s="3" t="s">
        <v>693</v>
      </c>
      <c r="F131" s="3"/>
      <c r="G131" s="3">
        <f t="shared" si="1"/>
        <v>0</v>
      </c>
      <c r="H131" s="3" t="str">
        <f ca="1">IFERROR(__xludf.DUMMYFUNCTION("IFERROR(
  TRIM(
    REGEXEXTRACT(
      SUBSTITUTE(J131,""%20"",""""),
      ""destination=(-?[0-9.]+)""
    )
  ),
"""")
"),"-4.0491957")</f>
        <v>-4.0491957</v>
      </c>
      <c r="I131" s="4" t="str">
        <f ca="1">IFERROR(__xludf.DUMMYFUNCTION("IFERROR(
  TRIM(
    REGEXEXTRACT(
      SUBSTITUTE(J131,""%20"",""""),
      ""destination=-?[0-9.]+,(-?[0-9.]+)""
    )
  ),
"""")
"),"39.6737563")</f>
        <v>39.6737563</v>
      </c>
      <c r="J131" s="5" t="s">
        <v>694</v>
      </c>
    </row>
    <row r="132" spans="1:10" x14ac:dyDescent="0.2">
      <c r="A132" s="3" t="s">
        <v>695</v>
      </c>
      <c r="B132" s="3" t="s">
        <v>680</v>
      </c>
      <c r="C132" s="3" t="s">
        <v>696</v>
      </c>
      <c r="D132" s="2" t="s">
        <v>697</v>
      </c>
      <c r="E132" s="4"/>
      <c r="F132" s="4"/>
      <c r="G132" s="3">
        <f t="shared" si="1"/>
        <v>0</v>
      </c>
      <c r="H132" s="3" t="str">
        <f ca="1">IFERROR(__xludf.DUMMYFUNCTION("IFERROR(
  TRIM(
    REGEXEXTRACT(
      SUBSTITUTE(J132,""%20"",""""),
      ""destination=(-?[0-9.]+)""
    )
  ),
"""")
"),"-4.078931")</f>
        <v>-4.078931</v>
      </c>
      <c r="I132" s="4" t="str">
        <f ca="1">IFERROR(__xludf.DUMMYFUNCTION("IFERROR(
  TRIM(
    REGEXEXTRACT(
      SUBSTITUTE(J132,""%20"",""""),
      ""destination=-?[0-9.]+,(-?[0-9.]+)""
    )
  ),
"""")
"),"39.6706666")</f>
        <v>39.6706666</v>
      </c>
      <c r="J132" s="5" t="s">
        <v>698</v>
      </c>
    </row>
    <row r="133" spans="1:10" x14ac:dyDescent="0.2">
      <c r="A133" s="3" t="s">
        <v>699</v>
      </c>
      <c r="B133" s="3" t="s">
        <v>680</v>
      </c>
      <c r="C133" s="3" t="s">
        <v>700</v>
      </c>
      <c r="D133" s="2" t="s">
        <v>701</v>
      </c>
      <c r="E133" s="3" t="s">
        <v>313</v>
      </c>
      <c r="F133" s="3"/>
      <c r="G133" s="3">
        <f t="shared" si="1"/>
        <v>0</v>
      </c>
      <c r="H133" s="3" t="str">
        <f ca="1">IFERROR(__xludf.DUMMYFUNCTION("IFERROR(
  TRIM(
    REGEXEXTRACT(
      SUBSTITUTE(J133,""%20"",""""),
      ""destination=(-?[0-9.]+)""
    )
  ),
"""")
"),"-4.0434771")</f>
        <v>-4.0434771</v>
      </c>
      <c r="I133" s="4" t="str">
        <f ca="1">IFERROR(__xludf.DUMMYFUNCTION("IFERROR(
  TRIM(
    REGEXEXTRACT(
      SUBSTITUTE(J133,""%20"",""""),
      ""destination=-?[0-9.]+,(-?[0-9.]+)""
    )
  ),
"""")
"),"39.6682065")</f>
        <v>39.6682065</v>
      </c>
      <c r="J133" s="5" t="s">
        <v>702</v>
      </c>
    </row>
    <row r="134" spans="1:10" x14ac:dyDescent="0.2">
      <c r="A134" s="3" t="s">
        <v>703</v>
      </c>
      <c r="B134" s="3" t="s">
        <v>680</v>
      </c>
      <c r="C134" s="3" t="s">
        <v>704</v>
      </c>
      <c r="D134" s="2" t="s">
        <v>705</v>
      </c>
      <c r="E134" s="4"/>
      <c r="F134" s="4"/>
      <c r="G134" s="3">
        <f t="shared" si="1"/>
        <v>0</v>
      </c>
      <c r="H134" s="3" t="str">
        <f ca="1">IFERROR(__xludf.DUMMYFUNCTION("IFERROR(
  TRIM(
    REGEXEXTRACT(
      SUBSTITUTE(J134,""%20"",""""),
      ""destination=(-?[0-9.]+)""
    )
  ),
"""")
"),"-4.0703058")</f>
        <v>-4.0703058</v>
      </c>
      <c r="I134" s="4" t="str">
        <f ca="1">IFERROR(__xludf.DUMMYFUNCTION("IFERROR(
  TRIM(
    REGEXEXTRACT(
      SUBSTITUTE(J134,""%20"",""""),
      ""destination=-?[0-9.]+,(-?[0-9.]+)""
    )
  ),
"""")
"),"39.6719658")</f>
        <v>39.6719658</v>
      </c>
      <c r="J134" s="5" t="s">
        <v>706</v>
      </c>
    </row>
    <row r="135" spans="1:10" x14ac:dyDescent="0.2">
      <c r="A135" s="3" t="s">
        <v>703</v>
      </c>
      <c r="B135" s="3" t="s">
        <v>680</v>
      </c>
      <c r="C135" s="3" t="s">
        <v>707</v>
      </c>
      <c r="D135" s="2" t="s">
        <v>708</v>
      </c>
      <c r="E135" s="4"/>
      <c r="F135" s="4"/>
      <c r="G135" s="3">
        <f t="shared" si="1"/>
        <v>0</v>
      </c>
      <c r="H135" s="3" t="str">
        <f ca="1">IFERROR(__xludf.DUMMYFUNCTION("IFERROR(
  TRIM(
    REGEXEXTRACT(
      SUBSTITUTE(J135,""%20"",""""),
      ""destination=(-?[0-9.]+)""
    )
  ),
"""")
"),"-0.0983468")</f>
        <v>-0.0983468</v>
      </c>
      <c r="I135" s="4" t="str">
        <f ca="1">IFERROR(__xludf.DUMMYFUNCTION("IFERROR(
  TRIM(
    REGEXEXTRACT(
      SUBSTITUTE(J135,""%20"",""""),
      ""destination=-?[0-9.]+,(-?[0-9.]+)""
    )
  ),
"""")
"),"34.7551691")</f>
        <v>34.7551691</v>
      </c>
      <c r="J135" s="5" t="s">
        <v>709</v>
      </c>
    </row>
    <row r="136" spans="1:10" x14ac:dyDescent="0.2">
      <c r="A136" s="3" t="s">
        <v>710</v>
      </c>
      <c r="B136" s="3" t="s">
        <v>711</v>
      </c>
      <c r="C136" s="3" t="s">
        <v>712</v>
      </c>
      <c r="D136" s="2" t="s">
        <v>713</v>
      </c>
      <c r="E136" s="4"/>
      <c r="F136" s="4"/>
      <c r="G136" s="3">
        <f t="shared" si="1"/>
        <v>0</v>
      </c>
      <c r="H136" s="3" t="str">
        <f ca="1">IFERROR(__xludf.DUMMYFUNCTION("IFERROR(
  TRIM(
    REGEXEXTRACT(
      SUBSTITUTE(J136,""%20"",""""),
      ""destination=(-?[0-9.]+)""
    )
  ),
"""")
"),"-0.0934239")</f>
        <v>-0.0934239</v>
      </c>
      <c r="I136" s="4" t="str">
        <f ca="1">IFERROR(__xludf.DUMMYFUNCTION("IFERROR(
  TRIM(
    REGEXEXTRACT(
      SUBSTITUTE(J136,""%20"",""""),
      ""destination=-?[0-9.]+,(-?[0-9.]+)""
    )
  ),
"""")
"),"34.7661545")</f>
        <v>34.7661545</v>
      </c>
      <c r="J136" s="5" t="s">
        <v>714</v>
      </c>
    </row>
    <row r="137" spans="1:10" x14ac:dyDescent="0.2">
      <c r="A137" s="3" t="s">
        <v>715</v>
      </c>
      <c r="B137" s="3" t="s">
        <v>711</v>
      </c>
      <c r="C137" s="3" t="s">
        <v>716</v>
      </c>
      <c r="D137" s="2" t="s">
        <v>717</v>
      </c>
      <c r="E137" s="3" t="s">
        <v>718</v>
      </c>
      <c r="F137" s="3" t="s">
        <v>718</v>
      </c>
      <c r="G137" s="3" t="str">
        <f t="shared" si="1"/>
        <v/>
      </c>
      <c r="H137" s="3" t="str">
        <f ca="1">IFERROR(__xludf.DUMMYFUNCTION("IFERROR(
  TRIM(
    REGEXEXTRACT(
      SUBSTITUTE(J137,""%20"",""""),
      ""destination=(-?[0-9.]+)""
    )
  ),
"""")
"),"-0.4999223")</f>
        <v>-0.4999223</v>
      </c>
      <c r="I137" s="4" t="str">
        <f ca="1">IFERROR(__xludf.DUMMYFUNCTION("IFERROR(
  TRIM(
    REGEXEXTRACT(
      SUBSTITUTE(J137,""%20"",""""),
      ""destination=-?[0-9.]+,(-?[0-9.]+)""
    )
  ),
"""")
"),"36.3148851")</f>
        <v>36.3148851</v>
      </c>
      <c r="J137" s="5" t="s">
        <v>719</v>
      </c>
    </row>
    <row r="138" spans="1:10" x14ac:dyDescent="0.2">
      <c r="A138" s="3" t="s">
        <v>720</v>
      </c>
      <c r="B138" s="3" t="s">
        <v>721</v>
      </c>
      <c r="C138" s="3" t="s">
        <v>722</v>
      </c>
      <c r="D138" s="2">
        <v>254711113499</v>
      </c>
      <c r="E138" s="3" t="s">
        <v>723</v>
      </c>
      <c r="F138" s="3" t="s">
        <v>724</v>
      </c>
      <c r="G138" s="3" t="str">
        <f t="shared" si="1"/>
        <v/>
      </c>
      <c r="H138" s="3" t="str">
        <f ca="1">IFERROR(__xludf.DUMMYFUNCTION("IFERROR(
  TRIM(
    REGEXEXTRACT(
      SUBSTITUTE(J138,""%20"",""""),
      ""destination=(-?[0-9.]+)""
    )
  ),
"""")
"),"-0.282371")</f>
        <v>-0.282371</v>
      </c>
      <c r="I138" s="4" t="str">
        <f ca="1">IFERROR(__xludf.DUMMYFUNCTION("IFERROR(
  TRIM(
    REGEXEXTRACT(
      SUBSTITUTE(J138,""%20"",""""),
      ""destination=-?[0-9.]+,(-?[0-9.]+)""
    )
  ),
"""")
"),"36.098575")</f>
        <v>36.098575</v>
      </c>
      <c r="J138" s="5" t="s">
        <v>725</v>
      </c>
    </row>
    <row r="139" spans="1:10" x14ac:dyDescent="0.2">
      <c r="A139" s="3" t="s">
        <v>726</v>
      </c>
      <c r="B139" s="3" t="s">
        <v>727</v>
      </c>
      <c r="C139" s="3" t="s">
        <v>728</v>
      </c>
      <c r="D139" s="12" t="s">
        <v>729</v>
      </c>
      <c r="E139" s="3" t="s">
        <v>730</v>
      </c>
      <c r="F139" s="3"/>
      <c r="G139" s="3">
        <f t="shared" si="1"/>
        <v>0</v>
      </c>
      <c r="H139" s="3" t="str">
        <f ca="1">IFERROR(__xludf.DUMMYFUNCTION("IFERROR(
  TRIM(
    REGEXEXTRACT(
      SUBSTITUTE(J139,""%20"",""""),
      ""destination=(-?[0-9.]+)""
    )
  ),
"""")
"),"-1.316234")</f>
        <v>-1.316234</v>
      </c>
      <c r="I139" s="4" t="str">
        <f ca="1">IFERROR(__xludf.DUMMYFUNCTION("IFERROR(
  TRIM(
    REGEXEXTRACT(
      SUBSTITUTE(J139,""%20"",""""),
      ""destination=-?[0-9.]+,(-?[0-9.]+)""
    )
  ),
"""")
"),"36.834599")</f>
        <v>36.834599</v>
      </c>
      <c r="J139" s="5" t="s">
        <v>731</v>
      </c>
    </row>
    <row r="140" spans="1:10" x14ac:dyDescent="0.2">
      <c r="A140" s="3" t="s">
        <v>732</v>
      </c>
      <c r="B140" s="4"/>
      <c r="C140" s="3" t="s">
        <v>733</v>
      </c>
      <c r="D140" s="2" t="s">
        <v>734</v>
      </c>
      <c r="E140" s="3" t="s">
        <v>735</v>
      </c>
      <c r="F140" s="3"/>
      <c r="G140" s="3">
        <f t="shared" si="1"/>
        <v>0</v>
      </c>
      <c r="H140" s="3" t="str">
        <f ca="1">IFERROR(__xludf.DUMMYFUNCTION("IFERROR(
  TRIM(
    REGEXEXTRACT(
      SUBSTITUTE(J140,""%20"",""""),
      ""destination=(-?[0-9.]+)""
    )
  ),
"""")
"),"-4.0608457")</f>
        <v>-4.0608457</v>
      </c>
      <c r="I140" s="4" t="str">
        <f ca="1">IFERROR(__xludf.DUMMYFUNCTION("IFERROR(
  TRIM(
    REGEXEXTRACT(
      SUBSTITUTE(J140,""%20"",""""),
      ""destination=-?[0-9.]+,(-?[0-9.]+)""
    )
  ),
"""")
"),"39.6720892")</f>
        <v>39.6720892</v>
      </c>
      <c r="J140" s="5" t="s">
        <v>736</v>
      </c>
    </row>
    <row r="141" spans="1:10" x14ac:dyDescent="0.2">
      <c r="A141" s="3" t="s">
        <v>732</v>
      </c>
      <c r="B141" s="4"/>
      <c r="C141" s="3" t="s">
        <v>737</v>
      </c>
      <c r="D141" s="2" t="s">
        <v>738</v>
      </c>
      <c r="E141" s="3" t="s">
        <v>739</v>
      </c>
      <c r="F141" s="3"/>
      <c r="G141" s="3">
        <f t="shared" si="1"/>
        <v>0</v>
      </c>
      <c r="H141" s="3" t="str">
        <f ca="1">IFERROR(__xludf.DUMMYFUNCTION("IFERROR(
  TRIM(
    REGEXEXTRACT(
      SUBSTITUTE(J141,""%20"",""""),
      ""destination=(-?[0-9.]+)""
    )
  ),
"""")
"),"-0.2896191")</f>
        <v>-0.2896191</v>
      </c>
      <c r="I141" s="4" t="str">
        <f ca="1">IFERROR(__xludf.DUMMYFUNCTION("IFERROR(
  TRIM(
    REGEXEXTRACT(
      SUBSTITUTE(J141,""%20"",""""),
      ""destination=-?[0-9.]+,(-?[0-9.]+)""
    )
  ),
"""")
"),"36.0676817")</f>
        <v>36.0676817</v>
      </c>
      <c r="J141" s="5" t="s">
        <v>740</v>
      </c>
    </row>
    <row r="142" spans="1:10" x14ac:dyDescent="0.2">
      <c r="A142" s="3" t="s">
        <v>732</v>
      </c>
      <c r="B142" s="3" t="s">
        <v>741</v>
      </c>
      <c r="C142" s="3" t="s">
        <v>742</v>
      </c>
      <c r="D142" s="2" t="s">
        <v>743</v>
      </c>
      <c r="E142" s="3" t="s">
        <v>744</v>
      </c>
      <c r="F142" s="3"/>
      <c r="G142" s="3">
        <f t="shared" si="1"/>
        <v>0</v>
      </c>
      <c r="H142" s="3" t="str">
        <f ca="1">IFERROR(__xludf.DUMMYFUNCTION("IFERROR(
  TRIM(
    REGEXEXTRACT(
      SUBSTITUTE(J142,""%20"",""""),
      ""destination=(-?[0-9.]+)""
    )
  ),
"""")
"),"0.5095347")</f>
        <v>0.5095347</v>
      </c>
      <c r="I142" s="4" t="str">
        <f ca="1">IFERROR(__xludf.DUMMYFUNCTION("IFERROR(
  TRIM(
    REGEXEXTRACT(
      SUBSTITUTE(J142,""%20"",""""),
      ""destination=-?[0-9.]+,(-?[0-9.]+)""
    )
  ),
"""")
"),"35.2877393")</f>
        <v>35.2877393</v>
      </c>
      <c r="J142" s="5" t="s">
        <v>745</v>
      </c>
    </row>
    <row r="143" spans="1:10" x14ac:dyDescent="0.2">
      <c r="A143" s="3" t="s">
        <v>732</v>
      </c>
      <c r="B143" s="4"/>
      <c r="C143" s="3" t="s">
        <v>746</v>
      </c>
      <c r="D143" s="12" t="s">
        <v>747</v>
      </c>
      <c r="E143" s="4"/>
      <c r="F143" s="4"/>
      <c r="G143" s="3">
        <f t="shared" si="1"/>
        <v>0</v>
      </c>
      <c r="H143" s="3" t="str">
        <f ca="1">IFERROR(__xludf.DUMMYFUNCTION("IFERROR(
  TRIM(
    REGEXEXTRACT(
      SUBSTITUTE(J143,""%20"",""""),
      ""destination=(-?[0-9.]+)""
    )
  ),
"""")
"),"-1.0351449")</f>
        <v>-1.0351449</v>
      </c>
      <c r="I143" s="4" t="str">
        <f ca="1">IFERROR(__xludf.DUMMYFUNCTION("IFERROR(
  TRIM(
    REGEXEXTRACT(
      SUBSTITUTE(J143,""%20"",""""),
      ""destination=-?[0-9.]+,(-?[0-9.]+)""
    )
  ),
"""")
"),"37.0726883")</f>
        <v>37.0726883</v>
      </c>
      <c r="J143" s="5" t="s">
        <v>748</v>
      </c>
    </row>
    <row r="144" spans="1:10" x14ac:dyDescent="0.2">
      <c r="A144" s="3" t="s">
        <v>732</v>
      </c>
      <c r="B144" s="4"/>
      <c r="C144" s="3" t="s">
        <v>749</v>
      </c>
      <c r="D144" s="2" t="s">
        <v>750</v>
      </c>
      <c r="E144" s="3" t="s">
        <v>751</v>
      </c>
      <c r="F144" s="3"/>
      <c r="G144" s="3">
        <f t="shared" si="1"/>
        <v>0</v>
      </c>
      <c r="H144" s="3" t="str">
        <f ca="1">IFERROR(__xludf.DUMMYFUNCTION("IFERROR(
  TRIM(
    REGEXEXTRACT(
      SUBSTITUTE(J144,""%20"",""""),
      ""destination=(-?[0-9.]+)""
    )
  ),
"""")
"),"-0.0994748")</f>
        <v>-0.0994748</v>
      </c>
      <c r="I144" s="4" t="str">
        <f ca="1">IFERROR(__xludf.DUMMYFUNCTION("IFERROR(
  TRIM(
    REGEXEXTRACT(
      SUBSTITUTE(J144,""%20"",""""),
      ""destination=-?[0-9.]+,(-?[0-9.]+)""
    )
  ),
"""")
"),"34.7626549")</f>
        <v>34.7626549</v>
      </c>
      <c r="J144" s="5" t="s">
        <v>752</v>
      </c>
    </row>
    <row r="145" spans="1:10" x14ac:dyDescent="0.2">
      <c r="A145" s="3" t="s">
        <v>732</v>
      </c>
      <c r="B145" s="4"/>
      <c r="C145" s="3" t="s">
        <v>753</v>
      </c>
      <c r="D145" s="2" t="s">
        <v>754</v>
      </c>
      <c r="E145" s="3" t="s">
        <v>755</v>
      </c>
      <c r="F145" s="3"/>
      <c r="G145" s="3">
        <f t="shared" si="1"/>
        <v>0</v>
      </c>
      <c r="H145" s="3" t="str">
        <f ca="1">IFERROR(__xludf.DUMMYFUNCTION("IFERROR(
  TRIM(
    REGEXEXTRACT(
      SUBSTITUTE(J145,""%20"",""""),
      ""destination=(-?[0-9.]+)""
    )
  ),
"""")
"),"0.0430602")</f>
        <v>0.0430602</v>
      </c>
      <c r="I145" s="4" t="str">
        <f ca="1">IFERROR(__xludf.DUMMYFUNCTION("IFERROR(
  TRIM(
    REGEXEXTRACT(
      SUBSTITUTE(J145,""%20"",""""),
      ""destination=-?[0-9.]+,(-?[0-9.]+)""
    )
  ),
"""")
"),"37.6451841")</f>
        <v>37.6451841</v>
      </c>
      <c r="J145" s="5" t="s">
        <v>756</v>
      </c>
    </row>
    <row r="146" spans="1:10" x14ac:dyDescent="0.2">
      <c r="A146" s="3" t="s">
        <v>757</v>
      </c>
      <c r="B146" s="4"/>
      <c r="C146" s="3" t="s">
        <v>758</v>
      </c>
      <c r="D146" s="2" t="s">
        <v>759</v>
      </c>
      <c r="E146" s="4"/>
      <c r="F146" s="4"/>
      <c r="G146" s="3">
        <f t="shared" si="1"/>
        <v>0</v>
      </c>
      <c r="H146" s="3" t="str">
        <f ca="1">IFERROR(__xludf.DUMMYFUNCTION("IFERROR(
  TRIM(
    REGEXEXTRACT(
      SUBSTITUTE(J146,""%20"",""""),
      ""destination=(-?[0-9.]+)""
    )
  ),
"""")
"),"-0.0994748")</f>
        <v>-0.0994748</v>
      </c>
      <c r="I146" s="4" t="str">
        <f ca="1">IFERROR(__xludf.DUMMYFUNCTION("IFERROR(
  TRIM(
    REGEXEXTRACT(
      SUBSTITUTE(J146,""%20"",""""),
      ""destination=-?[0-9.]+,(-?[0-9.]+)""
    )
  ),
"""")
"),"34.7626549")</f>
        <v>34.7626549</v>
      </c>
      <c r="J146" s="5" t="s">
        <v>752</v>
      </c>
    </row>
    <row r="147" spans="1:10" x14ac:dyDescent="0.2">
      <c r="A147" s="3" t="s">
        <v>760</v>
      </c>
      <c r="B147" s="4"/>
      <c r="C147" s="3" t="s">
        <v>761</v>
      </c>
      <c r="D147" s="2" t="s">
        <v>762</v>
      </c>
      <c r="E147" s="4"/>
      <c r="F147" s="4"/>
      <c r="G147" s="3">
        <f t="shared" si="1"/>
        <v>0</v>
      </c>
      <c r="H147" s="3" t="str">
        <f ca="1">IFERROR(__xludf.DUMMYFUNCTION("IFERROR(
  TRIM(
    REGEXEXTRACT(
      SUBSTITUTE(J147,""%20"",""""),
      ""destination=(-?[0-9.]+)""
    )
  ),
"""")
"),"-0.1049642")</f>
        <v>-0.1049642</v>
      </c>
      <c r="I147" s="4" t="str">
        <f ca="1">IFERROR(__xludf.DUMMYFUNCTION("IFERROR(
  TRIM(
    REGEXEXTRACT(
      SUBSTITUTE(J147,""%20"",""""),
      ""destination=-?[0-9.]+,(-?[0-9.]+)""
    )
  ),
"""")
"),"34.7542861")</f>
        <v>34.7542861</v>
      </c>
      <c r="J147" s="5" t="s">
        <v>763</v>
      </c>
    </row>
    <row r="148" spans="1:10" x14ac:dyDescent="0.2">
      <c r="A148" s="3" t="s">
        <v>764</v>
      </c>
      <c r="B148" s="3" t="s">
        <v>765</v>
      </c>
      <c r="C148" s="3" t="s">
        <v>766</v>
      </c>
      <c r="D148" s="2" t="s">
        <v>767</v>
      </c>
      <c r="E148" s="4"/>
      <c r="F148" s="4"/>
      <c r="G148" s="3">
        <f t="shared" si="1"/>
        <v>0</v>
      </c>
      <c r="H148" s="3" t="str">
        <f ca="1">IFERROR(__xludf.DUMMYFUNCTION("IFERROR(
  TRIM(
    REGEXEXTRACT(
      SUBSTITUTE(J148,""%20"",""""),
      ""destination=(-?[0-9.]+)""
    )
  ),
"""")
"),"-0.0886577")</f>
        <v>-0.0886577</v>
      </c>
      <c r="I148" s="4" t="str">
        <f ca="1">IFERROR(__xludf.DUMMYFUNCTION("IFERROR(
  TRIM(
    REGEXEXTRACT(
      SUBSTITUTE(J148,""%20"",""""),
      ""destination=-?[0-9.]+,(-?[0-9.]+)""
    )
  ),
"""")
"),"34.7704652")</f>
        <v>34.7704652</v>
      </c>
      <c r="J148" s="5" t="s">
        <v>768</v>
      </c>
    </row>
    <row r="149" spans="1:10" x14ac:dyDescent="0.2">
      <c r="A149" s="3" t="s">
        <v>769</v>
      </c>
      <c r="B149" s="3" t="s">
        <v>765</v>
      </c>
      <c r="C149" s="3" t="s">
        <v>770</v>
      </c>
      <c r="D149" s="2" t="s">
        <v>771</v>
      </c>
      <c r="E149" s="4"/>
      <c r="F149" s="4"/>
      <c r="G149" s="3">
        <f t="shared" si="1"/>
        <v>0</v>
      </c>
      <c r="H149" s="3" t="str">
        <f ca="1">IFERROR(__xludf.DUMMYFUNCTION("IFERROR(
  TRIM(
    REGEXEXTRACT(
      SUBSTITUTE(J149,""%20"",""""),
      ""destination=(-?[0-9.]+)""
    )
  ),
"""")
"),"-0.677334")</f>
        <v>-0.677334</v>
      </c>
      <c r="I149" s="4" t="str">
        <f ca="1">IFERROR(__xludf.DUMMYFUNCTION("IFERROR(
  TRIM(
    REGEXEXTRACT(
      SUBSTITUTE(J149,""%20"",""""),
      ""destination=-?[0-9.]+,(-?[0-9.]+)""
    )
  ),
"""")
"),"34.779603")</f>
        <v>34.779603</v>
      </c>
      <c r="J149" s="5" t="s">
        <v>772</v>
      </c>
    </row>
    <row r="150" spans="1:10" x14ac:dyDescent="0.2">
      <c r="A150" s="3" t="s">
        <v>773</v>
      </c>
      <c r="B150" s="3" t="s">
        <v>765</v>
      </c>
      <c r="C150" s="3" t="s">
        <v>774</v>
      </c>
      <c r="D150" s="2" t="s">
        <v>775</v>
      </c>
      <c r="E150" s="4"/>
      <c r="F150" s="4"/>
      <c r="G150" s="3">
        <f t="shared" si="1"/>
        <v>0</v>
      </c>
      <c r="H150" s="3" t="str">
        <f ca="1">IFERROR(__xludf.DUMMYFUNCTION("IFERROR(
  TRIM(
    REGEXEXTRACT(
      SUBSTITUTE(J150,""%20"",""""),
      ""destination=(-?[0-9.]+)""
    )
  ),
"""")
"),"1.0221613")</f>
        <v>1.0221613</v>
      </c>
      <c r="I150" s="4" t="str">
        <f ca="1">IFERROR(__xludf.DUMMYFUNCTION("IFERROR(
  TRIM(
    REGEXEXTRACT(
      SUBSTITUTE(J150,""%20"",""""),
      ""destination=-?[0-9.]+,(-?[0-9.]+)""
    )
  ),
"""")
"),"34.9987109")</f>
        <v>34.9987109</v>
      </c>
      <c r="J150" s="5" t="s">
        <v>776</v>
      </c>
    </row>
    <row r="151" spans="1:10" x14ac:dyDescent="0.2">
      <c r="A151" s="3" t="s">
        <v>777</v>
      </c>
      <c r="B151" s="3" t="s">
        <v>765</v>
      </c>
      <c r="C151" s="3" t="s">
        <v>778</v>
      </c>
      <c r="D151" s="2" t="s">
        <v>779</v>
      </c>
      <c r="E151" s="4"/>
      <c r="F151" s="4"/>
      <c r="G151" s="3">
        <f t="shared" si="1"/>
        <v>0</v>
      </c>
      <c r="H151" s="3" t="str">
        <f ca="1">IFERROR(__xludf.DUMMYFUNCTION("IFERROR(
  TRIM(
    REGEXEXTRACT(
      SUBSTITUTE(J151,""%20"",""""),
      ""destination=(-?[0-9.]+)""
    )
  ),
"""")
"),"-4.0609703")</f>
        <v>-4.0609703</v>
      </c>
      <c r="I151" s="4" t="str">
        <f ca="1">IFERROR(__xludf.DUMMYFUNCTION("IFERROR(
  TRIM(
    REGEXEXTRACT(
      SUBSTITUTE(J151,""%20"",""""),
      ""destination=-?[0-9.]+,(-?[0-9.]+)""
    )
  ),
"""")
"),"39.6607065")</f>
        <v>39.6607065</v>
      </c>
      <c r="J151" s="5" t="s">
        <v>780</v>
      </c>
    </row>
    <row r="152" spans="1:10" x14ac:dyDescent="0.2">
      <c r="A152" s="3" t="s">
        <v>781</v>
      </c>
      <c r="B152" s="3" t="s">
        <v>765</v>
      </c>
      <c r="C152" s="3" t="s">
        <v>782</v>
      </c>
      <c r="D152" s="2" t="s">
        <v>783</v>
      </c>
      <c r="E152" s="4"/>
      <c r="F152" s="4"/>
      <c r="G152" s="3">
        <f t="shared" si="1"/>
        <v>0</v>
      </c>
      <c r="H152" s="3" t="str">
        <f ca="1">IFERROR(__xludf.DUMMYFUNCTION("IFERROR(
  TRIM(
    REGEXEXTRACT(
      SUBSTITUTE(J152,""%20"",""""),
      ""destination=(-?[0-9.]+)""
    )
  ),
"""")
"),"0.5141525")</f>
        <v>0.5141525</v>
      </c>
      <c r="I152" s="4" t="str">
        <f ca="1">IFERROR(__xludf.DUMMYFUNCTION("IFERROR(
  TRIM(
    REGEXEXTRACT(
      SUBSTITUTE(J152,""%20"",""""),
      ""destination=-?[0-9.]+,(-?[0-9.]+)""
    )
  ),
"""")
"),"35.2883484")</f>
        <v>35.2883484</v>
      </c>
      <c r="J152" s="5" t="s">
        <v>784</v>
      </c>
    </row>
    <row r="153" spans="1:10" x14ac:dyDescent="0.2">
      <c r="A153" s="3" t="s">
        <v>785</v>
      </c>
      <c r="B153" s="3" t="s">
        <v>765</v>
      </c>
      <c r="C153" s="3" t="s">
        <v>786</v>
      </c>
      <c r="D153" s="2" t="s">
        <v>787</v>
      </c>
      <c r="E153" s="4"/>
      <c r="F153" s="4"/>
      <c r="G153" s="3">
        <f t="shared" si="1"/>
        <v>0</v>
      </c>
      <c r="H153" s="3" t="str">
        <f ca="1">IFERROR(__xludf.DUMMYFUNCTION("IFERROR(
  TRIM(
    REGEXEXTRACT(
      SUBSTITUTE(J153,""%20"",""""),
      ""destination=(-?[0-9.]+)""
    )
  ),
"""")
"),"-0.2849853")</f>
        <v>-0.2849853</v>
      </c>
      <c r="I153" s="4" t="str">
        <f ca="1">IFERROR(__xludf.DUMMYFUNCTION("IFERROR(
  TRIM(
    REGEXEXTRACT(
      SUBSTITUTE(J153,""%20"",""""),
      ""destination=-?[0-9.]+,(-?[0-9.]+)""
    )
  ),
"""")
"),"36.0693113")</f>
        <v>36.0693113</v>
      </c>
      <c r="J153" s="5" t="s">
        <v>788</v>
      </c>
    </row>
    <row r="154" spans="1:10" x14ac:dyDescent="0.2">
      <c r="A154" s="3" t="s">
        <v>789</v>
      </c>
      <c r="B154" s="3" t="s">
        <v>765</v>
      </c>
      <c r="C154" s="3" t="s">
        <v>790</v>
      </c>
      <c r="D154" s="2" t="s">
        <v>791</v>
      </c>
      <c r="E154" s="4"/>
      <c r="F154" s="4"/>
      <c r="G154" s="3">
        <f t="shared" si="1"/>
        <v>0</v>
      </c>
      <c r="H154" s="3" t="str">
        <f ca="1">IFERROR(__xludf.DUMMYFUNCTION("IFERROR(
  TRIM(
    REGEXEXTRACT(
      SUBSTITUTE(J154,""%20"",""""),
      ""destination=(-?[0-9.]+)""
    )
  ),
"""")
"),"0.0163811")</f>
        <v>0.0163811</v>
      </c>
      <c r="I154" s="4" t="str">
        <f ca="1">IFERROR(__xludf.DUMMYFUNCTION("IFERROR(
  TRIM(
    REGEXEXTRACT(
      SUBSTITUTE(J154,""%20"",""""),
      ""destination=-?[0-9.]+,(-?[0-9.]+)""
    )
  ),
"""")
"),"37.078077")</f>
        <v>37.078077</v>
      </c>
      <c r="J154" s="5" t="s">
        <v>792</v>
      </c>
    </row>
    <row r="155" spans="1:10" x14ac:dyDescent="0.2">
      <c r="A155" s="3" t="s">
        <v>793</v>
      </c>
      <c r="B155" s="3" t="s">
        <v>765</v>
      </c>
      <c r="C155" s="3" t="s">
        <v>794</v>
      </c>
      <c r="D155" s="2" t="s">
        <v>795</v>
      </c>
      <c r="E155" s="4"/>
      <c r="F155" s="4"/>
      <c r="G155" s="3">
        <f t="shared" si="1"/>
        <v>0</v>
      </c>
      <c r="H155" s="3" t="str">
        <f ca="1">IFERROR(__xludf.DUMMYFUNCTION("IFERROR(
  TRIM(
    REGEXEXTRACT(
      SUBSTITUTE(J155,""%20"",""""),
      ""destination=(-?[0-9.]+)""
    )
  ),
"""")
"),"0.0531912")</f>
        <v>0.0531912</v>
      </c>
      <c r="I155" s="4" t="str">
        <f ca="1">IFERROR(__xludf.DUMMYFUNCTION("IFERROR(
  TRIM(
    REGEXEXTRACT(
      SUBSTITUTE(J155,""%20"",""""),
      ""destination=-?[0-9.]+,(-?[0-9.]+)""
    )
  ),
"""")
"),"37.6390472")</f>
        <v>37.6390472</v>
      </c>
      <c r="J155" s="5" t="s">
        <v>796</v>
      </c>
    </row>
    <row r="156" spans="1:10" x14ac:dyDescent="0.2">
      <c r="A156" s="3" t="s">
        <v>797</v>
      </c>
      <c r="B156" s="3" t="s">
        <v>765</v>
      </c>
      <c r="C156" s="3" t="s">
        <v>798</v>
      </c>
      <c r="D156" s="2" t="s">
        <v>799</v>
      </c>
      <c r="E156" s="4"/>
      <c r="F156" s="4"/>
      <c r="G156" s="3">
        <f t="shared" si="1"/>
        <v>0</v>
      </c>
      <c r="H156" s="3" t="str">
        <f ca="1">IFERROR(__xludf.DUMMYFUNCTION("IFERROR(
  TRIM(
    REGEXEXTRACT(
      SUBSTITUTE(J156,""%20"",""""),
      ""destination=(-?[0-9.]+)""
    )
  ),
"""")
"),"-0.723483")</f>
        <v>-0.723483</v>
      </c>
      <c r="I156" s="4" t="str">
        <f ca="1">IFERROR(__xludf.DUMMYFUNCTION("IFERROR(
  TRIM(
    REGEXEXTRACT(
      SUBSTITUTE(J156,""%20"",""""),
      ""destination=-?[0-9.]+,(-?[0-9.]+)""
    )
  ),
"""")
"),"36.4427658")</f>
        <v>36.4427658</v>
      </c>
      <c r="J156" s="5" t="s">
        <v>800</v>
      </c>
    </row>
    <row r="157" spans="1:10" x14ac:dyDescent="0.2">
      <c r="A157" s="3" t="s">
        <v>801</v>
      </c>
      <c r="B157" s="3" t="s">
        <v>765</v>
      </c>
      <c r="C157" s="3" t="s">
        <v>802</v>
      </c>
      <c r="D157" s="2" t="s">
        <v>803</v>
      </c>
      <c r="E157" s="4"/>
      <c r="F157" s="4"/>
      <c r="G157" s="3">
        <f t="shared" si="1"/>
        <v>0</v>
      </c>
      <c r="H157" s="3" t="str">
        <f ca="1">IFERROR(__xludf.DUMMYFUNCTION("IFERROR(
  TRIM(
    REGEXEXTRACT(
      SUBSTITUTE(J157,""%20"",""""),
      ""destination=(-?[0-9.]+)""
    )
  ),
"""")
"),"-0.4225879")</f>
        <v>-0.4225879</v>
      </c>
      <c r="I157" s="4" t="str">
        <f ca="1">IFERROR(__xludf.DUMMYFUNCTION("IFERROR(
  TRIM(
    REGEXEXTRACT(
      SUBSTITUTE(J157,""%20"",""""),
      ""destination=-?[0-9.]+,(-?[0-9.]+)""
    )
  ),
"""")
"),"36.9536872")</f>
        <v>36.9536872</v>
      </c>
      <c r="J157" s="5" t="s">
        <v>804</v>
      </c>
    </row>
    <row r="158" spans="1:10" x14ac:dyDescent="0.2">
      <c r="A158" s="3" t="s">
        <v>805</v>
      </c>
      <c r="B158" s="3" t="s">
        <v>765</v>
      </c>
      <c r="C158" s="3" t="s">
        <v>806</v>
      </c>
      <c r="D158" s="2" t="s">
        <v>807</v>
      </c>
      <c r="E158" s="4"/>
      <c r="F158" s="4"/>
      <c r="G158" s="3">
        <f t="shared" si="1"/>
        <v>0</v>
      </c>
      <c r="H158" s="3" t="str">
        <f ca="1">IFERROR(__xludf.DUMMYFUNCTION("IFERROR(
  TRIM(
    REGEXEXTRACT(
      SUBSTITUTE(J158,""%20"",""""),
      ""destination=(-?[0-9.]+)""
    )
  ),
"""")
"),"-1.0354627")</f>
        <v>-1.0354627</v>
      </c>
      <c r="I158" s="4" t="str">
        <f ca="1">IFERROR(__xludf.DUMMYFUNCTION("IFERROR(
  TRIM(
    REGEXEXTRACT(
      SUBSTITUTE(J158,""%20"",""""),
      ""destination=-?[0-9.]+,(-?[0-9.]+)""
    )
  ),
"""")
"),"37.0753903")</f>
        <v>37.0753903</v>
      </c>
      <c r="J158" s="5" t="s">
        <v>808</v>
      </c>
    </row>
    <row r="159" spans="1:10" x14ac:dyDescent="0.2">
      <c r="A159" s="3" t="s">
        <v>809</v>
      </c>
      <c r="B159" s="3" t="s">
        <v>765</v>
      </c>
      <c r="C159" s="3" t="s">
        <v>810</v>
      </c>
      <c r="D159" s="2" t="s">
        <v>811</v>
      </c>
      <c r="E159" s="4"/>
      <c r="F159" s="4"/>
      <c r="G159" s="3">
        <f t="shared" si="1"/>
        <v>0</v>
      </c>
      <c r="H159" s="3" t="str">
        <f ca="1">IFERROR(__xludf.DUMMYFUNCTION("IFERROR(
  TRIM(
    REGEXEXTRACT(
      SUBSTITUTE(J159,""%20"",""""),
      ""destination=(-?[0-9.]+)""
    )
  ),
"""")
"),"-1.2843856")</f>
        <v>-1.2843856</v>
      </c>
      <c r="I159" s="4" t="str">
        <f ca="1">IFERROR(__xludf.DUMMYFUNCTION("IFERROR(
  TRIM(
    REGEXEXTRACT(
      SUBSTITUTE(J159,""%20"",""""),
      ""destination=-?[0-9.]+,(-?[0-9.]+)""
    )
  ),
"""")
"),"36.8210804")</f>
        <v>36.8210804</v>
      </c>
      <c r="J159" s="5" t="s">
        <v>812</v>
      </c>
    </row>
    <row r="160" spans="1:10" x14ac:dyDescent="0.2">
      <c r="A160" s="3" t="s">
        <v>813</v>
      </c>
      <c r="B160" s="3" t="s">
        <v>814</v>
      </c>
      <c r="C160" s="3" t="s">
        <v>815</v>
      </c>
      <c r="D160" s="2" t="s">
        <v>816</v>
      </c>
      <c r="E160" s="4"/>
      <c r="F160" s="4"/>
      <c r="G160" s="3">
        <f t="shared" si="1"/>
        <v>0</v>
      </c>
      <c r="H160" s="3" t="str">
        <f ca="1">IFERROR(__xludf.DUMMYFUNCTION("IFERROR(
  TRIM(
    REGEXEXTRACT(
      SUBSTITUTE(J160,""%20"",""""),
      ""destination=(-?[0-9.]+)""
    )
  ),
"""")
"),"-1.269825")</f>
        <v>-1.269825</v>
      </c>
      <c r="I160" s="4" t="str">
        <f ca="1">IFERROR(__xludf.DUMMYFUNCTION("IFERROR(
  TRIM(
    REGEXEXTRACT(
      SUBSTITUTE(J160,""%20"",""""),
      ""destination=-?[0-9.]+,(-?[0-9.]+)""
    )
  ),
"""")
"),"36.84819")</f>
        <v>36.84819</v>
      </c>
      <c r="J160" s="5" t="s">
        <v>817</v>
      </c>
    </row>
    <row r="161" spans="1:10" x14ac:dyDescent="0.2">
      <c r="A161" s="3" t="s">
        <v>818</v>
      </c>
      <c r="B161" s="3" t="s">
        <v>765</v>
      </c>
      <c r="C161" s="3" t="s">
        <v>819</v>
      </c>
      <c r="D161" s="2" t="s">
        <v>820</v>
      </c>
      <c r="E161" s="4"/>
      <c r="F161" s="4"/>
      <c r="G161" s="3">
        <f t="shared" si="1"/>
        <v>0</v>
      </c>
      <c r="H161" s="3" t="str">
        <f ca="1">IFERROR(__xludf.DUMMYFUNCTION("IFERROR(
  TRIM(
    REGEXEXTRACT(
      SUBSTITUTE(J161,""%20"",""""),
      ""destination=(-?[0-9.]+)""
    )
  ),
"""")
"),"-1.3069384")</f>
        <v>-1.3069384</v>
      </c>
      <c r="I161" s="4" t="str">
        <f ca="1">IFERROR(__xludf.DUMMYFUNCTION("IFERROR(
  TRIM(
    REGEXEXTRACT(
      SUBSTITUTE(J161,""%20"",""""),
      ""destination=-?[0-9.]+,(-?[0-9.]+)""
    )
  ),
"""")
"),"36.8022224")</f>
        <v>36.8022224</v>
      </c>
      <c r="J161" s="5" t="s">
        <v>821</v>
      </c>
    </row>
    <row r="162" spans="1:10" x14ac:dyDescent="0.2">
      <c r="A162" s="3" t="s">
        <v>822</v>
      </c>
      <c r="B162" s="3" t="s">
        <v>765</v>
      </c>
      <c r="C162" s="3" t="s">
        <v>823</v>
      </c>
      <c r="D162" s="2" t="s">
        <v>824</v>
      </c>
      <c r="E162" s="4"/>
      <c r="F162" s="4"/>
      <c r="G162" s="3">
        <f t="shared" si="1"/>
        <v>0</v>
      </c>
      <c r="H162" s="3" t="str">
        <f ca="1">IFERROR(__xludf.DUMMYFUNCTION("IFERROR(
  TRIM(
    REGEXEXTRACT(
      SUBSTITUTE(J162,""%20"",""""),
      ""destination=(-?[0-9.]+)""
    )
  ),
"""")
"),"-1.2662019")</f>
        <v>-1.2662019</v>
      </c>
      <c r="I162" s="4" t="str">
        <f ca="1">IFERROR(__xludf.DUMMYFUNCTION("IFERROR(
  TRIM(
    REGEXEXTRACT(
      SUBSTITUTE(J162,""%20"",""""),
      ""destination=-?[0-9.]+,(-?[0-9.]+)""
    )
  ),
"""")
"),"36.7486969")</f>
        <v>36.7486969</v>
      </c>
      <c r="J162" s="5" t="s">
        <v>825</v>
      </c>
    </row>
    <row r="163" spans="1:10" x14ac:dyDescent="0.2">
      <c r="A163" s="3" t="s">
        <v>826</v>
      </c>
      <c r="B163" s="3" t="s">
        <v>765</v>
      </c>
      <c r="C163" s="3" t="s">
        <v>827</v>
      </c>
      <c r="D163" s="2" t="s">
        <v>828</v>
      </c>
      <c r="E163" s="3" t="s">
        <v>829</v>
      </c>
      <c r="F163" s="3"/>
      <c r="G163" s="3">
        <f t="shared" si="1"/>
        <v>0</v>
      </c>
      <c r="H163" s="3" t="str">
        <f ca="1">IFERROR(__xludf.DUMMYFUNCTION("IFERROR(
  TRIM(
    REGEXEXTRACT(
      SUBSTITUTE(J163,""%20"",""""),
      ""destination=(-?[0-9.]+)""
    )
  ),
"""")
"),"-1.264964")</f>
        <v>-1.264964</v>
      </c>
      <c r="I163" s="4" t="str">
        <f ca="1">IFERROR(__xludf.DUMMYFUNCTION("IFERROR(
  TRIM(
    REGEXEXTRACT(
      SUBSTITUTE(J163,""%20"",""""),
      ""destination=-?[0-9.]+,(-?[0-9.]+)""
    )
  ),
"""")
"),"36.8387121")</f>
        <v>36.8387121</v>
      </c>
      <c r="J163" s="5" t="s">
        <v>830</v>
      </c>
    </row>
    <row r="164" spans="1:10" x14ac:dyDescent="0.2">
      <c r="A164" s="3" t="s">
        <v>831</v>
      </c>
      <c r="B164" s="4"/>
      <c r="C164" s="3" t="s">
        <v>832</v>
      </c>
      <c r="D164" s="2" t="s">
        <v>833</v>
      </c>
      <c r="E164" s="3" t="s">
        <v>834</v>
      </c>
      <c r="F164" s="3"/>
      <c r="G164" s="3">
        <f t="shared" si="1"/>
        <v>0</v>
      </c>
      <c r="H164" s="3" t="str">
        <f ca="1">IFERROR(__xludf.DUMMYFUNCTION("IFERROR(
  TRIM(
    REGEXEXTRACT(
      SUBSTITUTE(J164,""%20"",""""),
      ""destination=(-?[0-9.]+)""
    )
  ),
"""")
"),"-1.2871322")</f>
        <v>-1.2871322</v>
      </c>
      <c r="I164" s="4" t="str">
        <f ca="1">IFERROR(__xludf.DUMMYFUNCTION("IFERROR(
  TRIM(
    REGEXEXTRACT(
      SUBSTITUTE(J164,""%20"",""""),
      ""destination=-?[0-9.]+,(-?[0-9.]+)""
    )
  ),
"""")
"),"36.8742048")</f>
        <v>36.8742048</v>
      </c>
      <c r="J164" s="5" t="s">
        <v>835</v>
      </c>
    </row>
    <row r="165" spans="1:10" x14ac:dyDescent="0.2">
      <c r="A165" s="3" t="s">
        <v>836</v>
      </c>
      <c r="B165" s="3" t="s">
        <v>837</v>
      </c>
      <c r="C165" s="3" t="s">
        <v>838</v>
      </c>
      <c r="D165" s="2" t="s">
        <v>839</v>
      </c>
      <c r="E165" s="4"/>
      <c r="F165" s="4"/>
      <c r="G165" s="3">
        <f t="shared" si="1"/>
        <v>0</v>
      </c>
      <c r="H165" s="3" t="str">
        <f ca="1">IFERROR(__xludf.DUMMYFUNCTION("IFERROR(
  TRIM(
    REGEXEXTRACT(
      SUBSTITUTE(J165,""%20"",""""),
      ""destination=(-?[0-9.]+)""
    )
  ),
"""")
"),"-1.2759658")</f>
        <v>-1.2759658</v>
      </c>
      <c r="I165" s="4" t="str">
        <f ca="1">IFERROR(__xludf.DUMMYFUNCTION("IFERROR(
  TRIM(
    REGEXEXTRACT(
      SUBSTITUTE(J165,""%20"",""""),
      ""destination=-?[0-9.]+,(-?[0-9.]+)""
    )
  ),
"""")
"),"36.8511934")</f>
        <v>36.8511934</v>
      </c>
      <c r="J165" s="5" t="s">
        <v>840</v>
      </c>
    </row>
    <row r="166" spans="1:10" x14ac:dyDescent="0.2">
      <c r="A166" s="3" t="s">
        <v>841</v>
      </c>
      <c r="B166" s="3" t="s">
        <v>837</v>
      </c>
      <c r="C166" s="3" t="s">
        <v>842</v>
      </c>
      <c r="D166" s="2" t="s">
        <v>843</v>
      </c>
      <c r="E166" s="4"/>
      <c r="F166" s="4"/>
      <c r="G166" s="3">
        <f t="shared" si="1"/>
        <v>0</v>
      </c>
      <c r="H166" s="3" t="str">
        <f ca="1">IFERROR(__xludf.DUMMYFUNCTION("IFERROR(
  TRIM(
    REGEXEXTRACT(
      SUBSTITUTE(J166,""%20"",""""),
      ""destination=(-?[0-9.]+)""
    )
  ),
"""")
"),"-1.30729")</f>
        <v>-1.30729</v>
      </c>
      <c r="I166" s="4" t="str">
        <f ca="1">IFERROR(__xludf.DUMMYFUNCTION("IFERROR(
  TRIM(
    REGEXEXTRACT(
      SUBSTITUTE(J166,""%20"",""""),
      ""destination=-?[0-9.]+,(-?[0-9.]+)""
    )
  ),
"""")
"),"36.8037575")</f>
        <v>36.8037575</v>
      </c>
      <c r="J166" s="5" t="s">
        <v>844</v>
      </c>
    </row>
    <row r="167" spans="1:10" x14ac:dyDescent="0.2">
      <c r="A167" s="3" t="s">
        <v>845</v>
      </c>
      <c r="B167" s="3" t="s">
        <v>846</v>
      </c>
      <c r="C167" s="3" t="s">
        <v>847</v>
      </c>
      <c r="D167" s="2" t="s">
        <v>848</v>
      </c>
      <c r="E167" s="4"/>
      <c r="F167" s="4"/>
      <c r="G167" s="3">
        <f t="shared" si="1"/>
        <v>0</v>
      </c>
      <c r="H167" s="3" t="str">
        <f ca="1">IFERROR(__xludf.DUMMYFUNCTION("IFERROR(
  TRIM(
    REGEXEXTRACT(
      SUBSTITUTE(J167,""%20"",""""),
      ""destination=(-?[0-9.]+)""
    )
  ),
"""")
"),"-1.2757039")</f>
        <v>-1.2757039</v>
      </c>
      <c r="I167" s="4" t="str">
        <f ca="1">IFERROR(__xludf.DUMMYFUNCTION("IFERROR(
  TRIM(
    REGEXEXTRACT(
      SUBSTITUTE(J167,""%20"",""""),
      ""destination=-?[0-9.]+,(-?[0-9.]+)""
    )
  ),
"""")
"),"36.7892886")</f>
        <v>36.7892886</v>
      </c>
      <c r="J167" s="5" t="s">
        <v>849</v>
      </c>
    </row>
    <row r="168" spans="1:10" x14ac:dyDescent="0.2">
      <c r="A168" s="3" t="s">
        <v>850</v>
      </c>
      <c r="B168" s="3" t="s">
        <v>680</v>
      </c>
      <c r="C168" s="3" t="s">
        <v>851</v>
      </c>
      <c r="D168" s="2" t="s">
        <v>852</v>
      </c>
      <c r="E168" s="4"/>
      <c r="F168" s="4"/>
      <c r="G168" s="3">
        <f t="shared" si="1"/>
        <v>0</v>
      </c>
      <c r="H168" s="3" t="str">
        <f ca="1">IFERROR(__xludf.DUMMYFUNCTION("IFERROR(
  TRIM(
    REGEXEXTRACT(
      SUBSTITUTE(J168,""%20"",""""),
      ""destination=(-?[0-9.]+)""
    )
  ),
"""")
"),"-1.2328677")</f>
        <v>-1.2328677</v>
      </c>
      <c r="I168" s="4" t="str">
        <f ca="1">IFERROR(__xludf.DUMMYFUNCTION("IFERROR(
  TRIM(
    REGEXEXTRACT(
      SUBSTITUTE(J168,""%20"",""""),
      ""destination=-?[0-9.]+,(-?[0-9.]+)""
    )
  ),
"""")
"),"36.8124917")</f>
        <v>36.8124917</v>
      </c>
      <c r="J168" s="5" t="s">
        <v>853</v>
      </c>
    </row>
    <row r="169" spans="1:10" x14ac:dyDescent="0.2">
      <c r="A169" s="3" t="s">
        <v>854</v>
      </c>
      <c r="B169" s="3" t="s">
        <v>680</v>
      </c>
      <c r="C169" s="3" t="s">
        <v>855</v>
      </c>
      <c r="D169" s="12" t="s">
        <v>856</v>
      </c>
      <c r="E169" s="4"/>
      <c r="F169" s="4"/>
      <c r="G169" s="3">
        <f t="shared" si="1"/>
        <v>0</v>
      </c>
      <c r="H169" s="3" t="str">
        <f ca="1">IFERROR(__xludf.DUMMYFUNCTION("IFERROR(
  TRIM(
    REGEXEXTRACT(
      SUBSTITUTE(J169,""%20"",""""),
      ""destination=(-?[0-9.]+)""
    )
  ),
"""")
"),"-1.3365109")</f>
        <v>-1.3365109</v>
      </c>
      <c r="I169" s="4" t="str">
        <f ca="1">IFERROR(__xludf.DUMMYFUNCTION("IFERROR(
  TRIM(
    REGEXEXTRACT(
      SUBSTITUTE(J169,""%20"",""""),
      ""destination=-?[0-9.]+,(-?[0-9.]+)""
    )
  ),
"""")
"),"36.7225034")</f>
        <v>36.7225034</v>
      </c>
      <c r="J169" s="5" t="s">
        <v>857</v>
      </c>
    </row>
    <row r="170" spans="1:10" x14ac:dyDescent="0.2">
      <c r="A170" s="3" t="s">
        <v>858</v>
      </c>
      <c r="B170" s="3" t="s">
        <v>680</v>
      </c>
      <c r="C170" s="3" t="s">
        <v>859</v>
      </c>
      <c r="D170" s="2" t="s">
        <v>860</v>
      </c>
      <c r="E170" s="3" t="s">
        <v>861</v>
      </c>
      <c r="F170" s="3"/>
      <c r="G170" s="3">
        <f t="shared" si="1"/>
        <v>0</v>
      </c>
      <c r="H170" s="3" t="str">
        <f ca="1">IFERROR(__xludf.DUMMYFUNCTION("IFERROR(
  TRIM(
    REGEXEXTRACT(
      SUBSTITUTE(J170,""%20"",""""),
      ""destination=(-?[0-9.]+)""
    )
  ),
"""")
"),"-1.2724507")</f>
        <v>-1.2724507</v>
      </c>
      <c r="I170" s="4" t="str">
        <f ca="1">IFERROR(__xludf.DUMMYFUNCTION("IFERROR(
  TRIM(
    REGEXEXTRACT(
      SUBSTITUTE(J170,""%20"",""""),
      ""destination=-?[0-9.]+,(-?[0-9.]+)""
    )
  ),
"""")
"),"36.8504781")</f>
        <v>36.8504781</v>
      </c>
      <c r="J170" s="5" t="s">
        <v>862</v>
      </c>
    </row>
    <row r="171" spans="1:10" x14ac:dyDescent="0.2">
      <c r="A171" s="3" t="s">
        <v>863</v>
      </c>
      <c r="B171" s="3" t="s">
        <v>680</v>
      </c>
      <c r="C171" s="3" t="s">
        <v>864</v>
      </c>
      <c r="D171" s="2" t="s">
        <v>865</v>
      </c>
      <c r="E171" s="3" t="s">
        <v>866</v>
      </c>
      <c r="F171" s="3"/>
      <c r="G171" s="3">
        <f t="shared" si="1"/>
        <v>0</v>
      </c>
      <c r="H171" s="3" t="str">
        <f ca="1">IFERROR(__xludf.DUMMYFUNCTION("IFERROR(
  TRIM(
    REGEXEXTRACT(
      SUBSTITUTE(J171,""%20"",""""),
      ""destination=(-?[0-9.]+)""
    )
  ),
"""")
"),"-1.4756024")</f>
        <v>-1.4756024</v>
      </c>
      <c r="I171" s="4" t="str">
        <f ca="1">IFERROR(__xludf.DUMMYFUNCTION("IFERROR(
  TRIM(
    REGEXEXTRACT(
      SUBSTITUTE(J171,""%20"",""""),
      ""destination=-?[0-9.]+,(-?[0-9.]+)""
    )
  ),
"""")
"),"36.9605943")</f>
        <v>36.9605943</v>
      </c>
      <c r="J171" s="5" t="s">
        <v>867</v>
      </c>
    </row>
    <row r="172" spans="1:10" x14ac:dyDescent="0.2">
      <c r="A172" s="3" t="s">
        <v>868</v>
      </c>
      <c r="B172" s="3" t="s">
        <v>680</v>
      </c>
      <c r="C172" s="3" t="s">
        <v>869</v>
      </c>
      <c r="D172" s="2" t="s">
        <v>870</v>
      </c>
      <c r="E172" s="3" t="s">
        <v>871</v>
      </c>
      <c r="F172" s="3"/>
      <c r="G172" s="3">
        <f t="shared" si="1"/>
        <v>0</v>
      </c>
      <c r="H172" s="3" t="str">
        <f ca="1">IFERROR(__xludf.DUMMYFUNCTION("IFERROR(
  TRIM(
    REGEXEXTRACT(
      SUBSTITUTE(J172,""%20"",""""),
      ""destination=(-?[0-9.]+)""
    )
  ),
"""")
"),"-1.3966314")</f>
        <v>-1.3966314</v>
      </c>
      <c r="I172" s="4" t="str">
        <f ca="1">IFERROR(__xludf.DUMMYFUNCTION("IFERROR(
  TRIM(
    REGEXEXTRACT(
      SUBSTITUTE(J172,""%20"",""""),
      ""destination=-?[0-9.]+,(-?[0-9.]+)""
    )
  ),
"""")
"),"36.7479333")</f>
        <v>36.7479333</v>
      </c>
      <c r="J172" s="5" t="s">
        <v>872</v>
      </c>
    </row>
    <row r="173" spans="1:10" x14ac:dyDescent="0.2">
      <c r="A173" s="3" t="s">
        <v>873</v>
      </c>
      <c r="B173" s="3" t="s">
        <v>680</v>
      </c>
      <c r="C173" s="3" t="s">
        <v>874</v>
      </c>
      <c r="D173" s="2" t="s">
        <v>875</v>
      </c>
      <c r="E173" s="3" t="s">
        <v>876</v>
      </c>
      <c r="F173" s="3"/>
      <c r="G173" s="3">
        <f t="shared" si="1"/>
        <v>0</v>
      </c>
      <c r="H173" s="3" t="str">
        <f ca="1">IFERROR(__xludf.DUMMYFUNCTION("IFERROR(
  TRIM(
    REGEXEXTRACT(
      SUBSTITUTE(J173,""%20"",""""),
      ""destination=(-?[0-9.]+)""
    )
  ),
"""")
"),"-1.2942147")</f>
        <v>-1.2942147</v>
      </c>
      <c r="I173" s="4" t="str">
        <f ca="1">IFERROR(__xludf.DUMMYFUNCTION("IFERROR(
  TRIM(
    REGEXEXTRACT(
      SUBSTITUTE(J173,""%20"",""""),
      ""destination=-?[0-9.]+,(-?[0-9.]+)""
    )
  ),
"""")
"),"36.7817814")</f>
        <v>36.7817814</v>
      </c>
      <c r="J173" s="5" t="s">
        <v>877</v>
      </c>
    </row>
    <row r="174" spans="1:10" x14ac:dyDescent="0.2">
      <c r="A174" s="3" t="s">
        <v>878</v>
      </c>
      <c r="B174" s="4"/>
      <c r="C174" s="3" t="s">
        <v>879</v>
      </c>
      <c r="D174" s="2" t="s">
        <v>880</v>
      </c>
      <c r="E174" s="3" t="s">
        <v>881</v>
      </c>
      <c r="F174" s="3"/>
      <c r="G174" s="3">
        <f t="shared" si="1"/>
        <v>0</v>
      </c>
      <c r="H174" s="3" t="str">
        <f ca="1">IFERROR(__xludf.DUMMYFUNCTION("IFERROR(
  TRIM(
    REGEXEXTRACT(
      SUBSTITUTE(J174,""%20"",""""),
      ""destination=(-?[0-9.]+)""
    )
  ),
"""")
"),"-1.3120192")</f>
        <v>-1.3120192</v>
      </c>
      <c r="I174" s="4" t="str">
        <f ca="1">IFERROR(__xludf.DUMMYFUNCTION("IFERROR(
  TRIM(
    REGEXEXTRACT(
      SUBSTITUTE(J174,""%20"",""""),
      ""destination=-?[0-9.]+,(-?[0-9.]+)""
    )
  ),
"""")
"),"36.7745442")</f>
        <v>36.7745442</v>
      </c>
      <c r="J174" s="5" t="s">
        <v>882</v>
      </c>
    </row>
    <row r="175" spans="1:10" x14ac:dyDescent="0.2">
      <c r="A175" s="3" t="s">
        <v>883</v>
      </c>
      <c r="B175" s="4"/>
      <c r="C175" s="3" t="s">
        <v>884</v>
      </c>
      <c r="D175" s="2" t="s">
        <v>885</v>
      </c>
      <c r="E175" s="3" t="s">
        <v>886</v>
      </c>
      <c r="F175" s="3"/>
      <c r="G175" s="3">
        <f t="shared" si="1"/>
        <v>0</v>
      </c>
      <c r="H175" s="3" t="str">
        <f ca="1">IFERROR(__xludf.DUMMYFUNCTION("IFERROR(
  TRIM(
    REGEXEXTRACT(
      SUBSTITUTE(J175,""%20"",""""),
      ""destination=(-?[0-9.]+)""
    )
  ),
"""")
"),"-1.2974678")</f>
        <v>-1.2974678</v>
      </c>
      <c r="I175" s="4" t="str">
        <f ca="1">IFERROR(__xludf.DUMMYFUNCTION("IFERROR(
  TRIM(
    REGEXEXTRACT(
      SUBSTITUTE(J175,""%20"",""""),
      ""destination=-?[0-9.]+,(-?[0-9.]+)""
    )
  ),
"""")
"),"36.8586637")</f>
        <v>36.8586637</v>
      </c>
      <c r="J175" s="5" t="s">
        <v>887</v>
      </c>
    </row>
    <row r="176" spans="1:10" x14ac:dyDescent="0.2">
      <c r="A176" s="3" t="s">
        <v>888</v>
      </c>
      <c r="B176" s="4"/>
      <c r="C176" s="3" t="s">
        <v>889</v>
      </c>
      <c r="D176" s="2" t="s">
        <v>890</v>
      </c>
      <c r="E176" s="3" t="s">
        <v>891</v>
      </c>
      <c r="F176" s="3"/>
      <c r="G176" s="3">
        <f t="shared" si="1"/>
        <v>0</v>
      </c>
      <c r="H176" s="3" t="str">
        <f ca="1">IFERROR(__xludf.DUMMYFUNCTION("IFERROR(
  TRIM(
    REGEXEXTRACT(
      SUBSTITUTE(J176,""%20"",""""),
      ""destination=(-?[0-9.]+)""
    )
  ),
"""")
"),"-1.3085584")</f>
        <v>-1.3085584</v>
      </c>
      <c r="I176" s="4" t="str">
        <f ca="1">IFERROR(__xludf.DUMMYFUNCTION("IFERROR(
  TRIM(
    REGEXEXTRACT(
      SUBSTITUTE(J176,""%20"",""""),
      ""destination=-?[0-9.]+,(-?[0-9.]+)""
    )
  ),
"""")
"),"36.7779108")</f>
        <v>36.7779108</v>
      </c>
      <c r="J176" s="5" t="s">
        <v>892</v>
      </c>
    </row>
    <row r="177" spans="1:10" x14ac:dyDescent="0.2">
      <c r="A177" s="3" t="s">
        <v>893</v>
      </c>
      <c r="B177" s="4"/>
      <c r="C177" s="3" t="s">
        <v>894</v>
      </c>
      <c r="D177" s="2">
        <v>721523469</v>
      </c>
      <c r="E177" s="3" t="s">
        <v>895</v>
      </c>
      <c r="F177" s="3"/>
      <c r="G177" s="3">
        <f t="shared" si="1"/>
        <v>0</v>
      </c>
      <c r="H177" s="3" t="str">
        <f ca="1">IFERROR(__xludf.DUMMYFUNCTION("IFERROR(
  TRIM(
    REGEXEXTRACT(
      SUBSTITUTE(J177,""%20"",""""),
      ""destination=(-?[0-9.]+)""
    )
  ),
"""")
"),"-1.2487335")</f>
        <v>-1.2487335</v>
      </c>
      <c r="I177" s="4" t="str">
        <f ca="1">IFERROR(__xludf.DUMMYFUNCTION("IFERROR(
  TRIM(
    REGEXEXTRACT(
      SUBSTITUTE(J177,""%20"",""""),
      ""destination=-?[0-9.]+,(-?[0-9.]+)""
    )
  ),
"""")
"),"36.8721139")</f>
        <v>36.8721139</v>
      </c>
      <c r="J177" s="5" t="s">
        <v>896</v>
      </c>
    </row>
    <row r="178" spans="1:10" x14ac:dyDescent="0.2">
      <c r="A178" s="3" t="s">
        <v>897</v>
      </c>
      <c r="B178" s="4"/>
      <c r="C178" s="3" t="s">
        <v>898</v>
      </c>
      <c r="D178" s="2" t="s">
        <v>899</v>
      </c>
      <c r="E178" s="4"/>
      <c r="F178" s="4"/>
      <c r="G178" s="3">
        <f t="shared" si="1"/>
        <v>0</v>
      </c>
      <c r="H178" s="3" t="str">
        <f ca="1">IFERROR(__xludf.DUMMYFUNCTION("IFERROR(
  TRIM(
    REGEXEXTRACT(
      SUBSTITUTE(J178,""%20"",""""),
      ""destination=(-?[0-9.]+)""
    )
  ),
"""")
"),"-1.283033")</f>
        <v>-1.283033</v>
      </c>
      <c r="I178" s="4" t="str">
        <f ca="1">IFERROR(__xludf.DUMMYFUNCTION("IFERROR(
  TRIM(
    REGEXEXTRACT(
      SUBSTITUTE(J178,""%20"",""""),
      ""destination=-?[0-9.]+,(-?[0-9.]+)""
    )
  ),
"""")
"),"36.8207404")</f>
        <v>36.8207404</v>
      </c>
      <c r="J178" s="5" t="s">
        <v>900</v>
      </c>
    </row>
    <row r="179" spans="1:10" x14ac:dyDescent="0.2">
      <c r="A179" s="3" t="s">
        <v>901</v>
      </c>
      <c r="B179" s="3" t="s">
        <v>902</v>
      </c>
      <c r="C179" s="3" t="s">
        <v>903</v>
      </c>
      <c r="D179" s="2" t="s">
        <v>904</v>
      </c>
      <c r="E179" s="4"/>
      <c r="F179" s="4"/>
      <c r="G179" s="3">
        <f t="shared" si="1"/>
        <v>0</v>
      </c>
      <c r="H179" s="3" t="str">
        <f ca="1">IFERROR(__xludf.DUMMYFUNCTION("IFERROR(
  TRIM(
    REGEXEXTRACT(
      SUBSTITUTE(J179,""%20"",""""),
      ""destination=(-?[0-9.]+)""
    )
  ),
"""")
"),"-1.3120495")</f>
        <v>-1.3120495</v>
      </c>
      <c r="I179" s="4" t="str">
        <f ca="1">IFERROR(__xludf.DUMMYFUNCTION("IFERROR(
  TRIM(
    REGEXEXTRACT(
      SUBSTITUTE(J179,""%20"",""""),
      ""destination=-?[0-9.]+,(-?[0-9.]+)""
    )
  ),
"""")
"),"36.837615")</f>
        <v>36.837615</v>
      </c>
      <c r="J179" s="5" t="s">
        <v>905</v>
      </c>
    </row>
    <row r="180" spans="1:10" x14ac:dyDescent="0.2">
      <c r="A180" s="3" t="s">
        <v>906</v>
      </c>
      <c r="B180" s="3" t="s">
        <v>902</v>
      </c>
      <c r="C180" s="3" t="s">
        <v>907</v>
      </c>
      <c r="D180" s="2" t="s">
        <v>908</v>
      </c>
      <c r="E180" s="4"/>
      <c r="F180" s="4"/>
      <c r="G180" s="3">
        <f t="shared" si="1"/>
        <v>0</v>
      </c>
      <c r="H180" s="3" t="str">
        <f ca="1">IFERROR(__xludf.DUMMYFUNCTION("IFERROR(
  TRIM(
    REGEXEXTRACT(
      SUBSTITUTE(J180,""%20"",""""),
      ""destination=(-?[0-9.]+)""
    )
  ),
"""")
"),"-1.2809462")</f>
        <v>-1.2809462</v>
      </c>
      <c r="I180" s="4" t="str">
        <f ca="1">IFERROR(__xludf.DUMMYFUNCTION("IFERROR(
  TRIM(
    REGEXEXTRACT(
      SUBSTITUTE(J180,""%20"",""""),
      ""destination=-?[0-9.]+,(-?[0-9.]+)""
    )
  ),
"""")
"),"36.7366141")</f>
        <v>36.7366141</v>
      </c>
      <c r="J180" s="5" t="s">
        <v>909</v>
      </c>
    </row>
    <row r="181" spans="1:10" x14ac:dyDescent="0.2">
      <c r="A181" s="3" t="s">
        <v>910</v>
      </c>
      <c r="B181" s="3" t="s">
        <v>911</v>
      </c>
      <c r="C181" s="3" t="s">
        <v>912</v>
      </c>
      <c r="D181" s="2" t="s">
        <v>913</v>
      </c>
      <c r="E181" s="4"/>
      <c r="F181" s="4"/>
      <c r="G181" s="3">
        <f t="shared" si="1"/>
        <v>0</v>
      </c>
      <c r="H181" s="3" t="str">
        <f ca="1">IFERROR(__xludf.DUMMYFUNCTION("IFERROR(
  TRIM(
    REGEXEXTRACT(
      SUBSTITUTE(J181,""%20"",""""),
      ""destination=(-?[0-9.]+)""
    )
  ),
"""")
"),"-1.293801")</f>
        <v>-1.293801</v>
      </c>
      <c r="I181" s="4" t="str">
        <f ca="1">IFERROR(__xludf.DUMMYFUNCTION("IFERROR(
  TRIM(
    REGEXEXTRACT(
      SUBSTITUTE(J181,""%20"",""""),
      ""destination=-?[0-9.]+,(-?[0-9.]+)""
    )
  ),
"""")
"),"36.795243")</f>
        <v>36.795243</v>
      </c>
      <c r="J181" s="5" t="s">
        <v>914</v>
      </c>
    </row>
    <row r="182" spans="1:10" x14ac:dyDescent="0.2">
      <c r="A182" s="3" t="s">
        <v>915</v>
      </c>
      <c r="B182" s="3" t="s">
        <v>916</v>
      </c>
      <c r="C182" s="3" t="s">
        <v>917</v>
      </c>
      <c r="D182" s="2" t="s">
        <v>918</v>
      </c>
      <c r="E182" s="4"/>
      <c r="F182" s="4"/>
      <c r="G182" s="3">
        <f t="shared" si="1"/>
        <v>0</v>
      </c>
      <c r="H182" s="3" t="str">
        <f ca="1">IFERROR(__xludf.DUMMYFUNCTION("IFERROR(
  TRIM(
    REGEXEXTRACT(
      SUBSTITUTE(J182,""%20"",""""),
      ""destination=(-?[0-9.]+)""
    )
  ),
"""")
"),"-1.2958564")</f>
        <v>-1.2958564</v>
      </c>
      <c r="I182" s="4" t="str">
        <f ca="1">IFERROR(__xludf.DUMMYFUNCTION("IFERROR(
  TRIM(
    REGEXEXTRACT(
      SUBSTITUTE(J182,""%20"",""""),
      ""destination=-?[0-9.]+,(-?[0-9.]+)""
    )
  ),
"""")
"),"36.7840181")</f>
        <v>36.7840181</v>
      </c>
      <c r="J182" s="5" t="s">
        <v>919</v>
      </c>
    </row>
    <row r="183" spans="1:10" x14ac:dyDescent="0.2">
      <c r="A183" s="3" t="s">
        <v>920</v>
      </c>
      <c r="B183" s="3" t="s">
        <v>921</v>
      </c>
      <c r="C183" s="3" t="s">
        <v>922</v>
      </c>
      <c r="D183" s="2" t="s">
        <v>923</v>
      </c>
      <c r="E183" s="4"/>
      <c r="F183" s="4"/>
      <c r="G183" s="3">
        <f t="shared" si="1"/>
        <v>0</v>
      </c>
      <c r="H183" s="3" t="str">
        <f ca="1">IFERROR(__xludf.DUMMYFUNCTION("IFERROR(
  TRIM(
    REGEXEXTRACT(
      SUBSTITUTE(J183,""%20"",""""),
      ""destination=(-?[0-9.]+)""
    )
  ),
"""")
"),"-1.2232487")</f>
        <v>-1.2232487</v>
      </c>
      <c r="I183" s="4" t="str">
        <f ca="1">IFERROR(__xludf.DUMMYFUNCTION("IFERROR(
  TRIM(
    REGEXEXTRACT(
      SUBSTITUTE(J183,""%20"",""""),
      ""destination=-?[0-9.]+,(-?[0-9.]+)""
    )
  ),
"""")
"),"36.8993273")</f>
        <v>36.8993273</v>
      </c>
      <c r="J183" s="5" t="s">
        <v>924</v>
      </c>
    </row>
    <row r="184" spans="1:10" x14ac:dyDescent="0.2">
      <c r="A184" s="3" t="s">
        <v>925</v>
      </c>
      <c r="B184" s="3" t="s">
        <v>926</v>
      </c>
      <c r="C184" s="3" t="s">
        <v>927</v>
      </c>
      <c r="D184" s="2" t="s">
        <v>928</v>
      </c>
      <c r="E184" s="3" t="s">
        <v>929</v>
      </c>
      <c r="F184" s="3"/>
      <c r="G184" s="3">
        <f t="shared" si="1"/>
        <v>0</v>
      </c>
      <c r="H184" s="3" t="str">
        <f ca="1">IFERROR(__xludf.DUMMYFUNCTION("IFERROR(
  TRIM(
    REGEXEXTRACT(
      SUBSTITUTE(J184,""%20"",""""),
      ""destination=(-?[0-9.]+)""
    )
  ),
"""")
"),"-1.2982973")</f>
        <v>-1.2982973</v>
      </c>
      <c r="I184" s="4" t="str">
        <f ca="1">IFERROR(__xludf.DUMMYFUNCTION("IFERROR(
  TRIM(
    REGEXEXTRACT(
      SUBSTITUTE(J184,""%20"",""""),
      ""destination=-?[0-9.]+,(-?[0-9.]+)""
    )
  ),
"""")
"),"36.8131312")</f>
        <v>36.8131312</v>
      </c>
      <c r="J184" s="5" t="s">
        <v>930</v>
      </c>
    </row>
    <row r="185" spans="1:10" x14ac:dyDescent="0.2">
      <c r="A185" s="3" t="s">
        <v>931</v>
      </c>
      <c r="B185" s="3" t="s">
        <v>932</v>
      </c>
      <c r="C185" s="3" t="s">
        <v>933</v>
      </c>
      <c r="D185" s="2" t="s">
        <v>934</v>
      </c>
      <c r="E185" s="4"/>
      <c r="F185" s="4"/>
      <c r="G185" s="3">
        <f t="shared" si="1"/>
        <v>0</v>
      </c>
      <c r="H185" s="3" t="str">
        <f ca="1">IFERROR(__xludf.DUMMYFUNCTION("IFERROR(
  TRIM(
    REGEXEXTRACT(
      SUBSTITUTE(J185,""%20"",""""),
      ""destination=(-?[0-9.]+)""
    )
  ),
"""")
"),"-1.2857399")</f>
        <v>-1.2857399</v>
      </c>
      <c r="I185" s="4" t="str">
        <f ca="1">IFERROR(__xludf.DUMMYFUNCTION("IFERROR(
  TRIM(
    REGEXEXTRACT(
      SUBSTITUTE(J185,""%20"",""""),
      ""destination=-?[0-9.]+,(-?[0-9.]+)""
    )
  ),
"""")
"),"36.8235975")</f>
        <v>36.8235975</v>
      </c>
      <c r="J185" s="5" t="s">
        <v>935</v>
      </c>
    </row>
    <row r="186" spans="1:10" x14ac:dyDescent="0.2">
      <c r="A186" s="3" t="s">
        <v>936</v>
      </c>
      <c r="B186" s="3" t="s">
        <v>921</v>
      </c>
      <c r="C186" s="3" t="s">
        <v>937</v>
      </c>
      <c r="D186" s="2" t="s">
        <v>938</v>
      </c>
      <c r="E186" s="4"/>
      <c r="F186" s="4"/>
      <c r="G186" s="3">
        <f t="shared" si="1"/>
        <v>0</v>
      </c>
      <c r="H186" s="3" t="str">
        <f ca="1">IFERROR(__xludf.DUMMYFUNCTION("IFERROR(
  TRIM(
    REGEXEXTRACT(
      SUBSTITUTE(J186,""%20"",""""),
      ""destination=(-?[0-9.]+)""
    )
  ),
"""")
"),"-1.2947825")</f>
        <v>-1.2947825</v>
      </c>
      <c r="I186" s="4" t="str">
        <f ca="1">IFERROR(__xludf.DUMMYFUNCTION("IFERROR(
  TRIM(
    REGEXEXTRACT(
      SUBSTITUTE(J186,""%20"",""""),
      ""destination=-?[0-9.]+,(-?[0-9.]+)""
    )
  ),
"""")
"),"36.8106501")</f>
        <v>36.8106501</v>
      </c>
      <c r="J186" s="5" t="s">
        <v>939</v>
      </c>
    </row>
    <row r="187" spans="1:10" x14ac:dyDescent="0.2">
      <c r="A187" s="3" t="s">
        <v>940</v>
      </c>
      <c r="B187" s="4"/>
      <c r="C187" s="3" t="s">
        <v>941</v>
      </c>
      <c r="D187" s="2" t="s">
        <v>942</v>
      </c>
      <c r="E187" s="3" t="s">
        <v>943</v>
      </c>
      <c r="F187" s="3"/>
      <c r="G187" s="3">
        <f t="shared" si="1"/>
        <v>0</v>
      </c>
      <c r="H187" s="3" t="str">
        <f ca="1">IFERROR(__xludf.DUMMYFUNCTION("IFERROR(
  TRIM(
    REGEXEXTRACT(
      SUBSTITUTE(J187,""%20"",""""),
      ""destination=(-?[0-9.]+)""
    )
  ),
"""")
"),"-1.2946419")</f>
        <v>-1.2946419</v>
      </c>
      <c r="I187" s="4" t="str">
        <f ca="1">IFERROR(__xludf.DUMMYFUNCTION("IFERROR(
  TRIM(
    REGEXEXTRACT(
      SUBSTITUTE(J187,""%20"",""""),
      ""destination=-?[0-9.]+,(-?[0-9.]+)""
    )
  ),
"""")
"),"36.8062612")</f>
        <v>36.8062612</v>
      </c>
      <c r="J187" s="5" t="s">
        <v>944</v>
      </c>
    </row>
    <row r="188" spans="1:10" x14ac:dyDescent="0.2">
      <c r="A188" s="3" t="s">
        <v>940</v>
      </c>
      <c r="B188" s="3" t="s">
        <v>945</v>
      </c>
      <c r="C188" s="3" t="s">
        <v>946</v>
      </c>
      <c r="D188" s="2"/>
      <c r="E188" s="4"/>
      <c r="F188" s="4"/>
      <c r="G188" s="3">
        <f t="shared" si="1"/>
        <v>0</v>
      </c>
      <c r="H188" s="3" t="str">
        <f ca="1">IFERROR(__xludf.DUMMYFUNCTION("IFERROR(
  TRIM(
    REGEXEXTRACT(
      SUBSTITUTE(J188,""%20"",""""),
      ""destination=(-?[0-9.]+)""
    )
  ),
"""")
"),"-1.2866945")</f>
        <v>-1.2866945</v>
      </c>
      <c r="I188" s="4" t="str">
        <f ca="1">IFERROR(__xludf.DUMMYFUNCTION("IFERROR(
  TRIM(
    REGEXEXTRACT(
      SUBSTITUTE(J188,""%20"",""""),
      ""destination=-?[0-9.]+,(-?[0-9.]+)""
    )
  ),
"""")
"),"36.816937")</f>
        <v>36.816937</v>
      </c>
      <c r="J188" s="5" t="s">
        <v>947</v>
      </c>
    </row>
    <row r="189" spans="1:10" x14ac:dyDescent="0.2">
      <c r="A189" s="3" t="s">
        <v>948</v>
      </c>
      <c r="B189" s="4"/>
      <c r="C189" s="3" t="s">
        <v>949</v>
      </c>
      <c r="D189" s="2" t="s">
        <v>950</v>
      </c>
      <c r="E189" s="4"/>
      <c r="F189" s="4"/>
      <c r="G189" s="3">
        <f t="shared" si="1"/>
        <v>0</v>
      </c>
      <c r="H189" s="3" t="str">
        <f ca="1">IFERROR(__xludf.DUMMYFUNCTION("IFERROR(
  TRIM(
    REGEXEXTRACT(
      SUBSTITUTE(J189,""%20"",""""),
      ""destination=(-?[0-9.]+)""
    )
  ),
"""")
"),"-1.426769")</f>
        <v>-1.426769</v>
      </c>
      <c r="I189" s="4" t="str">
        <f ca="1">IFERROR(__xludf.DUMMYFUNCTION("IFERROR(
  TRIM(
    REGEXEXTRACT(
      SUBSTITUTE(J189,""%20"",""""),
      ""destination=-?[0-9.]+,(-?[0-9.]+)""
    )
  ),
"""")
"),"36.691238")</f>
        <v>36.691238</v>
      </c>
      <c r="J189" s="5" t="s">
        <v>951</v>
      </c>
    </row>
    <row r="190" spans="1:10" x14ac:dyDescent="0.2">
      <c r="A190" s="3" t="s">
        <v>952</v>
      </c>
      <c r="B190" s="4"/>
      <c r="C190" s="3" t="s">
        <v>864</v>
      </c>
      <c r="D190" s="2" t="s">
        <v>953</v>
      </c>
      <c r="E190" s="4"/>
      <c r="F190" s="4"/>
      <c r="G190" s="3">
        <f t="shared" si="1"/>
        <v>0</v>
      </c>
      <c r="H190" s="3" t="str">
        <f ca="1">IFERROR(__xludf.DUMMYFUNCTION("IFERROR(
  TRIM(
    REGEXEXTRACT(
      SUBSTITUTE(J190,""%20"",""""),
      ""destination=(-?[0-9.]+)""
    )
  ),
"""")
"),"-1.4756024")</f>
        <v>-1.4756024</v>
      </c>
      <c r="I190" s="4" t="str">
        <f ca="1">IFERROR(__xludf.DUMMYFUNCTION("IFERROR(
  TRIM(
    REGEXEXTRACT(
      SUBSTITUTE(J190,""%20"",""""),
      ""destination=-?[0-9.]+,(-?[0-9.]+)""
    )
  ),
"""")
"),"36.9605943")</f>
        <v>36.9605943</v>
      </c>
      <c r="J190" s="5" t="s">
        <v>867</v>
      </c>
    </row>
    <row r="191" spans="1:10" x14ac:dyDescent="0.2">
      <c r="A191" s="3" t="s">
        <v>954</v>
      </c>
      <c r="B191" s="4"/>
      <c r="C191" s="3" t="s">
        <v>955</v>
      </c>
      <c r="D191" s="2" t="s">
        <v>956</v>
      </c>
      <c r="E191" s="4"/>
      <c r="F191" s="4"/>
      <c r="G191" s="3">
        <f t="shared" si="1"/>
        <v>0</v>
      </c>
      <c r="H191" s="3" t="str">
        <f ca="1">IFERROR(__xludf.DUMMYFUNCTION("IFERROR(
  TRIM(
    REGEXEXTRACT(
      SUBSTITUTE(J191,""%20"",""""),
      ""destination=(-?[0-9.]+)""
    )
  ),
"""")
"),"-1.3173483")</f>
        <v>-1.3173483</v>
      </c>
      <c r="I191" s="4" t="str">
        <f ca="1">IFERROR(__xludf.DUMMYFUNCTION("IFERROR(
  TRIM(
    REGEXEXTRACT(
      SUBSTITUTE(J191,""%20"",""""),
      ""destination=-?[0-9.]+,(-?[0-9.]+)""
    )
  ),
"""")
"),"36.8124862")</f>
        <v>36.8124862</v>
      </c>
      <c r="J191" s="5" t="s">
        <v>957</v>
      </c>
    </row>
    <row r="192" spans="1:10" x14ac:dyDescent="0.2">
      <c r="A192" s="3" t="s">
        <v>958</v>
      </c>
      <c r="B192" s="3" t="s">
        <v>959</v>
      </c>
      <c r="C192" s="3" t="s">
        <v>960</v>
      </c>
      <c r="D192" s="2" t="s">
        <v>961</v>
      </c>
      <c r="E192" s="4"/>
      <c r="F192" s="4"/>
      <c r="G192" s="3">
        <f t="shared" si="1"/>
        <v>0</v>
      </c>
      <c r="H192" s="3" t="str">
        <f ca="1">IFERROR(__xludf.DUMMYFUNCTION("IFERROR(
  TRIM(
    REGEXEXTRACT(
      SUBSTITUTE(J192,""%20"",""""),
      ""destination=(-?[0-9.]+)""
    )
  ),
"""")
"),"-1.2902235")</f>
        <v>-1.2902235</v>
      </c>
      <c r="I192" s="4" t="str">
        <f ca="1">IFERROR(__xludf.DUMMYFUNCTION("IFERROR(
  TRIM(
    REGEXEXTRACT(
      SUBSTITUTE(J192,""%20"",""""),
      ""destination=-?[0-9.]+,(-?[0-9.]+)""
    )
  ),
"""")
"),"36.8823437")</f>
        <v>36.8823437</v>
      </c>
      <c r="J192" s="5" t="s">
        <v>962</v>
      </c>
    </row>
    <row r="193" spans="1:10" x14ac:dyDescent="0.2">
      <c r="A193" s="3" t="s">
        <v>963</v>
      </c>
      <c r="C193" s="3" t="s">
        <v>964</v>
      </c>
      <c r="D193" s="12" t="s">
        <v>965</v>
      </c>
      <c r="E193" s="4"/>
      <c r="F193" s="4"/>
      <c r="G193" s="3">
        <f t="shared" si="1"/>
        <v>0</v>
      </c>
      <c r="H193" s="3" t="str">
        <f ca="1">IFERROR(__xludf.DUMMYFUNCTION("IFERROR(
  TRIM(
    REGEXEXTRACT(
      SUBSTITUTE(J193,""%20"",""""),
      ""destination=(-?[0-9.]+)""
    )
  ),
"""")
"),"-1.0406156")</f>
        <v>-1.0406156</v>
      </c>
      <c r="I193" s="4" t="str">
        <f ca="1">IFERROR(__xludf.DUMMYFUNCTION("IFERROR(
  TRIM(
    REGEXEXTRACT(
      SUBSTITUTE(J193,""%20"",""""),
      ""destination=-?[0-9.]+,(-?[0-9.]+)""
    )
  ),
"""")
"),"37.0716545")</f>
        <v>37.0716545</v>
      </c>
      <c r="J193" s="5" t="s">
        <v>966</v>
      </c>
    </row>
    <row r="194" spans="1:10" x14ac:dyDescent="0.2">
      <c r="A194" s="3" t="s">
        <v>967</v>
      </c>
      <c r="B194" s="4"/>
      <c r="C194" s="3" t="s">
        <v>968</v>
      </c>
      <c r="D194" s="2" t="s">
        <v>969</v>
      </c>
      <c r="E194" s="4"/>
      <c r="F194" s="4"/>
      <c r="G194" s="3">
        <f t="shared" si="1"/>
        <v>0</v>
      </c>
      <c r="H194" s="3" t="str">
        <f ca="1">IFERROR(__xludf.DUMMYFUNCTION("IFERROR(
  TRIM(
    REGEXEXTRACT(
      SUBSTITUTE(J194,""%20"",""""),
      ""destination=(-?[0-9.]+)""
    )
  ),
"""")
"),"-1.2800689")</f>
        <v>-1.2800689</v>
      </c>
      <c r="I194" s="4" t="str">
        <f ca="1">IFERROR(__xludf.DUMMYFUNCTION("IFERROR(
  TRIM(
    REGEXEXTRACT(
      SUBSTITUTE(J194,""%20"",""""),
      ""destination=-?[0-9.]+,(-?[0-9.]+)""
    )
  ),
"""")
"),"36.8444151")</f>
        <v>36.8444151</v>
      </c>
      <c r="J194" s="5" t="s">
        <v>970</v>
      </c>
    </row>
    <row r="195" spans="1:10" x14ac:dyDescent="0.2">
      <c r="A195" s="3" t="s">
        <v>971</v>
      </c>
      <c r="B195" s="4"/>
      <c r="C195" s="3" t="s">
        <v>972</v>
      </c>
      <c r="D195" s="2" t="s">
        <v>973</v>
      </c>
      <c r="E195" s="4"/>
      <c r="F195" s="4"/>
      <c r="G195" s="3">
        <f t="shared" si="1"/>
        <v>0</v>
      </c>
      <c r="H195" s="3" t="str">
        <f ca="1">IFERROR(__xludf.DUMMYFUNCTION("IFERROR(
  TRIM(
    REGEXEXTRACT(
      SUBSTITUTE(J195,""%20"",""""),
      ""destination=(-?[0-9.]+)""
    )
  ),
"""")
"),"-1.2852219")</f>
        <v>-1.2852219</v>
      </c>
      <c r="I195" s="4" t="str">
        <f ca="1">IFERROR(__xludf.DUMMYFUNCTION("IFERROR(
  TRIM(
    REGEXEXTRACT(
      SUBSTITUTE(J195,""%20"",""""),
      ""destination=-?[0-9.]+,(-?[0-9.]+)""
    )
  ),
"""")
"),"36.8220084")</f>
        <v>36.8220084</v>
      </c>
      <c r="J195" s="5" t="s">
        <v>974</v>
      </c>
    </row>
    <row r="196" spans="1:10" x14ac:dyDescent="0.2">
      <c r="A196" s="3" t="s">
        <v>975</v>
      </c>
      <c r="B196" s="3" t="s">
        <v>976</v>
      </c>
      <c r="C196" s="3" t="s">
        <v>977</v>
      </c>
      <c r="D196" s="2" t="s">
        <v>978</v>
      </c>
      <c r="E196" s="4"/>
      <c r="F196" s="4"/>
      <c r="G196" s="3">
        <f t="shared" si="1"/>
        <v>0</v>
      </c>
      <c r="H196" s="3" t="str">
        <f ca="1">IFERROR(__xludf.DUMMYFUNCTION("IFERROR(
  TRIM(
    REGEXEXTRACT(
      SUBSTITUTE(J196,""%20"",""""),
      ""destination=(-?[0-9.]+)""
    )
  ),
"""")
"),"-1.301341")</f>
        <v>-1.301341</v>
      </c>
      <c r="I196" s="4" t="str">
        <f ca="1">IFERROR(__xludf.DUMMYFUNCTION("IFERROR(
  TRIM(
    REGEXEXTRACT(
      SUBSTITUTE(J196,""%20"",""""),
      ""destination=-?[0-9.]+,(-?[0-9.]+)""
    )
  ),
"""")
"),"36.888382")</f>
        <v>36.888382</v>
      </c>
      <c r="J196" s="5" t="s">
        <v>979</v>
      </c>
    </row>
    <row r="197" spans="1:10" x14ac:dyDescent="0.2">
      <c r="A197" s="3" t="s">
        <v>980</v>
      </c>
      <c r="B197" s="3" t="s">
        <v>976</v>
      </c>
      <c r="C197" s="3" t="s">
        <v>912</v>
      </c>
      <c r="D197" s="2">
        <v>202655362</v>
      </c>
      <c r="E197" s="4"/>
      <c r="F197" s="4"/>
      <c r="G197" s="3">
        <f t="shared" si="1"/>
        <v>0</v>
      </c>
      <c r="H197" s="3" t="str">
        <f ca="1">IFERROR(__xludf.DUMMYFUNCTION("IFERROR(
  TRIM(
    REGEXEXTRACT(
      SUBSTITUTE(J197,""%20"",""""),
      ""destination=(-?[0-9.]+)""
    )
  ),
"""")
"),"-1.293801")</f>
        <v>-1.293801</v>
      </c>
      <c r="I197" s="4" t="str">
        <f ca="1">IFERROR(__xludf.DUMMYFUNCTION("IFERROR(
  TRIM(
    REGEXEXTRACT(
      SUBSTITUTE(J197,""%20"",""""),
      ""destination=-?[0-9.]+,(-?[0-9.]+)""
    )
  ),
"""")
"),"36.795243")</f>
        <v>36.795243</v>
      </c>
      <c r="J197" s="5" t="s">
        <v>914</v>
      </c>
    </row>
    <row r="198" spans="1:10" x14ac:dyDescent="0.2">
      <c r="A198" s="3" t="s">
        <v>981</v>
      </c>
      <c r="B198" s="3" t="s">
        <v>976</v>
      </c>
      <c r="C198" s="3" t="s">
        <v>964</v>
      </c>
      <c r="D198" s="2" t="s">
        <v>982</v>
      </c>
      <c r="E198" s="4"/>
      <c r="F198" s="4"/>
      <c r="G198" s="3">
        <f t="shared" si="1"/>
        <v>0</v>
      </c>
      <c r="H198" s="3" t="str">
        <f ca="1">IFERROR(__xludf.DUMMYFUNCTION("IFERROR(
  TRIM(
    REGEXEXTRACT(
      SUBSTITUTE(J198,""%20"",""""),
      ""destination=(-?[0-9.]+)""
    )
  ),
"""")
"),"-1.0406156")</f>
        <v>-1.0406156</v>
      </c>
      <c r="I198" s="4" t="str">
        <f ca="1">IFERROR(__xludf.DUMMYFUNCTION("IFERROR(
  TRIM(
    REGEXEXTRACT(
      SUBSTITUTE(J198,""%20"",""""),
      ""destination=-?[0-9.]+,(-?[0-9.]+)""
    )
  ),
"""")
"),"37.0716545")</f>
        <v>37.0716545</v>
      </c>
      <c r="J198" s="5" t="s">
        <v>966</v>
      </c>
    </row>
    <row r="199" spans="1:10" x14ac:dyDescent="0.2">
      <c r="A199" s="3" t="s">
        <v>983</v>
      </c>
      <c r="B199" s="4"/>
      <c r="C199" s="3" t="s">
        <v>984</v>
      </c>
      <c r="D199" s="2" t="s">
        <v>985</v>
      </c>
      <c r="E199" s="3" t="s">
        <v>986</v>
      </c>
      <c r="F199" s="3"/>
      <c r="G199" s="3">
        <f t="shared" si="1"/>
        <v>0</v>
      </c>
      <c r="H199" s="3" t="str">
        <f ca="1">IFERROR(__xludf.DUMMYFUNCTION("IFERROR(
  TRIM(
    REGEXEXTRACT(
      SUBSTITUTE(J199,""%20"",""""),
      ""destination=(-?[0-9.]+)""
    )
  ),
"""")
"),"-1.3156087")</f>
        <v>-1.3156087</v>
      </c>
      <c r="I199" s="4" t="str">
        <f ca="1">IFERROR(__xludf.DUMMYFUNCTION("IFERROR(
  TRIM(
    REGEXEXTRACT(
      SUBSTITUTE(J199,""%20"",""""),
      ""destination=-?[0-9.]+,(-?[0-9.]+)""
    )
  ),
"""")
"),"36.7920489")</f>
        <v>36.7920489</v>
      </c>
      <c r="J199" s="5" t="s">
        <v>987</v>
      </c>
    </row>
    <row r="200" spans="1:10" x14ac:dyDescent="0.2">
      <c r="A200" s="3" t="s">
        <v>732</v>
      </c>
      <c r="B200" s="4"/>
      <c r="C200" s="3" t="s">
        <v>988</v>
      </c>
      <c r="D200" s="2" t="s">
        <v>989</v>
      </c>
      <c r="E200" s="3" t="s">
        <v>990</v>
      </c>
      <c r="F200" s="3"/>
      <c r="G200" s="3">
        <f t="shared" si="1"/>
        <v>0</v>
      </c>
      <c r="H200" s="3" t="str">
        <f ca="1">IFERROR(__xludf.DUMMYFUNCTION("IFERROR(
  TRIM(
    REGEXEXTRACT(
      SUBSTITUTE(J200,""%20"",""""),
      ""destination=(-?[0-9.]+)""
    )
  ),
"""")
"),"-1.2841889")</f>
        <v>-1.2841889</v>
      </c>
      <c r="I200" s="4" t="str">
        <f ca="1">IFERROR(__xludf.DUMMYFUNCTION("IFERROR(
  TRIM(
    REGEXEXTRACT(
      SUBSTITUTE(J200,""%20"",""""),
      ""destination=-?[0-9.]+,(-?[0-9.]+)""
    )
  ),
"""")
"),"36.8278135")</f>
        <v>36.8278135</v>
      </c>
      <c r="J200" s="5" t="s">
        <v>991</v>
      </c>
    </row>
    <row r="201" spans="1:10" x14ac:dyDescent="0.2">
      <c r="A201" s="3" t="s">
        <v>732</v>
      </c>
      <c r="B201" s="4"/>
      <c r="C201" s="3" t="s">
        <v>946</v>
      </c>
      <c r="D201" s="2" t="s">
        <v>992</v>
      </c>
      <c r="E201" s="3" t="s">
        <v>990</v>
      </c>
      <c r="F201" s="3"/>
      <c r="G201" s="3">
        <f t="shared" si="1"/>
        <v>0</v>
      </c>
      <c r="H201" s="3" t="str">
        <f ca="1">IFERROR(__xludf.DUMMYFUNCTION("IFERROR(
  TRIM(
    REGEXEXTRACT(
      SUBSTITUTE(J201,""%20"",""""),
      ""destination=(-?[0-9.]+)""
    )
  ),
"""")
"),"-1.2866945")</f>
        <v>-1.2866945</v>
      </c>
      <c r="I201" s="4" t="str">
        <f ca="1">IFERROR(__xludf.DUMMYFUNCTION("IFERROR(
  TRIM(
    REGEXEXTRACT(
      SUBSTITUTE(J201,""%20"",""""),
      ""destination=-?[0-9.]+,(-?[0-9.]+)""
    )
  ),
"""")
"),"36.816937")</f>
        <v>36.816937</v>
      </c>
      <c r="J201" s="5" t="s">
        <v>947</v>
      </c>
    </row>
    <row r="202" spans="1:10" x14ac:dyDescent="0.2">
      <c r="A202" s="3" t="s">
        <v>993</v>
      </c>
      <c r="B202" s="3" t="s">
        <v>994</v>
      </c>
      <c r="C202" s="3" t="s">
        <v>995</v>
      </c>
      <c r="D202" s="12" t="s">
        <v>996</v>
      </c>
      <c r="E202" s="3" t="s">
        <v>990</v>
      </c>
      <c r="F202" s="3"/>
      <c r="G202" s="3">
        <f t="shared" si="1"/>
        <v>0</v>
      </c>
      <c r="H202" s="3" t="str">
        <f ca="1">IFERROR(__xludf.DUMMYFUNCTION("IFERROR(
  TRIM(
    REGEXEXTRACT(
      SUBSTITUTE(J202,""%20"",""""),
      ""destination=(-?[0-9.]+)""
    )
  ),
"""")
"),"-1.3362692")</f>
        <v>-1.3362692</v>
      </c>
      <c r="I202" s="4" t="str">
        <f ca="1">IFERROR(__xludf.DUMMYFUNCTION("IFERROR(
  TRIM(
    REGEXEXTRACT(
      SUBSTITUTE(J202,""%20"",""""),
      ""destination=-?[0-9.]+,(-?[0-9.]+)""
    )
  ),
"""")
"),"36.7757822")</f>
        <v>36.7757822</v>
      </c>
      <c r="J202" s="5" t="s">
        <v>997</v>
      </c>
    </row>
    <row r="203" spans="1:10" x14ac:dyDescent="0.2">
      <c r="A203" s="3" t="s">
        <v>998</v>
      </c>
      <c r="B203" s="3" t="s">
        <v>999</v>
      </c>
      <c r="C203" s="3" t="s">
        <v>1000</v>
      </c>
      <c r="D203" s="2" t="s">
        <v>1001</v>
      </c>
      <c r="E203" s="3" t="s">
        <v>1002</v>
      </c>
      <c r="F203" s="3"/>
      <c r="G203" s="3">
        <f t="shared" si="1"/>
        <v>0</v>
      </c>
      <c r="H203" s="3" t="str">
        <f ca="1">IFERROR(__xludf.DUMMYFUNCTION("IFERROR(
  TRIM(
    REGEXEXTRACT(
      SUBSTITUTE(J203,""%20"",""""),
      ""destination=(-?[0-9.]+)""
    )
  ),
"""")
"),"-1.2632128")</f>
        <v>-1.2632128</v>
      </c>
      <c r="I203" s="4" t="str">
        <f ca="1">IFERROR(__xludf.DUMMYFUNCTION("IFERROR(
  TRIM(
    REGEXEXTRACT(
      SUBSTITUTE(J203,""%20"",""""),
      ""destination=-?[0-9.]+,(-?[0-9.]+)""
    )
  ),
"""")
"),"36.8118625")</f>
        <v>36.8118625</v>
      </c>
      <c r="J203" s="5" t="s">
        <v>1003</v>
      </c>
    </row>
    <row r="204" spans="1:10" x14ac:dyDescent="0.2">
      <c r="A204" s="3" t="s">
        <v>1004</v>
      </c>
      <c r="B204" s="4"/>
      <c r="C204" s="3" t="s">
        <v>912</v>
      </c>
      <c r="D204" s="2" t="s">
        <v>1005</v>
      </c>
      <c r="E204" s="3" t="s">
        <v>1006</v>
      </c>
      <c r="F204" s="3"/>
      <c r="G204" s="3">
        <f t="shared" si="1"/>
        <v>0</v>
      </c>
      <c r="H204" s="3" t="str">
        <f ca="1">IFERROR(__xludf.DUMMYFUNCTION("IFERROR(
  TRIM(
    REGEXEXTRACT(
      SUBSTITUTE(J204,""%20"",""""),
      ""destination=(-?[0-9.]+)""
    )
  ),
"""")
"),"-1.293801")</f>
        <v>-1.293801</v>
      </c>
      <c r="I204" s="4" t="str">
        <f ca="1">IFERROR(__xludf.DUMMYFUNCTION("IFERROR(
  TRIM(
    REGEXEXTRACT(
      SUBSTITUTE(J204,""%20"",""""),
      ""destination=-?[0-9.]+,(-?[0-9.]+)""
    )
  ),
"""")
"),"36.795243")</f>
        <v>36.795243</v>
      </c>
      <c r="J204" s="5" t="s">
        <v>914</v>
      </c>
    </row>
    <row r="205" spans="1:10" x14ac:dyDescent="0.2">
      <c r="A205" s="3" t="s">
        <v>1007</v>
      </c>
      <c r="B205" s="3" t="s">
        <v>999</v>
      </c>
      <c r="C205" s="3" t="s">
        <v>1008</v>
      </c>
      <c r="D205" s="2" t="s">
        <v>1009</v>
      </c>
      <c r="E205" s="3" t="s">
        <v>1010</v>
      </c>
      <c r="F205" s="3"/>
      <c r="G205" s="3">
        <f t="shared" si="1"/>
        <v>0</v>
      </c>
      <c r="H205" s="3" t="str">
        <f ca="1">IFERROR(__xludf.DUMMYFUNCTION("IFERROR(
  TRIM(
    REGEXEXTRACT(
      SUBSTITUTE(J205,""%20"",""""),
      ""destination=(-?[0-9.]+)""
    )
  ),
"""")
"),"-1.3065809")</f>
        <v>-1.3065809</v>
      </c>
      <c r="I205" s="4" t="str">
        <f ca="1">IFERROR(__xludf.DUMMYFUNCTION("IFERROR(
  TRIM(
    REGEXEXTRACT(
      SUBSTITUTE(J205,""%20"",""""),
      ""destination=-?[0-9.]+,(-?[0-9.]+)""
    )
  ),
"""")
"),"36.8936292")</f>
        <v>36.8936292</v>
      </c>
      <c r="J205" s="5" t="s">
        <v>634</v>
      </c>
    </row>
    <row r="206" spans="1:10" x14ac:dyDescent="0.2">
      <c r="A206" s="3" t="s">
        <v>1011</v>
      </c>
      <c r="B206" s="3" t="s">
        <v>999</v>
      </c>
      <c r="C206" s="3" t="s">
        <v>1012</v>
      </c>
      <c r="D206" s="2" t="s">
        <v>1013</v>
      </c>
      <c r="E206" s="4"/>
      <c r="F206" s="4"/>
      <c r="G206" s="3">
        <f t="shared" si="1"/>
        <v>0</v>
      </c>
      <c r="H206" s="3" t="str">
        <f ca="1">IFERROR(__xludf.DUMMYFUNCTION("IFERROR(
  TRIM(
    REGEXEXTRACT(
      SUBSTITUTE(J206,""%20"",""""),
      ""destination=(-?[0-9.]+)""
    )
  ),
"""")
"),"-1.3640944")</f>
        <v>-1.3640944</v>
      </c>
      <c r="I206" s="4" t="str">
        <f ca="1">IFERROR(__xludf.DUMMYFUNCTION("IFERROR(
  TRIM(
    REGEXEXTRACT(
      SUBSTITUTE(J206,""%20"",""""),
      ""destination=-?[0-9.]+,(-?[0-9.]+)""
    )
  ),
"""")
"),"36.7476257")</f>
        <v>36.7476257</v>
      </c>
      <c r="J206" s="5" t="s">
        <v>1014</v>
      </c>
    </row>
    <row r="207" spans="1:10" x14ac:dyDescent="0.2">
      <c r="A207" s="3" t="s">
        <v>1015</v>
      </c>
      <c r="B207" s="3" t="s">
        <v>999</v>
      </c>
      <c r="C207" s="3" t="s">
        <v>1016</v>
      </c>
      <c r="D207" s="2" t="s">
        <v>1017</v>
      </c>
      <c r="E207" s="3" t="s">
        <v>1018</v>
      </c>
      <c r="F207" s="3"/>
      <c r="G207" s="3">
        <f t="shared" si="1"/>
        <v>0</v>
      </c>
      <c r="H207" s="3" t="str">
        <f ca="1">IFERROR(__xludf.DUMMYFUNCTION("IFERROR(
  TRIM(
    REGEXEXTRACT(
      SUBSTITUTE(J207,""%20"",""""),
      ""destination=(-?[0-9.]+)""
    )
  ),
"""")
"),"-1.3131998")</f>
        <v>-1.3131998</v>
      </c>
      <c r="I207" s="4" t="str">
        <f ca="1">IFERROR(__xludf.DUMMYFUNCTION("IFERROR(
  TRIM(
    REGEXEXTRACT(
      SUBSTITUTE(J207,""%20"",""""),
      ""destination=-?[0-9.]+,(-?[0-9.]+)""
    )
  ),
"""")
"),"36.8266525")</f>
        <v>36.8266525</v>
      </c>
      <c r="J207" s="5" t="s">
        <v>1019</v>
      </c>
    </row>
    <row r="208" spans="1:10" x14ac:dyDescent="0.2">
      <c r="A208" s="3" t="s">
        <v>1020</v>
      </c>
      <c r="B208" s="3" t="s">
        <v>999</v>
      </c>
      <c r="C208" s="3" t="s">
        <v>1021</v>
      </c>
      <c r="D208" s="2" t="s">
        <v>1022</v>
      </c>
      <c r="E208" s="3" t="s">
        <v>1023</v>
      </c>
      <c r="F208" s="3"/>
      <c r="G208" s="3">
        <f t="shared" si="1"/>
        <v>0</v>
      </c>
      <c r="H208" s="3" t="str">
        <f ca="1">IFERROR(__xludf.DUMMYFUNCTION("IFERROR(
  TRIM(
    REGEXEXTRACT(
      SUBSTITUTE(J208,""%20"",""""),
      ""destination=(-?[0-9.]+)""
    )
  ),
"""")
"),"-1.3070277")</f>
        <v>-1.3070277</v>
      </c>
      <c r="I208" s="4" t="str">
        <f ca="1">IFERROR(__xludf.DUMMYFUNCTION("IFERROR(
  TRIM(
    REGEXEXTRACT(
      SUBSTITUTE(J208,""%20"",""""),
      ""destination=-?[0-9.]+,(-?[0-9.]+)""
    )
  ),
"""")
"),"36.825389")</f>
        <v>36.825389</v>
      </c>
      <c r="J208" s="5" t="s">
        <v>1024</v>
      </c>
    </row>
    <row r="209" spans="1:10" x14ac:dyDescent="0.2">
      <c r="A209" s="3" t="s">
        <v>1025</v>
      </c>
      <c r="B209" s="3" t="s">
        <v>999</v>
      </c>
      <c r="C209" s="3" t="s">
        <v>1026</v>
      </c>
      <c r="D209" s="2" t="s">
        <v>1027</v>
      </c>
      <c r="E209" s="3" t="s">
        <v>1028</v>
      </c>
      <c r="F209" s="3"/>
      <c r="G209" s="3">
        <f t="shared" si="1"/>
        <v>0</v>
      </c>
      <c r="H209" s="3" t="str">
        <f ca="1">IFERROR(__xludf.DUMMYFUNCTION("IFERROR(
  TRIM(
    REGEXEXTRACT(
      SUBSTITUTE(J209,""%20"",""""),
      ""destination=(-?[0-9.]+)""
    )
  ),
"""")
"),"-1.2994605")</f>
        <v>-1.2994605</v>
      </c>
      <c r="I209" s="4" t="str">
        <f ca="1">IFERROR(__xludf.DUMMYFUNCTION("IFERROR(
  TRIM(
    REGEXEXTRACT(
      SUBSTITUTE(J209,""%20"",""""),
      ""destination=-?[0-9.]+,(-?[0-9.]+)""
    )
  ),
"""")
"),"36.7906854")</f>
        <v>36.7906854</v>
      </c>
      <c r="J209" s="5" t="s">
        <v>1029</v>
      </c>
    </row>
    <row r="210" spans="1:10" x14ac:dyDescent="0.2">
      <c r="A210" s="3" t="s">
        <v>1030</v>
      </c>
      <c r="B210" s="3" t="s">
        <v>999</v>
      </c>
      <c r="C210" s="3" t="s">
        <v>1031</v>
      </c>
      <c r="D210" s="2" t="s">
        <v>1032</v>
      </c>
      <c r="E210" s="3" t="s">
        <v>1033</v>
      </c>
      <c r="F210" s="3"/>
      <c r="G210" s="3">
        <f t="shared" si="1"/>
        <v>0</v>
      </c>
      <c r="H210" s="3" t="str">
        <f ca="1">IFERROR(__xludf.DUMMYFUNCTION("IFERROR(
  TRIM(
    REGEXEXTRACT(
      SUBSTITUTE(J210,""%20"",""""),
      ""destination=(-?[0-9.]+)""
    )
  ),
"""")
"),"-1.2871322")</f>
        <v>-1.2871322</v>
      </c>
      <c r="I210" s="4" t="str">
        <f ca="1">IFERROR(__xludf.DUMMYFUNCTION("IFERROR(
  TRIM(
    REGEXEXTRACT(
      SUBSTITUTE(J210,""%20"",""""),
      ""destination=-?[0-9.]+,(-?[0-9.]+)""
    )
  ),
"""")
"),"36.8742048")</f>
        <v>36.8742048</v>
      </c>
      <c r="J210" s="5" t="s">
        <v>835</v>
      </c>
    </row>
    <row r="211" spans="1:10" x14ac:dyDescent="0.2">
      <c r="A211" s="3" t="s">
        <v>1034</v>
      </c>
      <c r="B211" s="3" t="s">
        <v>999</v>
      </c>
      <c r="C211" s="3" t="s">
        <v>1035</v>
      </c>
      <c r="D211" s="2" t="s">
        <v>1036</v>
      </c>
      <c r="E211" s="3" t="s">
        <v>1037</v>
      </c>
      <c r="F211" s="3"/>
      <c r="G211" s="3">
        <f t="shared" si="1"/>
        <v>0</v>
      </c>
      <c r="H211" s="3" t="str">
        <f ca="1">IFERROR(__xludf.DUMMYFUNCTION("IFERROR(
  TRIM(
    REGEXEXTRACT(
      SUBSTITUTE(J211,""%20"",""""),
      ""destination=(-?[0-9.]+)""
    )
  ),
"""")
"),"-1.3092203")</f>
        <v>-1.3092203</v>
      </c>
      <c r="I211" s="4" t="str">
        <f ca="1">IFERROR(__xludf.DUMMYFUNCTION("IFERROR(
  TRIM(
    REGEXEXTRACT(
      SUBSTITUTE(J211,""%20"",""""),
      ""destination=-?[0-9.]+,(-?[0-9.]+)""
    )
  ),
"""")
"),"36.8337427")</f>
        <v>36.8337427</v>
      </c>
      <c r="J211" s="5" t="s">
        <v>1038</v>
      </c>
    </row>
    <row r="212" spans="1:10" x14ac:dyDescent="0.2">
      <c r="A212" s="3" t="s">
        <v>1039</v>
      </c>
      <c r="B212" s="3" t="s">
        <v>999</v>
      </c>
      <c r="C212" s="3" t="s">
        <v>1026</v>
      </c>
      <c r="D212" s="2" t="s">
        <v>1040</v>
      </c>
      <c r="E212" s="3" t="s">
        <v>1041</v>
      </c>
      <c r="F212" s="3"/>
      <c r="G212" s="3">
        <f t="shared" si="1"/>
        <v>0</v>
      </c>
      <c r="H212" s="3" t="str">
        <f ca="1">IFERROR(__xludf.DUMMYFUNCTION("IFERROR(
  TRIM(
    REGEXEXTRACT(
      SUBSTITUTE(J212,""%20"",""""),
      ""destination=(-?[0-9.]+)""
    )
  ),
"""")
"),"-1.2994605")</f>
        <v>-1.2994605</v>
      </c>
      <c r="I212" s="4" t="str">
        <f ca="1">IFERROR(__xludf.DUMMYFUNCTION("IFERROR(
  TRIM(
    REGEXEXTRACT(
      SUBSTITUTE(J212,""%20"",""""),
      ""destination=-?[0-9.]+,(-?[0-9.]+)""
    )
  ),
"""")
"),"36.7906854")</f>
        <v>36.7906854</v>
      </c>
      <c r="J212" s="5" t="s">
        <v>1029</v>
      </c>
    </row>
    <row r="213" spans="1:10" x14ac:dyDescent="0.2">
      <c r="A213" s="3" t="s">
        <v>1042</v>
      </c>
      <c r="B213" s="3" t="s">
        <v>1043</v>
      </c>
      <c r="C213" s="3" t="s">
        <v>1044</v>
      </c>
      <c r="D213" s="2" t="s">
        <v>1045</v>
      </c>
      <c r="E213" s="3" t="s">
        <v>1046</v>
      </c>
      <c r="F213" s="3"/>
      <c r="G213" s="3">
        <f t="shared" si="1"/>
        <v>0</v>
      </c>
      <c r="H213" s="3" t="str">
        <f ca="1">IFERROR(__xludf.DUMMYFUNCTION("IFERROR(
  TRIM(
    REGEXEXTRACT(
      SUBSTITUTE(J213,""%20"",""""),
      ""destination=(-?[0-9.]+)""
    )
  ),
"""")
"),"-1.3217247")</f>
        <v>-1.3217247</v>
      </c>
      <c r="I213" s="4" t="str">
        <f ca="1">IFERROR(__xludf.DUMMYFUNCTION("IFERROR(
  TRIM(
    REGEXEXTRACT(
      SUBSTITUTE(J213,""%20"",""""),
      ""destination=-?[0-9.]+,(-?[0-9.]+)""
    )
  ),
"""")
"),"36.9034926")</f>
        <v>36.9034926</v>
      </c>
      <c r="J213" s="5" t="s">
        <v>1047</v>
      </c>
    </row>
    <row r="214" spans="1:10" x14ac:dyDescent="0.2">
      <c r="A214" s="3" t="s">
        <v>1048</v>
      </c>
      <c r="B214" s="3" t="s">
        <v>1049</v>
      </c>
      <c r="C214" s="3" t="s">
        <v>1050</v>
      </c>
      <c r="D214" s="2" t="s">
        <v>1051</v>
      </c>
      <c r="E214" s="3" t="s">
        <v>1052</v>
      </c>
      <c r="F214" s="3"/>
      <c r="G214" s="3">
        <f t="shared" si="1"/>
        <v>0</v>
      </c>
      <c r="H214" s="3" t="str">
        <f ca="1">IFERROR(__xludf.DUMMYFUNCTION("IFERROR(
  TRIM(
    REGEXEXTRACT(
      SUBSTITUTE(J214,""%20"",""""),
      ""destination=(-?[0-9.]+)""
    )
  ),
"""")
"),"-1.2828645")</f>
        <v>-1.2828645</v>
      </c>
      <c r="I214" s="4" t="str">
        <f ca="1">IFERROR(__xludf.DUMMYFUNCTION("IFERROR(
  TRIM(
    REGEXEXTRACT(
      SUBSTITUTE(J214,""%20"",""""),
      ""destination=-?[0-9.]+,(-?[0-9.]+)""
    )
  ),
"""")
"),"36.8799036")</f>
        <v>36.8799036</v>
      </c>
      <c r="J214" s="5" t="s">
        <v>1053</v>
      </c>
    </row>
    <row r="215" spans="1:10" x14ac:dyDescent="0.2">
      <c r="A215" s="3" t="s">
        <v>1054</v>
      </c>
      <c r="B215" s="3" t="s">
        <v>1055</v>
      </c>
      <c r="C215" s="3" t="s">
        <v>1056</v>
      </c>
      <c r="D215" s="2" t="s">
        <v>1057</v>
      </c>
      <c r="E215" s="3" t="s">
        <v>1058</v>
      </c>
      <c r="F215" s="3"/>
      <c r="G215" s="3">
        <f t="shared" si="1"/>
        <v>0</v>
      </c>
      <c r="H215" s="3" t="str">
        <f ca="1">IFERROR(__xludf.DUMMYFUNCTION("IFERROR(
  TRIM(
    REGEXEXTRACT(
      SUBSTITUTE(J215,""%20"",""""),
      ""destination=(-?[0-9.]+)""
    )
  ),
"""")
"),"-1.3147737")</f>
        <v>-1.3147737</v>
      </c>
      <c r="I215" s="4" t="str">
        <f ca="1">IFERROR(__xludf.DUMMYFUNCTION("IFERROR(
  TRIM(
    REGEXEXTRACT(
      SUBSTITUTE(J215,""%20"",""""),
      ""destination=-?[0-9.]+,(-?[0-9.]+)""
    )
  ),
"""")
"),"36.859145")</f>
        <v>36.859145</v>
      </c>
      <c r="J215" s="5" t="s">
        <v>1059</v>
      </c>
    </row>
    <row r="216" spans="1:10" x14ac:dyDescent="0.2">
      <c r="A216" s="3" t="s">
        <v>1060</v>
      </c>
      <c r="B216" s="3" t="s">
        <v>1061</v>
      </c>
      <c r="C216" s="3" t="s">
        <v>1062</v>
      </c>
      <c r="D216" s="2" t="s">
        <v>1063</v>
      </c>
      <c r="E216" s="3" t="s">
        <v>1064</v>
      </c>
      <c r="F216" s="3"/>
      <c r="G216" s="3">
        <f t="shared" si="1"/>
        <v>0</v>
      </c>
      <c r="H216" s="3" t="str">
        <f ca="1">IFERROR(__xludf.DUMMYFUNCTION("IFERROR(
  TRIM(
    REGEXEXTRACT(
      SUBSTITUTE(J216,""%20"",""""),
      ""destination=(-?[0-9.]+)""
    )
  ),
"""")
"),"-1.2813094")</f>
        <v>-1.2813094</v>
      </c>
      <c r="I216" s="4" t="str">
        <f ca="1">IFERROR(__xludf.DUMMYFUNCTION("IFERROR(
  TRIM(
    REGEXEXTRACT(
      SUBSTITUTE(J216,""%20"",""""),
      ""destination=-?[0-9.]+,(-?[0-9.]+)""
    )
  ),
"""")
"),"36.8180449")</f>
        <v>36.8180449</v>
      </c>
      <c r="J216" s="5" t="s">
        <v>1065</v>
      </c>
    </row>
    <row r="217" spans="1:10" x14ac:dyDescent="0.2">
      <c r="A217" s="3" t="s">
        <v>1066</v>
      </c>
      <c r="B217" s="3" t="s">
        <v>999</v>
      </c>
      <c r="C217" s="3" t="s">
        <v>1067</v>
      </c>
      <c r="D217" s="2" t="s">
        <v>1068</v>
      </c>
      <c r="E217" s="3" t="s">
        <v>1069</v>
      </c>
      <c r="F217" s="3"/>
      <c r="G217" s="3">
        <f t="shared" si="1"/>
        <v>0</v>
      </c>
      <c r="H217" s="3" t="str">
        <f ca="1">IFERROR(__xludf.DUMMYFUNCTION("IFERROR(
  TRIM(
    REGEXEXTRACT(
      SUBSTITUTE(J217,""%20"",""""),
      ""destination=(-?[0-9.]+)""
    )
  ),
"""")
"),"-1.26327")</f>
        <v>-1.26327</v>
      </c>
      <c r="I217" s="4" t="str">
        <f ca="1">IFERROR(__xludf.DUMMYFUNCTION("IFERROR(
  TRIM(
    REGEXEXTRACT(
      SUBSTITUTE(J217,""%20"",""""),
      ""destination=-?[0-9.]+,(-?[0-9.]+)""
    )
  ),
"""")
"),"36.8159483")</f>
        <v>36.8159483</v>
      </c>
      <c r="J217" s="5" t="s">
        <v>1070</v>
      </c>
    </row>
    <row r="218" spans="1:10" x14ac:dyDescent="0.2">
      <c r="A218" s="3" t="s">
        <v>1071</v>
      </c>
      <c r="B218" s="3" t="s">
        <v>999</v>
      </c>
      <c r="C218" s="3" t="s">
        <v>1072</v>
      </c>
      <c r="D218" s="2" t="s">
        <v>1073</v>
      </c>
      <c r="E218" s="3" t="s">
        <v>1074</v>
      </c>
      <c r="F218" s="3"/>
      <c r="G218" s="3">
        <f t="shared" si="1"/>
        <v>0</v>
      </c>
      <c r="H218" s="3" t="str">
        <f ca="1">IFERROR(__xludf.DUMMYFUNCTION("IFERROR(
  TRIM(
    REGEXEXTRACT(
      SUBSTITUTE(J218,""%20"",""""),
      ""destination=(-?[0-9.]+)""
    )
  ),
"""")
"),"-1.2924942")</f>
        <v>-1.2924942</v>
      </c>
      <c r="I218" s="4" t="str">
        <f ca="1">IFERROR(__xludf.DUMMYFUNCTION("IFERROR(
  TRIM(
    REGEXEXTRACT(
      SUBSTITUTE(J218,""%20"",""""),
      ""destination=-?[0-9.]+,(-?[0-9.]+)""
    )
  ),
"""")
"),"36.7884358")</f>
        <v>36.7884358</v>
      </c>
      <c r="J218" s="5" t="s">
        <v>1075</v>
      </c>
    </row>
    <row r="219" spans="1:10" x14ac:dyDescent="0.2">
      <c r="A219" s="3" t="s">
        <v>703</v>
      </c>
      <c r="B219" s="3" t="s">
        <v>999</v>
      </c>
      <c r="C219" s="3" t="s">
        <v>1076</v>
      </c>
      <c r="D219" s="2" t="s">
        <v>973</v>
      </c>
      <c r="E219" s="3" t="s">
        <v>1077</v>
      </c>
      <c r="F219" s="3"/>
      <c r="G219" s="3">
        <f t="shared" si="1"/>
        <v>0</v>
      </c>
      <c r="H219" s="3" t="str">
        <f ca="1">IFERROR(__xludf.DUMMYFUNCTION("IFERROR(
  TRIM(
    REGEXEXTRACT(
      SUBSTITUTE(J219,""%20"",""""),
      ""destination=(-?[0-9.]+)""
    )
  ),
"""")
"),"-1.2599001")</f>
        <v>-1.2599001</v>
      </c>
      <c r="I219" s="4" t="str">
        <f ca="1">IFERROR(__xludf.DUMMYFUNCTION("IFERROR(
  TRIM(
    REGEXEXTRACT(
      SUBSTITUTE(J219,""%20"",""""),
      ""destination=-?[0-9.]+,(-?[0-9.]+)""
    )
  ),
"""")
"),"36.8179083")</f>
        <v>36.8179083</v>
      </c>
      <c r="J219" s="5" t="s">
        <v>1078</v>
      </c>
    </row>
    <row r="220" spans="1:10" x14ac:dyDescent="0.2">
      <c r="A220" s="3" t="s">
        <v>1079</v>
      </c>
      <c r="B220" s="3" t="s">
        <v>999</v>
      </c>
      <c r="C220" s="3" t="s">
        <v>1080</v>
      </c>
      <c r="D220" s="12" t="s">
        <v>1081</v>
      </c>
      <c r="E220" s="3" t="s">
        <v>1082</v>
      </c>
      <c r="F220" s="3"/>
      <c r="G220" s="3">
        <f t="shared" si="1"/>
        <v>0</v>
      </c>
      <c r="H220" s="3" t="str">
        <f ca="1">IFERROR(__xludf.DUMMYFUNCTION("IFERROR(
  TRIM(
    REGEXEXTRACT(
      SUBSTITUTE(J220,""%20"",""""),
      ""destination=(-?[0-9.]+)""
    )
  ),
"""")
"),"-1.293722")</f>
        <v>-1.293722</v>
      </c>
      <c r="I220" s="4" t="str">
        <f ca="1">IFERROR(__xludf.DUMMYFUNCTION("IFERROR(
  TRIM(
    REGEXEXTRACT(
      SUBSTITUTE(J220,""%20"",""""),
      ""destination=-?[0-9.]+,(-?[0-9.]+)""
    )
  ),
"""")
"),"36.7960752")</f>
        <v>36.7960752</v>
      </c>
      <c r="J220" s="5" t="s">
        <v>1083</v>
      </c>
    </row>
    <row r="221" spans="1:10" x14ac:dyDescent="0.2">
      <c r="A221" s="3" t="s">
        <v>1084</v>
      </c>
      <c r="B221" s="3" t="s">
        <v>999</v>
      </c>
      <c r="C221" s="3" t="s">
        <v>1085</v>
      </c>
      <c r="D221" s="2" t="s">
        <v>1086</v>
      </c>
      <c r="E221" s="3" t="s">
        <v>1087</v>
      </c>
      <c r="F221" s="3"/>
      <c r="G221" s="3">
        <f t="shared" si="1"/>
        <v>0</v>
      </c>
      <c r="H221" s="3" t="str">
        <f ca="1">IFERROR(__xludf.DUMMYFUNCTION("IFERROR(
  TRIM(
    REGEXEXTRACT(
      SUBSTITUTE(J221,""%20"",""""),
      ""destination=(-?[0-9.]+)""
    )
  ),
"""")
"),"-1.3640944")</f>
        <v>-1.3640944</v>
      </c>
      <c r="I221" s="4" t="str">
        <f ca="1">IFERROR(__xludf.DUMMYFUNCTION("IFERROR(
  TRIM(
    REGEXEXTRACT(
      SUBSTITUTE(J221,""%20"",""""),
      ""destination=-?[0-9.]+,(-?[0-9.]+)""
    )
  ),
"""")
"),"36.7476257")</f>
        <v>36.7476257</v>
      </c>
      <c r="J221" s="5" t="s">
        <v>1014</v>
      </c>
    </row>
    <row r="222" spans="1:10" x14ac:dyDescent="0.2">
      <c r="A222" s="3" t="s">
        <v>1088</v>
      </c>
      <c r="B222" s="3" t="s">
        <v>999</v>
      </c>
      <c r="C222" s="3" t="s">
        <v>855</v>
      </c>
      <c r="D222" s="2" t="s">
        <v>1089</v>
      </c>
      <c r="E222" s="3" t="s">
        <v>1090</v>
      </c>
      <c r="F222" s="3"/>
      <c r="G222" s="3">
        <f t="shared" si="1"/>
        <v>0</v>
      </c>
      <c r="H222" s="3" t="str">
        <f ca="1">IFERROR(__xludf.DUMMYFUNCTION("IFERROR(
  TRIM(
    REGEXEXTRACT(
      SUBSTITUTE(J222,""%20"",""""),
      ""destination=(-?[0-9.]+)""
    )
  ),
"""")
"),"-1.3365109")</f>
        <v>-1.3365109</v>
      </c>
      <c r="I222" s="4" t="str">
        <f ca="1">IFERROR(__xludf.DUMMYFUNCTION("IFERROR(
  TRIM(
    REGEXEXTRACT(
      SUBSTITUTE(J222,""%20"",""""),
      ""destination=-?[0-9.]+,(-?[0-9.]+)""
    )
  ),
"""")
"),"36.7225034")</f>
        <v>36.7225034</v>
      </c>
      <c r="J222" s="5" t="s">
        <v>857</v>
      </c>
    </row>
    <row r="223" spans="1:10" x14ac:dyDescent="0.2">
      <c r="A223" s="3" t="s">
        <v>1091</v>
      </c>
      <c r="B223" s="3" t="s">
        <v>1092</v>
      </c>
      <c r="C223" s="3" t="s">
        <v>1093</v>
      </c>
      <c r="D223" s="2" t="s">
        <v>1094</v>
      </c>
      <c r="E223" s="4"/>
      <c r="F223" s="4"/>
      <c r="G223" s="3">
        <f t="shared" si="1"/>
        <v>0</v>
      </c>
      <c r="H223" s="3" t="str">
        <f ca="1">IFERROR(__xludf.DUMMYFUNCTION("IFERROR(
  TRIM(
    REGEXEXTRACT(
      SUBSTITUTE(J223,""%20"",""""),
      ""destination=(-?[0-9.]+)""
    )
  ),
"""")
"),"-1.2849745")</f>
        <v>-1.2849745</v>
      </c>
      <c r="I223" s="4" t="str">
        <f ca="1">IFERROR(__xludf.DUMMYFUNCTION("IFERROR(
  TRIM(
    REGEXEXTRACT(
      SUBSTITUTE(J223,""%20"",""""),
      ""destination=-?[0-9.]+,(-?[0-9.]+)""
    )
  ),
"""")
"),"36.8211491")</f>
        <v>36.8211491</v>
      </c>
      <c r="J223" s="5" t="s">
        <v>1095</v>
      </c>
    </row>
    <row r="224" spans="1:10" x14ac:dyDescent="0.2">
      <c r="A224" s="3" t="s">
        <v>1096</v>
      </c>
      <c r="B224" s="3" t="s">
        <v>1097</v>
      </c>
      <c r="C224" s="3" t="s">
        <v>1098</v>
      </c>
      <c r="D224" s="2">
        <v>206005772</v>
      </c>
      <c r="E224" s="3" t="s">
        <v>1099</v>
      </c>
      <c r="F224" s="3"/>
      <c r="G224" s="3">
        <f t="shared" si="1"/>
        <v>0</v>
      </c>
      <c r="H224" s="3" t="str">
        <f ca="1">IFERROR(__xludf.DUMMYFUNCTION("IFERROR(
  TRIM(
    REGEXEXTRACT(
      SUBSTITUTE(J224,""%20"",""""),
      ""destination=(-?[0-9.]+)""
    )
  ),
"""")
"),"-1.3244204")</f>
        <v>-1.3244204</v>
      </c>
      <c r="I224" s="4" t="str">
        <f ca="1">IFERROR(__xludf.DUMMYFUNCTION("IFERROR(
  TRIM(
    REGEXEXTRACT(
      SUBSTITUTE(J224,""%20"",""""),
      ""destination=-?[0-9.]+,(-?[0-9.]+)""
    )
  ),
"""")
"),"36.8261538")</f>
        <v>36.8261538</v>
      </c>
      <c r="J224" s="5" t="s">
        <v>1100</v>
      </c>
    </row>
    <row r="225" spans="1:10" x14ac:dyDescent="0.2">
      <c r="A225" s="3" t="s">
        <v>1101</v>
      </c>
      <c r="B225" s="3" t="s">
        <v>1097</v>
      </c>
      <c r="C225" s="3" t="s">
        <v>1102</v>
      </c>
      <c r="D225" s="2" t="s">
        <v>1103</v>
      </c>
      <c r="E225" s="3" t="s">
        <v>1104</v>
      </c>
      <c r="F225" s="3"/>
      <c r="G225" s="3">
        <f t="shared" si="1"/>
        <v>0</v>
      </c>
      <c r="H225" s="3" t="str">
        <f ca="1">IFERROR(__xludf.DUMMYFUNCTION("IFERROR(
  TRIM(
    REGEXEXTRACT(
      SUBSTITUTE(J225,""%20"",""""),
      ""destination=(-?[0-9.]+)""
    )
  ),
"""")
"),"-1.4756024")</f>
        <v>-1.4756024</v>
      </c>
      <c r="I225" s="4" t="str">
        <f ca="1">IFERROR(__xludf.DUMMYFUNCTION("IFERROR(
  TRIM(
    REGEXEXTRACT(
      SUBSTITUTE(J225,""%20"",""""),
      ""destination=-?[0-9.]+,(-?[0-9.]+)""
    )
  ),
"""")
"),"36.9605943")</f>
        <v>36.9605943</v>
      </c>
      <c r="J225" s="5" t="s">
        <v>867</v>
      </c>
    </row>
    <row r="226" spans="1:10" x14ac:dyDescent="0.2">
      <c r="A226" s="3" t="s">
        <v>1105</v>
      </c>
      <c r="B226" s="3" t="s">
        <v>1097</v>
      </c>
      <c r="C226" s="3" t="s">
        <v>1106</v>
      </c>
      <c r="D226" s="2" t="s">
        <v>1107</v>
      </c>
      <c r="E226" s="3" t="s">
        <v>1104</v>
      </c>
      <c r="F226" s="3"/>
      <c r="G226" s="3">
        <f t="shared" si="1"/>
        <v>0</v>
      </c>
      <c r="H226" s="3" t="str">
        <f ca="1">IFERROR(__xludf.DUMMYFUNCTION("IFERROR(
  TRIM(
    REGEXEXTRACT(
      SUBSTITUTE(J226,""%20"",""""),
      ""destination=(-?[0-9.]+)""
    )
  ),
"""")
"),"-1.3213091")</f>
        <v>-1.3213091</v>
      </c>
      <c r="I226" s="4" t="str">
        <f ca="1">IFERROR(__xludf.DUMMYFUNCTION("IFERROR(
  TRIM(
    REGEXEXTRACT(
      SUBSTITUTE(J226,""%20"",""""),
      ""destination=-?[0-9.]+,(-?[0-9.]+)""
    )
  ),
"""")
"),"36.884217")</f>
        <v>36.884217</v>
      </c>
      <c r="J226" s="5" t="s">
        <v>1108</v>
      </c>
    </row>
    <row r="227" spans="1:10" x14ac:dyDescent="0.2">
      <c r="A227" s="3" t="s">
        <v>1109</v>
      </c>
      <c r="B227" s="3" t="s">
        <v>1110</v>
      </c>
      <c r="C227" s="3" t="s">
        <v>1111</v>
      </c>
      <c r="D227" s="2" t="s">
        <v>1112</v>
      </c>
      <c r="E227" s="3" t="s">
        <v>1113</v>
      </c>
      <c r="F227" s="3"/>
      <c r="G227" s="3">
        <f t="shared" si="1"/>
        <v>0</v>
      </c>
      <c r="H227" s="3" t="str">
        <f ca="1">IFERROR(__xludf.DUMMYFUNCTION("IFERROR(
  TRIM(
    REGEXEXTRACT(
      SUBSTITUTE(J227,""%20"",""""),
      ""destination=(-?[0-9.]+)""
    )
  ),
"""")
"),"-1.3099889")</f>
        <v>-1.3099889</v>
      </c>
      <c r="I227" s="4" t="str">
        <f ca="1">IFERROR(__xludf.DUMMYFUNCTION("IFERROR(
  TRIM(
    REGEXEXTRACT(
      SUBSTITUTE(J227,""%20"",""""),
      ""destination=-?[0-9.]+,(-?[0-9.]+)""
    )
  ),
"""")
"),"36.9319993")</f>
        <v>36.9319993</v>
      </c>
      <c r="J227" s="5" t="s">
        <v>1114</v>
      </c>
    </row>
    <row r="228" spans="1:10" x14ac:dyDescent="0.2">
      <c r="A228" s="3" t="s">
        <v>1115</v>
      </c>
      <c r="B228" s="3" t="s">
        <v>1110</v>
      </c>
      <c r="C228" s="3" t="s">
        <v>1116</v>
      </c>
      <c r="D228" s="2" t="s">
        <v>1117</v>
      </c>
      <c r="E228" s="3" t="s">
        <v>1118</v>
      </c>
      <c r="F228" s="3"/>
      <c r="G228" s="3">
        <f t="shared" si="1"/>
        <v>0</v>
      </c>
      <c r="H228" s="3" t="str">
        <f ca="1">IFERROR(__xludf.DUMMYFUNCTION("IFERROR(
  TRIM(
    REGEXEXTRACT(
      SUBSTITUTE(J228,""%20"",""""),
      ""destination=(-?[0-9.]+)""
    )
  ),
"""")
"),"-1.2482996")</f>
        <v>-1.2482996</v>
      </c>
      <c r="I228" s="4" t="str">
        <f ca="1">IFERROR(__xludf.DUMMYFUNCTION("IFERROR(
  TRIM(
    REGEXEXTRACT(
      SUBSTITUTE(J228,""%20"",""""),
      ""destination=-?[0-9.]+,(-?[0-9.]+)""
    )
  ),
"""")
"),"36.9025814")</f>
        <v>36.9025814</v>
      </c>
      <c r="J228" s="5" t="s">
        <v>1119</v>
      </c>
    </row>
    <row r="229" spans="1:10" x14ac:dyDescent="0.2">
      <c r="A229" s="3" t="s">
        <v>1120</v>
      </c>
      <c r="B229" s="3" t="s">
        <v>1121</v>
      </c>
      <c r="C229" s="3" t="s">
        <v>1102</v>
      </c>
      <c r="D229" s="2" t="s">
        <v>1122</v>
      </c>
      <c r="E229" s="3" t="s">
        <v>1123</v>
      </c>
      <c r="F229" s="3"/>
      <c r="G229" s="3">
        <f t="shared" si="1"/>
        <v>0</v>
      </c>
      <c r="H229" s="3" t="str">
        <f ca="1">IFERROR(__xludf.DUMMYFUNCTION("IFERROR(
  TRIM(
    REGEXEXTRACT(
      SUBSTITUTE(J229,""%20"",""""),
      ""destination=(-?[0-9.]+)""
    )
  ),
"""")
"),"-1.4756024")</f>
        <v>-1.4756024</v>
      </c>
      <c r="I229" s="4" t="str">
        <f ca="1">IFERROR(__xludf.DUMMYFUNCTION("IFERROR(
  TRIM(
    REGEXEXTRACT(
      SUBSTITUTE(J229,""%20"",""""),
      ""destination=-?[0-9.]+,(-?[0-9.]+)""
    )
  ),
"""")
"),"36.9605943")</f>
        <v>36.9605943</v>
      </c>
      <c r="J229" s="5" t="s">
        <v>867</v>
      </c>
    </row>
    <row r="230" spans="1:10" x14ac:dyDescent="0.2">
      <c r="A230" s="3" t="s">
        <v>1124</v>
      </c>
      <c r="B230" s="3" t="s">
        <v>1121</v>
      </c>
      <c r="C230" s="3" t="s">
        <v>1125</v>
      </c>
      <c r="D230" s="2" t="s">
        <v>1126</v>
      </c>
      <c r="E230" s="3" t="s">
        <v>1127</v>
      </c>
      <c r="F230" s="3"/>
      <c r="G230" s="3">
        <f t="shared" si="1"/>
        <v>0</v>
      </c>
      <c r="H230" s="3" t="str">
        <f ca="1">IFERROR(__xludf.DUMMYFUNCTION("IFERROR(
  TRIM(
    REGEXEXTRACT(
      SUBSTITUTE(J230,""%20"",""""),
      ""destination=(-?[0-9.]+)""
    )
  ),
"""")
"),"-1.20463")</f>
        <v>-1.20463</v>
      </c>
      <c r="I230" s="4" t="str">
        <f ca="1">IFERROR(__xludf.DUMMYFUNCTION("IFERROR(
  TRIM(
    REGEXEXTRACT(
      SUBSTITUTE(J230,""%20"",""""),
      ""destination=-?[0-9.]+,(-?[0-9.]+)""
    )
  ),
"""")
"),"36.915328")</f>
        <v>36.915328</v>
      </c>
      <c r="J230" s="5" t="s">
        <v>1128</v>
      </c>
    </row>
    <row r="231" spans="1:10" x14ac:dyDescent="0.2">
      <c r="A231" s="3" t="s">
        <v>1129</v>
      </c>
      <c r="B231" s="4"/>
      <c r="C231" s="3" t="s">
        <v>1130</v>
      </c>
      <c r="D231" s="2" t="s">
        <v>1131</v>
      </c>
      <c r="E231" s="4"/>
      <c r="F231" s="4"/>
      <c r="G231" s="3">
        <f t="shared" si="1"/>
        <v>0</v>
      </c>
      <c r="H231" s="3" t="str">
        <f ca="1">IFERROR(__xludf.DUMMYFUNCTION("IFERROR(
  TRIM(
    REGEXEXTRACT(
      SUBSTITUTE(J231,""%20"",""""),
      ""destination=(-?[0-9.]+)""
    )
  ),
"""")
"),"-1.4251869")</f>
        <v>-1.4251869</v>
      </c>
      <c r="I231" s="4" t="str">
        <f ca="1">IFERROR(__xludf.DUMMYFUNCTION("IFERROR(
  TRIM(
    REGEXEXTRACT(
      SUBSTITUTE(J231,""%20"",""""),
      ""destination=-?[0-9.]+,(-?[0-9.]+)""
    )
  ),
"""")
"),"36.6936512")</f>
        <v>36.6936512</v>
      </c>
      <c r="J231" s="5" t="s">
        <v>1132</v>
      </c>
    </row>
    <row r="232" spans="1:10" x14ac:dyDescent="0.2">
      <c r="A232" s="3" t="s">
        <v>1133</v>
      </c>
      <c r="B232" s="3" t="s">
        <v>1134</v>
      </c>
      <c r="C232" s="3" t="s">
        <v>1135</v>
      </c>
      <c r="D232" s="2" t="s">
        <v>1136</v>
      </c>
      <c r="E232" s="3" t="s">
        <v>1137</v>
      </c>
      <c r="F232" s="3"/>
      <c r="G232" s="3">
        <f t="shared" si="1"/>
        <v>0</v>
      </c>
      <c r="H232" s="3" t="str">
        <f ca="1">IFERROR(__xludf.DUMMYFUNCTION("IFERROR(
  TRIM(
    REGEXEXTRACT(
      SUBSTITUTE(J232,""%20"",""""),
      ""destination=(-?[0-9.]+)""
    )
  ),
"""")
"),"-1.2630045")</f>
        <v>-1.2630045</v>
      </c>
      <c r="I232" s="4" t="str">
        <f ca="1">IFERROR(__xludf.DUMMYFUNCTION("IFERROR(
  TRIM(
    REGEXEXTRACT(
      SUBSTITUTE(J232,""%20"",""""),
      ""destination=-?[0-9.]+,(-?[0-9.]+)""
    )
  ),
"""")
"),"36.9210014")</f>
        <v>36.9210014</v>
      </c>
      <c r="J232" s="5" t="s">
        <v>1138</v>
      </c>
    </row>
    <row r="233" spans="1:10" x14ac:dyDescent="0.2">
      <c r="A233" s="3" t="s">
        <v>1139</v>
      </c>
      <c r="B233" s="3" t="s">
        <v>1140</v>
      </c>
      <c r="C233" s="3" t="s">
        <v>1141</v>
      </c>
      <c r="D233" s="2" t="s">
        <v>1142</v>
      </c>
      <c r="E233" s="3" t="s">
        <v>1143</v>
      </c>
      <c r="F233" s="3"/>
      <c r="G233" s="3">
        <f t="shared" si="1"/>
        <v>0</v>
      </c>
      <c r="H233" s="3" t="str">
        <f ca="1">IFERROR(__xludf.DUMMYFUNCTION("IFERROR(
  TRIM(
    REGEXEXTRACT(
      SUBSTITUTE(J233,""%20"",""""),
      ""destination=(-?[0-9.]+)""
    )
  ),
"""")
"),"-1.3229601")</f>
        <v>-1.3229601</v>
      </c>
      <c r="I233" s="4" t="str">
        <f ca="1">IFERROR(__xludf.DUMMYFUNCTION("IFERROR(
  TRIM(
    REGEXEXTRACT(
      SUBSTITUTE(J233,""%20"",""""),
      ""destination=-?[0-9.]+,(-?[0-9.]+)""
    )
  ),
"""")
"),"36.9013312")</f>
        <v>36.9013312</v>
      </c>
      <c r="J233" s="5" t="s">
        <v>1144</v>
      </c>
    </row>
    <row r="234" spans="1:10" x14ac:dyDescent="0.2">
      <c r="A234" s="3" t="s">
        <v>1145</v>
      </c>
      <c r="B234" s="4"/>
      <c r="C234" s="3" t="s">
        <v>1146</v>
      </c>
      <c r="D234" s="2" t="s">
        <v>1147</v>
      </c>
      <c r="E234" s="3" t="s">
        <v>1148</v>
      </c>
      <c r="F234" s="3"/>
      <c r="G234" s="3">
        <f t="shared" si="1"/>
        <v>0</v>
      </c>
      <c r="H234" s="3" t="str">
        <f ca="1">IFERROR(__xludf.DUMMYFUNCTION("IFERROR(
  TRIM(
    REGEXEXTRACT(
      SUBSTITUTE(J234,""%20"",""""),
      ""destination=(-?[0-9.]+)""
    )
  ),
"""")
"),"-1.2828645")</f>
        <v>-1.2828645</v>
      </c>
      <c r="I234" s="4" t="str">
        <f ca="1">IFERROR(__xludf.DUMMYFUNCTION("IFERROR(
  TRIM(
    REGEXEXTRACT(
      SUBSTITUTE(J234,""%20"",""""),
      ""destination=-?[0-9.]+,(-?[0-9.]+)""
    )
  ),
"""")
"),"36.8799036")</f>
        <v>36.8799036</v>
      </c>
      <c r="J234" s="5" t="s">
        <v>1053</v>
      </c>
    </row>
    <row r="235" spans="1:10" x14ac:dyDescent="0.2">
      <c r="A235" s="3" t="s">
        <v>1149</v>
      </c>
      <c r="B235" s="3" t="s">
        <v>1150</v>
      </c>
      <c r="C235" s="3" t="s">
        <v>1151</v>
      </c>
      <c r="D235" s="2" t="s">
        <v>1152</v>
      </c>
      <c r="E235" s="3" t="s">
        <v>1153</v>
      </c>
      <c r="F235" s="3"/>
      <c r="G235" s="3">
        <f t="shared" si="1"/>
        <v>0</v>
      </c>
      <c r="H235" s="3" t="str">
        <f ca="1">IFERROR(__xludf.DUMMYFUNCTION("IFERROR(
  TRIM(
    REGEXEXTRACT(
      SUBSTITUTE(J235,""%20"",""""),
      ""destination=(-?[0-9.]+)""
    )
  ),
"""")
"),"-1.2809713")</f>
        <v>-1.2809713</v>
      </c>
      <c r="I235" s="4" t="str">
        <f ca="1">IFERROR(__xludf.DUMMYFUNCTION("IFERROR(
  TRIM(
    REGEXEXTRACT(
      SUBSTITUTE(J235,""%20"",""""),
      ""destination=-?[0-9.]+,(-?[0-9.]+)""
    )
  ),
"""")
"),"36.8212399")</f>
        <v>36.8212399</v>
      </c>
      <c r="J235" s="5" t="s">
        <v>1154</v>
      </c>
    </row>
    <row r="236" spans="1:10" x14ac:dyDescent="0.2">
      <c r="A236" s="3" t="s">
        <v>1155</v>
      </c>
      <c r="B236" s="3" t="s">
        <v>1156</v>
      </c>
      <c r="C236" s="3" t="s">
        <v>1157</v>
      </c>
      <c r="D236" s="2" t="s">
        <v>1158</v>
      </c>
      <c r="E236" s="3" t="s">
        <v>1153</v>
      </c>
      <c r="F236" s="3"/>
      <c r="G236" s="3">
        <f t="shared" si="1"/>
        <v>0</v>
      </c>
      <c r="H236" s="3" t="str">
        <f ca="1">IFERROR(__xludf.DUMMYFUNCTION("IFERROR(
  TRIM(
    REGEXEXTRACT(
      SUBSTITUTE(J236,""%20"",""""),
      ""destination=(-?[0-9.]+)""
    )
  ),
"""")
"),"-1.2864403")</f>
        <v>-1.2864403</v>
      </c>
      <c r="I236" s="4" t="str">
        <f ca="1">IFERROR(__xludf.DUMMYFUNCTION("IFERROR(
  TRIM(
    REGEXEXTRACT(
      SUBSTITUTE(J236,""%20"",""""),
      ""destination=-?[0-9.]+,(-?[0-9.]+)""
    )
  ),
"""")
"),"36.7452228")</f>
        <v>36.7452228</v>
      </c>
      <c r="J236" s="5" t="s">
        <v>1159</v>
      </c>
    </row>
    <row r="237" spans="1:10" x14ac:dyDescent="0.2">
      <c r="A237" s="3" t="s">
        <v>1160</v>
      </c>
      <c r="B237" s="3" t="s">
        <v>1156</v>
      </c>
      <c r="C237" s="3" t="s">
        <v>912</v>
      </c>
      <c r="D237" s="2" t="s">
        <v>1161</v>
      </c>
      <c r="E237" s="3" t="s">
        <v>1153</v>
      </c>
      <c r="F237" s="3"/>
      <c r="G237" s="3">
        <f t="shared" si="1"/>
        <v>0</v>
      </c>
      <c r="H237" s="3" t="str">
        <f ca="1">IFERROR(__xludf.DUMMYFUNCTION("IFERROR(
  TRIM(
    REGEXEXTRACT(
      SUBSTITUTE(J237,""%20"",""""),
      ""destination=(-?[0-9.]+)""
    )
  ),
"""")
"),"-1.293801")</f>
        <v>-1.293801</v>
      </c>
      <c r="I237" s="4" t="str">
        <f ca="1">IFERROR(__xludf.DUMMYFUNCTION("IFERROR(
  TRIM(
    REGEXEXTRACT(
      SUBSTITUTE(J237,""%20"",""""),
      ""destination=-?[0-9.]+,(-?[0-9.]+)""
    )
  ),
"""")
"),"36.795243")</f>
        <v>36.795243</v>
      </c>
      <c r="J237" s="5" t="s">
        <v>914</v>
      </c>
    </row>
    <row r="238" spans="1:10" x14ac:dyDescent="0.2">
      <c r="A238" s="19"/>
      <c r="B238" s="19"/>
      <c r="C238" s="19"/>
      <c r="D238" s="20"/>
      <c r="E238" s="19"/>
      <c r="F238" s="19"/>
      <c r="G238" s="19"/>
      <c r="H238" s="19"/>
      <c r="I238" s="19"/>
      <c r="J238" s="19"/>
    </row>
    <row r="239" spans="1:10" x14ac:dyDescent="0.2">
      <c r="A239" s="19"/>
      <c r="B239" s="19"/>
      <c r="C239" s="19"/>
      <c r="D239" s="20"/>
      <c r="E239" s="19"/>
      <c r="F239" s="19"/>
      <c r="G239" s="19"/>
      <c r="H239" s="19"/>
      <c r="I239" s="19"/>
      <c r="J239" s="19"/>
    </row>
    <row r="240" spans="1:10" x14ac:dyDescent="0.2">
      <c r="A240" s="19"/>
      <c r="B240" s="19"/>
      <c r="C240" s="19"/>
      <c r="D240" s="20"/>
      <c r="E240" s="19"/>
      <c r="F240" s="19"/>
      <c r="G240" s="19"/>
      <c r="H240" s="19"/>
      <c r="I240" s="19"/>
      <c r="J240" s="19"/>
    </row>
    <row r="241" spans="1:10" x14ac:dyDescent="0.2">
      <c r="A241" s="19"/>
      <c r="B241" s="19"/>
      <c r="C241" s="19"/>
      <c r="D241" s="20"/>
      <c r="E241" s="19"/>
      <c r="F241" s="19"/>
      <c r="G241" s="19"/>
      <c r="H241" s="19"/>
      <c r="I241" s="19"/>
      <c r="J241" s="19"/>
    </row>
    <row r="242" spans="1:10" x14ac:dyDescent="0.2">
      <c r="A242" s="19"/>
      <c r="B242" s="19"/>
      <c r="C242" s="19"/>
      <c r="D242" s="20"/>
      <c r="E242" s="19"/>
      <c r="F242" s="19"/>
      <c r="G242" s="19"/>
      <c r="H242" s="19"/>
      <c r="I242" s="19"/>
      <c r="J242" s="19"/>
    </row>
    <row r="243" spans="1:10" x14ac:dyDescent="0.2">
      <c r="A243" s="19"/>
      <c r="B243" s="19"/>
      <c r="C243" s="19"/>
      <c r="D243" s="20"/>
      <c r="E243" s="19"/>
      <c r="F243" s="19"/>
      <c r="G243" s="19"/>
      <c r="H243" s="19"/>
      <c r="I243" s="19"/>
      <c r="J243" s="19"/>
    </row>
    <row r="244" spans="1:10" x14ac:dyDescent="0.2">
      <c r="A244" s="19"/>
      <c r="B244" s="19"/>
      <c r="C244" s="19"/>
      <c r="D244" s="20"/>
      <c r="E244" s="19"/>
      <c r="F244" s="19"/>
      <c r="G244" s="19"/>
      <c r="H244" s="19"/>
      <c r="I244" s="19"/>
      <c r="J244" s="19"/>
    </row>
    <row r="245" spans="1:10" x14ac:dyDescent="0.2">
      <c r="A245" s="19"/>
      <c r="B245" s="19"/>
      <c r="C245" s="19"/>
      <c r="D245" s="20"/>
      <c r="E245" s="19"/>
      <c r="F245" s="19"/>
      <c r="G245" s="19"/>
      <c r="H245" s="19"/>
      <c r="I245" s="19"/>
      <c r="J245" s="19"/>
    </row>
    <row r="246" spans="1:10" x14ac:dyDescent="0.2">
      <c r="A246" s="19"/>
      <c r="B246" s="19"/>
      <c r="C246" s="19"/>
      <c r="D246" s="20"/>
      <c r="E246" s="19"/>
      <c r="F246" s="19"/>
      <c r="G246" s="19"/>
      <c r="H246" s="19"/>
      <c r="I246" s="19"/>
      <c r="J246" s="19"/>
    </row>
    <row r="247" spans="1:10" x14ac:dyDescent="0.2">
      <c r="A247" s="19"/>
      <c r="B247" s="19"/>
      <c r="C247" s="19"/>
      <c r="D247" s="20"/>
      <c r="E247" s="19"/>
      <c r="F247" s="19"/>
      <c r="G247" s="19"/>
      <c r="H247" s="19"/>
      <c r="I247" s="19"/>
      <c r="J247" s="19"/>
    </row>
    <row r="248" spans="1:10" x14ac:dyDescent="0.2">
      <c r="A248" s="19"/>
      <c r="B248" s="19"/>
      <c r="C248" s="19"/>
      <c r="D248" s="20"/>
      <c r="E248" s="19"/>
      <c r="F248" s="19"/>
      <c r="G248" s="19"/>
      <c r="H248" s="19"/>
      <c r="I248" s="19"/>
      <c r="J248" s="19"/>
    </row>
    <row r="249" spans="1:10" x14ac:dyDescent="0.2">
      <c r="A249" s="19"/>
      <c r="B249" s="19"/>
      <c r="C249" s="19"/>
      <c r="D249" s="20"/>
      <c r="E249" s="19"/>
      <c r="F249" s="19"/>
      <c r="G249" s="19"/>
      <c r="H249" s="19"/>
      <c r="I249" s="19"/>
      <c r="J249" s="19"/>
    </row>
    <row r="250" spans="1:10" x14ac:dyDescent="0.2">
      <c r="A250" s="19"/>
      <c r="B250" s="19"/>
      <c r="C250" s="19"/>
      <c r="D250" s="20"/>
      <c r="E250" s="19"/>
      <c r="F250" s="19"/>
      <c r="G250" s="19"/>
      <c r="H250" s="19"/>
      <c r="I250" s="19"/>
      <c r="J250" s="19"/>
    </row>
    <row r="251" spans="1:10" x14ac:dyDescent="0.2">
      <c r="A251" s="19"/>
      <c r="B251" s="19"/>
      <c r="C251" s="19"/>
      <c r="D251" s="20"/>
      <c r="E251" s="19"/>
      <c r="F251" s="19"/>
      <c r="G251" s="19"/>
      <c r="H251" s="19"/>
      <c r="I251" s="19"/>
      <c r="J251" s="19"/>
    </row>
    <row r="252" spans="1:10" x14ac:dyDescent="0.2">
      <c r="A252" s="19"/>
      <c r="B252" s="19"/>
      <c r="C252" s="19"/>
      <c r="D252" s="20"/>
      <c r="E252" s="19"/>
      <c r="F252" s="19"/>
      <c r="G252" s="19"/>
      <c r="H252" s="19"/>
      <c r="I252" s="19"/>
      <c r="J252" s="19"/>
    </row>
    <row r="253" spans="1:10" x14ac:dyDescent="0.2">
      <c r="A253" s="19"/>
      <c r="B253" s="19"/>
      <c r="C253" s="19"/>
      <c r="D253" s="20"/>
      <c r="E253" s="19"/>
      <c r="F253" s="19"/>
      <c r="G253" s="19"/>
      <c r="H253" s="19"/>
      <c r="I253" s="19"/>
      <c r="J253" s="19"/>
    </row>
    <row r="254" spans="1:10" x14ac:dyDescent="0.2">
      <c r="A254" s="19"/>
      <c r="B254" s="19"/>
      <c r="C254" s="19"/>
      <c r="D254" s="20"/>
      <c r="E254" s="19"/>
      <c r="F254" s="19"/>
      <c r="G254" s="19"/>
      <c r="H254" s="19"/>
      <c r="I254" s="19"/>
      <c r="J254" s="19"/>
    </row>
    <row r="255" spans="1:10" x14ac:dyDescent="0.2">
      <c r="A255" s="19"/>
      <c r="B255" s="19"/>
      <c r="C255" s="19"/>
      <c r="D255" s="20"/>
      <c r="E255" s="19"/>
      <c r="F255" s="19"/>
      <c r="G255" s="19"/>
      <c r="H255" s="19"/>
      <c r="I255" s="19"/>
      <c r="J255" s="19"/>
    </row>
    <row r="256" spans="1:10" x14ac:dyDescent="0.2">
      <c r="A256" s="19"/>
      <c r="B256" s="19"/>
      <c r="C256" s="19"/>
      <c r="D256" s="20"/>
      <c r="E256" s="19"/>
      <c r="F256" s="19"/>
      <c r="G256" s="19"/>
      <c r="H256" s="19"/>
      <c r="I256" s="19"/>
      <c r="J256" s="19"/>
    </row>
    <row r="257" spans="1:10" x14ac:dyDescent="0.2">
      <c r="A257" s="19"/>
      <c r="B257" s="19"/>
      <c r="C257" s="19"/>
      <c r="D257" s="20"/>
      <c r="E257" s="19"/>
      <c r="F257" s="19"/>
      <c r="G257" s="19"/>
      <c r="H257" s="19"/>
      <c r="I257" s="19"/>
      <c r="J257" s="19"/>
    </row>
    <row r="258" spans="1:10" x14ac:dyDescent="0.2">
      <c r="A258" s="19"/>
      <c r="B258" s="19"/>
      <c r="C258" s="19"/>
      <c r="D258" s="20"/>
      <c r="E258" s="19"/>
      <c r="F258" s="19"/>
      <c r="G258" s="19"/>
      <c r="H258" s="19"/>
      <c r="I258" s="19"/>
      <c r="J258" s="19"/>
    </row>
    <row r="259" spans="1:10" x14ac:dyDescent="0.2">
      <c r="A259" s="19"/>
      <c r="B259" s="19"/>
      <c r="C259" s="19"/>
      <c r="D259" s="20"/>
      <c r="E259" s="19"/>
      <c r="F259" s="19"/>
      <c r="G259" s="19"/>
      <c r="H259" s="19"/>
      <c r="I259" s="19"/>
      <c r="J259" s="19"/>
    </row>
    <row r="260" spans="1:10" x14ac:dyDescent="0.2">
      <c r="A260" s="19"/>
      <c r="B260" s="19"/>
      <c r="C260" s="19"/>
      <c r="D260" s="20"/>
      <c r="E260" s="19"/>
      <c r="F260" s="19"/>
      <c r="G260" s="19"/>
      <c r="H260" s="19"/>
      <c r="I260" s="19"/>
      <c r="J260" s="19"/>
    </row>
    <row r="261" spans="1:10" x14ac:dyDescent="0.2">
      <c r="A261" s="19"/>
      <c r="B261" s="19"/>
      <c r="C261" s="19"/>
      <c r="D261" s="20"/>
      <c r="E261" s="19"/>
      <c r="F261" s="19"/>
      <c r="G261" s="19"/>
      <c r="H261" s="19"/>
      <c r="I261" s="19"/>
      <c r="J261" s="19"/>
    </row>
    <row r="262" spans="1:10" x14ac:dyDescent="0.2">
      <c r="A262" s="19"/>
      <c r="B262" s="19"/>
      <c r="C262" s="19"/>
      <c r="D262" s="20"/>
      <c r="E262" s="19"/>
      <c r="F262" s="19"/>
      <c r="G262" s="19"/>
      <c r="H262" s="19"/>
      <c r="I262" s="19"/>
      <c r="J262" s="19"/>
    </row>
    <row r="263" spans="1:10" x14ac:dyDescent="0.2">
      <c r="A263" s="19"/>
      <c r="B263" s="19"/>
      <c r="C263" s="19"/>
      <c r="D263" s="20"/>
      <c r="E263" s="19"/>
      <c r="F263" s="19"/>
      <c r="G263" s="19"/>
      <c r="H263" s="19"/>
      <c r="I263" s="19"/>
      <c r="J263" s="19"/>
    </row>
    <row r="264" spans="1:10" x14ac:dyDescent="0.2">
      <c r="A264" s="19"/>
      <c r="B264" s="19"/>
      <c r="C264" s="19"/>
      <c r="D264" s="20"/>
      <c r="E264" s="19"/>
      <c r="F264" s="19"/>
      <c r="G264" s="19"/>
      <c r="H264" s="19"/>
      <c r="I264" s="19"/>
      <c r="J264" s="19"/>
    </row>
    <row r="265" spans="1:10" x14ac:dyDescent="0.2">
      <c r="A265" s="19"/>
      <c r="B265" s="19"/>
      <c r="C265" s="19"/>
      <c r="D265" s="20"/>
      <c r="E265" s="19"/>
      <c r="F265" s="19"/>
      <c r="G265" s="19"/>
      <c r="H265" s="19"/>
      <c r="I265" s="19"/>
      <c r="J265" s="19"/>
    </row>
    <row r="266" spans="1:10" x14ac:dyDescent="0.2">
      <c r="A266" s="19"/>
      <c r="B266" s="19"/>
      <c r="C266" s="19"/>
      <c r="D266" s="20"/>
      <c r="E266" s="19"/>
      <c r="F266" s="19"/>
      <c r="G266" s="19"/>
      <c r="H266" s="19"/>
      <c r="I266" s="19"/>
      <c r="J266" s="19"/>
    </row>
    <row r="267" spans="1:10" x14ac:dyDescent="0.2">
      <c r="A267" s="19"/>
      <c r="B267" s="19"/>
      <c r="C267" s="19"/>
      <c r="D267" s="20"/>
      <c r="E267" s="19"/>
      <c r="F267" s="19"/>
      <c r="G267" s="19"/>
      <c r="H267" s="19"/>
      <c r="I267" s="19"/>
      <c r="J267" s="19"/>
    </row>
    <row r="268" spans="1:10" x14ac:dyDescent="0.2">
      <c r="A268" s="19"/>
      <c r="B268" s="19"/>
      <c r="C268" s="19"/>
      <c r="D268" s="20"/>
      <c r="E268" s="19"/>
      <c r="F268" s="19"/>
      <c r="G268" s="19"/>
      <c r="H268" s="19"/>
      <c r="I268" s="19"/>
      <c r="J268" s="19"/>
    </row>
    <row r="269" spans="1:10" x14ac:dyDescent="0.2">
      <c r="A269" s="19"/>
      <c r="B269" s="19"/>
      <c r="C269" s="19"/>
      <c r="D269" s="20"/>
      <c r="E269" s="19"/>
      <c r="F269" s="19"/>
      <c r="G269" s="19"/>
      <c r="H269" s="19"/>
      <c r="I269" s="19"/>
      <c r="J269" s="19"/>
    </row>
    <row r="270" spans="1:10" x14ac:dyDescent="0.2">
      <c r="A270" s="19"/>
      <c r="B270" s="19"/>
      <c r="C270" s="19"/>
      <c r="D270" s="20"/>
      <c r="E270" s="19"/>
      <c r="F270" s="19"/>
      <c r="G270" s="19"/>
      <c r="H270" s="19"/>
      <c r="I270" s="19"/>
      <c r="J270" s="19"/>
    </row>
    <row r="271" spans="1:10" x14ac:dyDescent="0.2">
      <c r="A271" s="19"/>
      <c r="B271" s="19"/>
      <c r="C271" s="19"/>
      <c r="D271" s="20"/>
      <c r="E271" s="19"/>
      <c r="F271" s="19"/>
      <c r="G271" s="19"/>
      <c r="H271" s="19"/>
      <c r="I271" s="19"/>
      <c r="J271" s="19"/>
    </row>
    <row r="272" spans="1:10" x14ac:dyDescent="0.2">
      <c r="A272" s="19"/>
      <c r="B272" s="19"/>
      <c r="C272" s="19"/>
      <c r="D272" s="20"/>
      <c r="E272" s="19"/>
      <c r="F272" s="19"/>
      <c r="G272" s="19"/>
      <c r="H272" s="19"/>
      <c r="I272" s="19"/>
      <c r="J272" s="19"/>
    </row>
    <row r="273" spans="1:10" x14ac:dyDescent="0.2">
      <c r="A273" s="19"/>
      <c r="B273" s="19"/>
      <c r="C273" s="19"/>
      <c r="D273" s="20"/>
      <c r="E273" s="19"/>
      <c r="F273" s="19"/>
      <c r="G273" s="19"/>
      <c r="H273" s="19"/>
      <c r="I273" s="19"/>
      <c r="J273" s="19"/>
    </row>
    <row r="274" spans="1:10" x14ac:dyDescent="0.2">
      <c r="A274" s="19"/>
      <c r="B274" s="19"/>
      <c r="C274" s="19"/>
      <c r="D274" s="20"/>
      <c r="E274" s="19"/>
      <c r="F274" s="19"/>
      <c r="G274" s="19"/>
      <c r="H274" s="19"/>
      <c r="I274" s="19"/>
      <c r="J274" s="19"/>
    </row>
    <row r="275" spans="1:10" x14ac:dyDescent="0.2">
      <c r="A275" s="19"/>
      <c r="B275" s="19"/>
      <c r="C275" s="19"/>
      <c r="D275" s="20"/>
      <c r="E275" s="19"/>
      <c r="F275" s="19"/>
      <c r="G275" s="19"/>
      <c r="H275" s="19"/>
      <c r="I275" s="19"/>
      <c r="J275" s="19"/>
    </row>
    <row r="276" spans="1:10" x14ac:dyDescent="0.2">
      <c r="A276" s="19"/>
      <c r="B276" s="19"/>
      <c r="C276" s="19"/>
      <c r="D276" s="20"/>
      <c r="E276" s="19"/>
      <c r="F276" s="19"/>
      <c r="G276" s="19"/>
      <c r="H276" s="19"/>
      <c r="I276" s="19"/>
      <c r="J276" s="19"/>
    </row>
    <row r="277" spans="1:10" x14ac:dyDescent="0.2">
      <c r="A277" s="19"/>
      <c r="B277" s="19"/>
      <c r="C277" s="19"/>
      <c r="D277" s="20"/>
      <c r="E277" s="19"/>
      <c r="F277" s="19"/>
      <c r="G277" s="19"/>
      <c r="H277" s="19"/>
      <c r="I277" s="19"/>
      <c r="J277" s="19"/>
    </row>
    <row r="278" spans="1:10" x14ac:dyDescent="0.2">
      <c r="A278" s="19"/>
      <c r="B278" s="19"/>
      <c r="C278" s="19"/>
      <c r="D278" s="20"/>
      <c r="E278" s="19"/>
      <c r="F278" s="19"/>
      <c r="G278" s="19"/>
      <c r="H278" s="19"/>
      <c r="I278" s="19"/>
      <c r="J278" s="19"/>
    </row>
    <row r="279" spans="1:10" x14ac:dyDescent="0.2">
      <c r="A279" s="19"/>
      <c r="B279" s="19"/>
      <c r="C279" s="19"/>
      <c r="D279" s="20"/>
      <c r="E279" s="19"/>
      <c r="F279" s="19"/>
      <c r="G279" s="19"/>
      <c r="H279" s="19"/>
      <c r="I279" s="19"/>
      <c r="J279" s="19"/>
    </row>
    <row r="280" spans="1:10" x14ac:dyDescent="0.2">
      <c r="A280" s="19"/>
      <c r="B280" s="19"/>
      <c r="C280" s="19"/>
      <c r="D280" s="20"/>
      <c r="E280" s="19"/>
      <c r="F280" s="19"/>
      <c r="G280" s="19"/>
      <c r="H280" s="19"/>
      <c r="I280" s="19"/>
      <c r="J280" s="19"/>
    </row>
    <row r="281" spans="1:10" x14ac:dyDescent="0.2">
      <c r="A281" s="19"/>
      <c r="B281" s="19"/>
      <c r="C281" s="19"/>
      <c r="D281" s="20"/>
      <c r="E281" s="19"/>
      <c r="F281" s="19"/>
      <c r="G281" s="19"/>
      <c r="H281" s="19"/>
      <c r="I281" s="19"/>
      <c r="J281" s="19"/>
    </row>
    <row r="282" spans="1:10" x14ac:dyDescent="0.2">
      <c r="A282" s="19"/>
      <c r="B282" s="19"/>
      <c r="C282" s="19"/>
      <c r="D282" s="20"/>
      <c r="E282" s="19"/>
      <c r="F282" s="19"/>
      <c r="G282" s="19"/>
      <c r="H282" s="19"/>
      <c r="I282" s="19"/>
      <c r="J282" s="19"/>
    </row>
    <row r="283" spans="1:10" x14ac:dyDescent="0.2">
      <c r="A283" s="19"/>
      <c r="B283" s="19"/>
      <c r="C283" s="19"/>
      <c r="D283" s="20"/>
      <c r="E283" s="19"/>
      <c r="F283" s="19"/>
      <c r="G283" s="19"/>
      <c r="H283" s="19"/>
      <c r="I283" s="19"/>
      <c r="J283" s="19"/>
    </row>
    <row r="284" spans="1:10" x14ac:dyDescent="0.2">
      <c r="A284" s="19"/>
      <c r="B284" s="19"/>
      <c r="C284" s="19"/>
      <c r="D284" s="20"/>
      <c r="E284" s="19"/>
      <c r="F284" s="19"/>
      <c r="G284" s="19"/>
      <c r="H284" s="19"/>
      <c r="I284" s="19"/>
      <c r="J284" s="19"/>
    </row>
    <row r="285" spans="1:10" x14ac:dyDescent="0.2">
      <c r="A285" s="19"/>
      <c r="B285" s="19"/>
      <c r="C285" s="19"/>
      <c r="D285" s="20"/>
      <c r="E285" s="19"/>
      <c r="F285" s="19"/>
      <c r="G285" s="19"/>
      <c r="H285" s="19"/>
      <c r="I285" s="19"/>
      <c r="J285" s="19"/>
    </row>
    <row r="286" spans="1:10" x14ac:dyDescent="0.2">
      <c r="A286" s="19"/>
      <c r="B286" s="19"/>
      <c r="C286" s="19"/>
      <c r="D286" s="20"/>
      <c r="E286" s="19"/>
      <c r="F286" s="19"/>
      <c r="G286" s="19"/>
      <c r="H286" s="19"/>
      <c r="I286" s="19"/>
      <c r="J286" s="19"/>
    </row>
    <row r="287" spans="1:10" x14ac:dyDescent="0.2">
      <c r="A287" s="19"/>
      <c r="B287" s="19"/>
      <c r="C287" s="19"/>
      <c r="D287" s="20"/>
      <c r="E287" s="19"/>
      <c r="F287" s="19"/>
      <c r="G287" s="19"/>
      <c r="H287" s="19"/>
      <c r="I287" s="19"/>
      <c r="J287" s="19"/>
    </row>
    <row r="288" spans="1:10" x14ac:dyDescent="0.2">
      <c r="A288" s="19"/>
      <c r="B288" s="19"/>
      <c r="C288" s="19"/>
      <c r="D288" s="20"/>
      <c r="E288" s="19"/>
      <c r="F288" s="19"/>
      <c r="G288" s="19"/>
      <c r="H288" s="19"/>
      <c r="I288" s="19"/>
      <c r="J288" s="19"/>
    </row>
    <row r="289" spans="1:10" x14ac:dyDescent="0.2">
      <c r="A289" s="19"/>
      <c r="B289" s="19"/>
      <c r="C289" s="19"/>
      <c r="D289" s="20"/>
      <c r="E289" s="19"/>
      <c r="F289" s="19"/>
      <c r="G289" s="19"/>
      <c r="H289" s="19"/>
      <c r="I289" s="19"/>
      <c r="J289" s="19"/>
    </row>
    <row r="290" spans="1:10" x14ac:dyDescent="0.2">
      <c r="A290" s="19"/>
      <c r="B290" s="19"/>
      <c r="C290" s="19"/>
      <c r="D290" s="20"/>
      <c r="E290" s="19"/>
      <c r="F290" s="19"/>
      <c r="G290" s="19"/>
      <c r="H290" s="19"/>
      <c r="I290" s="19"/>
      <c r="J290" s="19"/>
    </row>
    <row r="291" spans="1:10" x14ac:dyDescent="0.2">
      <c r="A291" s="19"/>
      <c r="B291" s="19"/>
      <c r="C291" s="19"/>
      <c r="D291" s="20"/>
      <c r="E291" s="19"/>
      <c r="F291" s="19"/>
      <c r="G291" s="19"/>
      <c r="H291" s="19"/>
      <c r="I291" s="19"/>
      <c r="J291" s="19"/>
    </row>
    <row r="292" spans="1:10" x14ac:dyDescent="0.2">
      <c r="A292" s="19"/>
      <c r="B292" s="19"/>
      <c r="C292" s="19"/>
      <c r="D292" s="20"/>
      <c r="E292" s="19"/>
      <c r="F292" s="19"/>
      <c r="G292" s="19"/>
      <c r="H292" s="19"/>
      <c r="I292" s="19"/>
      <c r="J292" s="19"/>
    </row>
    <row r="293" spans="1:10" x14ac:dyDescent="0.2">
      <c r="A293" s="19"/>
      <c r="B293" s="19"/>
      <c r="C293" s="19"/>
      <c r="D293" s="20"/>
      <c r="E293" s="19"/>
      <c r="F293" s="19"/>
      <c r="G293" s="19"/>
      <c r="H293" s="19"/>
      <c r="I293" s="19"/>
      <c r="J293" s="19"/>
    </row>
    <row r="294" spans="1:10" x14ac:dyDescent="0.2">
      <c r="A294" s="19"/>
      <c r="B294" s="19"/>
      <c r="C294" s="19"/>
      <c r="D294" s="20"/>
      <c r="E294" s="19"/>
      <c r="F294" s="19"/>
      <c r="G294" s="19"/>
      <c r="H294" s="19"/>
      <c r="I294" s="19"/>
      <c r="J294" s="19"/>
    </row>
    <row r="295" spans="1:10" x14ac:dyDescent="0.2">
      <c r="A295" s="19"/>
      <c r="B295" s="19"/>
      <c r="C295" s="19"/>
      <c r="D295" s="20"/>
      <c r="E295" s="19"/>
      <c r="F295" s="19"/>
      <c r="G295" s="19"/>
      <c r="H295" s="19"/>
      <c r="I295" s="19"/>
      <c r="J295" s="19"/>
    </row>
    <row r="296" spans="1:10" x14ac:dyDescent="0.2">
      <c r="A296" s="19"/>
      <c r="B296" s="19"/>
      <c r="C296" s="19"/>
      <c r="D296" s="20"/>
      <c r="E296" s="19"/>
      <c r="F296" s="19"/>
      <c r="G296" s="19"/>
      <c r="H296" s="19"/>
      <c r="I296" s="19"/>
      <c r="J296" s="19"/>
    </row>
    <row r="297" spans="1:10" x14ac:dyDescent="0.2">
      <c r="A297" s="19"/>
      <c r="B297" s="19"/>
      <c r="C297" s="19"/>
      <c r="D297" s="20"/>
      <c r="E297" s="19"/>
      <c r="F297" s="19"/>
      <c r="G297" s="19"/>
      <c r="H297" s="19"/>
      <c r="I297" s="19"/>
      <c r="J297" s="19"/>
    </row>
    <row r="298" spans="1:10" x14ac:dyDescent="0.2">
      <c r="A298" s="19"/>
      <c r="B298" s="19"/>
      <c r="C298" s="19"/>
      <c r="D298" s="20"/>
      <c r="E298" s="19"/>
      <c r="F298" s="19"/>
      <c r="G298" s="19"/>
      <c r="H298" s="19"/>
      <c r="I298" s="19"/>
      <c r="J298" s="19"/>
    </row>
    <row r="299" spans="1:10" x14ac:dyDescent="0.2">
      <c r="A299" s="19"/>
      <c r="B299" s="19"/>
      <c r="C299" s="19"/>
      <c r="D299" s="20"/>
      <c r="E299" s="19"/>
      <c r="F299" s="19"/>
      <c r="G299" s="19"/>
      <c r="H299" s="19"/>
      <c r="I299" s="19"/>
      <c r="J299" s="19"/>
    </row>
    <row r="300" spans="1:10" x14ac:dyDescent="0.2">
      <c r="A300" s="19"/>
      <c r="B300" s="19"/>
      <c r="C300" s="19"/>
      <c r="D300" s="20"/>
      <c r="E300" s="19"/>
      <c r="F300" s="19"/>
      <c r="G300" s="19"/>
      <c r="H300" s="19"/>
      <c r="I300" s="19"/>
      <c r="J300" s="19"/>
    </row>
    <row r="301" spans="1:10" x14ac:dyDescent="0.2">
      <c r="A301" s="19"/>
      <c r="B301" s="19"/>
      <c r="C301" s="19"/>
      <c r="D301" s="20"/>
      <c r="E301" s="19"/>
      <c r="F301" s="19"/>
      <c r="G301" s="19"/>
      <c r="H301" s="19"/>
      <c r="I301" s="19"/>
      <c r="J301" s="19"/>
    </row>
    <row r="302" spans="1:10" x14ac:dyDescent="0.2">
      <c r="A302" s="19"/>
      <c r="B302" s="19"/>
      <c r="C302" s="19"/>
      <c r="D302" s="20"/>
      <c r="E302" s="19"/>
      <c r="F302" s="19"/>
      <c r="G302" s="19"/>
      <c r="H302" s="19"/>
      <c r="I302" s="19"/>
      <c r="J302" s="19"/>
    </row>
    <row r="303" spans="1:10" x14ac:dyDescent="0.2">
      <c r="A303" s="19"/>
      <c r="B303" s="19"/>
      <c r="C303" s="19"/>
      <c r="D303" s="20"/>
      <c r="E303" s="19"/>
      <c r="F303" s="19"/>
      <c r="G303" s="19"/>
      <c r="H303" s="19"/>
      <c r="I303" s="19"/>
      <c r="J303" s="19"/>
    </row>
    <row r="304" spans="1:10" x14ac:dyDescent="0.2">
      <c r="A304" s="19"/>
      <c r="B304" s="19"/>
      <c r="C304" s="19"/>
      <c r="D304" s="20"/>
      <c r="E304" s="19"/>
      <c r="F304" s="19"/>
      <c r="G304" s="19"/>
      <c r="H304" s="19"/>
      <c r="I304" s="19"/>
      <c r="J304" s="19"/>
    </row>
    <row r="305" spans="1:10" x14ac:dyDescent="0.2">
      <c r="A305" s="19"/>
      <c r="B305" s="19"/>
      <c r="C305" s="19"/>
      <c r="D305" s="20"/>
      <c r="E305" s="19"/>
      <c r="F305" s="19"/>
      <c r="G305" s="19"/>
      <c r="H305" s="19"/>
      <c r="I305" s="19"/>
      <c r="J305" s="19"/>
    </row>
    <row r="306" spans="1:10" x14ac:dyDescent="0.2">
      <c r="A306" s="19"/>
      <c r="B306" s="19"/>
      <c r="C306" s="19"/>
      <c r="D306" s="20"/>
      <c r="E306" s="19"/>
      <c r="F306" s="19"/>
      <c r="G306" s="19"/>
      <c r="H306" s="19"/>
      <c r="I306" s="19"/>
      <c r="J306" s="19"/>
    </row>
    <row r="307" spans="1:10" x14ac:dyDescent="0.2">
      <c r="A307" s="19"/>
      <c r="B307" s="19"/>
      <c r="C307" s="19"/>
      <c r="D307" s="20"/>
      <c r="E307" s="19"/>
      <c r="F307" s="19"/>
      <c r="G307" s="19"/>
      <c r="H307" s="19"/>
      <c r="I307" s="19"/>
      <c r="J307" s="19"/>
    </row>
    <row r="308" spans="1:10" x14ac:dyDescent="0.2">
      <c r="A308" s="19"/>
      <c r="B308" s="19"/>
      <c r="C308" s="19"/>
      <c r="D308" s="20"/>
      <c r="E308" s="19"/>
      <c r="F308" s="19"/>
      <c r="G308" s="19"/>
      <c r="H308" s="19"/>
      <c r="I308" s="19"/>
      <c r="J308" s="19"/>
    </row>
    <row r="309" spans="1:10" x14ac:dyDescent="0.2">
      <c r="A309" s="19"/>
      <c r="B309" s="19"/>
      <c r="C309" s="19"/>
      <c r="D309" s="20"/>
      <c r="E309" s="19"/>
      <c r="F309" s="19"/>
      <c r="G309" s="19"/>
      <c r="H309" s="19"/>
      <c r="I309" s="19"/>
      <c r="J309" s="19"/>
    </row>
    <row r="310" spans="1:10" x14ac:dyDescent="0.2">
      <c r="A310" s="19"/>
      <c r="B310" s="19"/>
      <c r="C310" s="19"/>
      <c r="D310" s="20"/>
      <c r="E310" s="19"/>
      <c r="F310" s="19"/>
      <c r="G310" s="19"/>
      <c r="H310" s="19"/>
      <c r="I310" s="19"/>
      <c r="J310" s="19"/>
    </row>
    <row r="311" spans="1:10" x14ac:dyDescent="0.2">
      <c r="A311" s="19"/>
      <c r="B311" s="19"/>
      <c r="C311" s="19"/>
      <c r="D311" s="20"/>
      <c r="E311" s="19"/>
      <c r="F311" s="19"/>
      <c r="G311" s="19"/>
      <c r="H311" s="19"/>
      <c r="I311" s="19"/>
      <c r="J311" s="19"/>
    </row>
    <row r="312" spans="1:10" x14ac:dyDescent="0.2">
      <c r="A312" s="19"/>
      <c r="B312" s="19"/>
      <c r="C312" s="19"/>
      <c r="D312" s="20"/>
      <c r="E312" s="19"/>
      <c r="F312" s="19"/>
      <c r="G312" s="19"/>
      <c r="H312" s="19"/>
      <c r="I312" s="19"/>
      <c r="J312" s="19"/>
    </row>
    <row r="313" spans="1:10" x14ac:dyDescent="0.2">
      <c r="A313" s="19"/>
      <c r="B313" s="19"/>
      <c r="C313" s="19"/>
      <c r="D313" s="20"/>
      <c r="E313" s="19"/>
      <c r="F313" s="19"/>
      <c r="G313" s="19"/>
      <c r="H313" s="19"/>
      <c r="I313" s="19"/>
      <c r="J313" s="19"/>
    </row>
    <row r="314" spans="1:10" x14ac:dyDescent="0.2">
      <c r="A314" s="19"/>
      <c r="B314" s="19"/>
      <c r="C314" s="19"/>
      <c r="D314" s="20"/>
      <c r="E314" s="19"/>
      <c r="F314" s="19"/>
      <c r="G314" s="19"/>
      <c r="H314" s="19"/>
      <c r="I314" s="19"/>
      <c r="J314" s="19"/>
    </row>
    <row r="315" spans="1:10" x14ac:dyDescent="0.2">
      <c r="A315" s="19"/>
      <c r="B315" s="19"/>
      <c r="C315" s="19"/>
      <c r="D315" s="20"/>
      <c r="E315" s="19"/>
      <c r="F315" s="19"/>
      <c r="G315" s="19"/>
      <c r="H315" s="19"/>
      <c r="I315" s="19"/>
      <c r="J315" s="19"/>
    </row>
    <row r="316" spans="1:10" x14ac:dyDescent="0.2">
      <c r="A316" s="19"/>
      <c r="B316" s="19"/>
      <c r="C316" s="19"/>
      <c r="D316" s="20"/>
      <c r="E316" s="19"/>
      <c r="F316" s="19"/>
      <c r="G316" s="19"/>
      <c r="H316" s="19"/>
      <c r="I316" s="19"/>
      <c r="J316" s="19"/>
    </row>
    <row r="317" spans="1:10" x14ac:dyDescent="0.2">
      <c r="A317" s="19"/>
      <c r="B317" s="19"/>
      <c r="C317" s="19"/>
      <c r="D317" s="20"/>
      <c r="E317" s="19"/>
      <c r="F317" s="19"/>
      <c r="G317" s="19"/>
      <c r="H317" s="19"/>
      <c r="I317" s="19"/>
      <c r="J317" s="19"/>
    </row>
    <row r="318" spans="1:10" x14ac:dyDescent="0.2">
      <c r="A318" s="19"/>
      <c r="B318" s="19"/>
      <c r="C318" s="19"/>
      <c r="D318" s="20"/>
      <c r="E318" s="19"/>
      <c r="F318" s="19"/>
      <c r="G318" s="19"/>
      <c r="H318" s="19"/>
      <c r="I318" s="19"/>
      <c r="J318" s="19"/>
    </row>
    <row r="319" spans="1:10" x14ac:dyDescent="0.2">
      <c r="A319" s="19"/>
      <c r="B319" s="19"/>
      <c r="C319" s="19"/>
      <c r="D319" s="20"/>
      <c r="E319" s="19"/>
      <c r="F319" s="19"/>
      <c r="G319" s="19"/>
      <c r="H319" s="19"/>
      <c r="I319" s="19"/>
      <c r="J319" s="19"/>
    </row>
    <row r="320" spans="1:10" x14ac:dyDescent="0.2">
      <c r="A320" s="19"/>
      <c r="B320" s="19"/>
      <c r="C320" s="19"/>
      <c r="D320" s="20"/>
      <c r="E320" s="19"/>
      <c r="F320" s="19"/>
      <c r="G320" s="19"/>
      <c r="H320" s="19"/>
      <c r="I320" s="19"/>
      <c r="J320" s="19"/>
    </row>
    <row r="321" spans="1:10" x14ac:dyDescent="0.2">
      <c r="A321" s="19"/>
      <c r="B321" s="19"/>
      <c r="C321" s="19"/>
      <c r="D321" s="20"/>
      <c r="E321" s="19"/>
      <c r="F321" s="19"/>
      <c r="G321" s="19"/>
      <c r="H321" s="19"/>
      <c r="I321" s="19"/>
      <c r="J321" s="19"/>
    </row>
    <row r="322" spans="1:10" x14ac:dyDescent="0.2">
      <c r="A322" s="19"/>
      <c r="B322" s="19"/>
      <c r="C322" s="19"/>
      <c r="D322" s="20"/>
      <c r="E322" s="19"/>
      <c r="F322" s="19"/>
      <c r="G322" s="19"/>
      <c r="H322" s="19"/>
      <c r="I322" s="19"/>
      <c r="J322" s="19"/>
    </row>
    <row r="323" spans="1:10" x14ac:dyDescent="0.2">
      <c r="A323" s="19"/>
      <c r="B323" s="19"/>
      <c r="C323" s="19"/>
      <c r="D323" s="20"/>
      <c r="E323" s="19"/>
      <c r="F323" s="19"/>
      <c r="G323" s="19"/>
      <c r="H323" s="19"/>
      <c r="I323" s="19"/>
      <c r="J323" s="19"/>
    </row>
    <row r="324" spans="1:10" x14ac:dyDescent="0.2">
      <c r="A324" s="19"/>
      <c r="B324" s="19"/>
      <c r="C324" s="19"/>
      <c r="D324" s="20"/>
      <c r="E324" s="19"/>
      <c r="F324" s="19"/>
      <c r="G324" s="19"/>
      <c r="H324" s="19"/>
      <c r="I324" s="19"/>
      <c r="J324" s="19"/>
    </row>
    <row r="325" spans="1:10" x14ac:dyDescent="0.2">
      <c r="A325" s="19"/>
      <c r="B325" s="19"/>
      <c r="C325" s="19"/>
      <c r="D325" s="20"/>
      <c r="E325" s="19"/>
      <c r="F325" s="19"/>
      <c r="G325" s="19"/>
      <c r="H325" s="19"/>
      <c r="I325" s="19"/>
      <c r="J325" s="19"/>
    </row>
    <row r="326" spans="1:10" x14ac:dyDescent="0.2">
      <c r="A326" s="19"/>
      <c r="B326" s="19"/>
      <c r="C326" s="19"/>
      <c r="D326" s="20"/>
      <c r="E326" s="19"/>
      <c r="F326" s="19"/>
      <c r="G326" s="19"/>
      <c r="H326" s="19"/>
      <c r="I326" s="19"/>
      <c r="J326" s="19"/>
    </row>
    <row r="327" spans="1:10" x14ac:dyDescent="0.2">
      <c r="A327" s="19"/>
      <c r="B327" s="19"/>
      <c r="C327" s="19"/>
      <c r="D327" s="20"/>
      <c r="E327" s="19"/>
      <c r="F327" s="19"/>
      <c r="G327" s="19"/>
      <c r="H327" s="19"/>
      <c r="I327" s="19"/>
      <c r="J327" s="19"/>
    </row>
    <row r="328" spans="1:10" x14ac:dyDescent="0.2">
      <c r="A328" s="19"/>
      <c r="B328" s="19"/>
      <c r="C328" s="19"/>
      <c r="D328" s="20"/>
      <c r="E328" s="19"/>
      <c r="F328" s="19"/>
      <c r="G328" s="19"/>
      <c r="H328" s="19"/>
      <c r="I328" s="19"/>
      <c r="J328" s="19"/>
    </row>
    <row r="329" spans="1:10" x14ac:dyDescent="0.2">
      <c r="A329" s="19"/>
      <c r="B329" s="19"/>
      <c r="C329" s="19"/>
      <c r="D329" s="20"/>
      <c r="E329" s="19"/>
      <c r="F329" s="19"/>
      <c r="G329" s="19"/>
      <c r="H329" s="19"/>
      <c r="I329" s="19"/>
      <c r="J329" s="19"/>
    </row>
    <row r="330" spans="1:10" x14ac:dyDescent="0.2">
      <c r="A330" s="19"/>
      <c r="B330" s="19"/>
      <c r="C330" s="19"/>
      <c r="D330" s="20"/>
      <c r="E330" s="19"/>
      <c r="F330" s="19"/>
      <c r="G330" s="19"/>
      <c r="H330" s="19"/>
      <c r="I330" s="19"/>
      <c r="J330" s="19"/>
    </row>
    <row r="331" spans="1:10" x14ac:dyDescent="0.2">
      <c r="A331" s="19"/>
      <c r="B331" s="19"/>
      <c r="C331" s="19"/>
      <c r="D331" s="20"/>
      <c r="E331" s="19"/>
      <c r="F331" s="19"/>
      <c r="G331" s="19"/>
      <c r="H331" s="19"/>
      <c r="I331" s="19"/>
      <c r="J331" s="19"/>
    </row>
    <row r="332" spans="1:10" x14ac:dyDescent="0.2">
      <c r="A332" s="19"/>
      <c r="B332" s="19"/>
      <c r="C332" s="19"/>
      <c r="D332" s="20"/>
      <c r="E332" s="19"/>
      <c r="F332" s="19"/>
      <c r="G332" s="19"/>
      <c r="H332" s="19"/>
      <c r="I332" s="19"/>
      <c r="J332" s="19"/>
    </row>
    <row r="333" spans="1:10" x14ac:dyDescent="0.2">
      <c r="A333" s="19"/>
      <c r="B333" s="19"/>
      <c r="C333" s="19"/>
      <c r="D333" s="20"/>
      <c r="E333" s="19"/>
      <c r="F333" s="19"/>
      <c r="G333" s="19"/>
      <c r="H333" s="19"/>
      <c r="I333" s="19"/>
      <c r="J333" s="19"/>
    </row>
    <row r="334" spans="1:10" x14ac:dyDescent="0.2">
      <c r="A334" s="19"/>
      <c r="B334" s="19"/>
      <c r="C334" s="19"/>
      <c r="D334" s="20"/>
      <c r="E334" s="19"/>
      <c r="F334" s="19"/>
      <c r="G334" s="19"/>
      <c r="H334" s="19"/>
      <c r="I334" s="19"/>
      <c r="J334" s="19"/>
    </row>
    <row r="335" spans="1:10" x14ac:dyDescent="0.2">
      <c r="A335" s="19"/>
      <c r="B335" s="19"/>
      <c r="C335" s="19"/>
      <c r="D335" s="20"/>
      <c r="E335" s="19"/>
      <c r="F335" s="19"/>
      <c r="G335" s="19"/>
      <c r="H335" s="19"/>
      <c r="I335" s="19"/>
      <c r="J335" s="19"/>
    </row>
    <row r="336" spans="1:10" x14ac:dyDescent="0.2">
      <c r="A336" s="19"/>
      <c r="B336" s="19"/>
      <c r="C336" s="19"/>
      <c r="D336" s="20"/>
      <c r="E336" s="19"/>
      <c r="F336" s="19"/>
      <c r="G336" s="19"/>
      <c r="H336" s="19"/>
      <c r="I336" s="19"/>
      <c r="J336" s="19"/>
    </row>
    <row r="337" spans="1:10" x14ac:dyDescent="0.2">
      <c r="A337" s="19"/>
      <c r="B337" s="19"/>
      <c r="C337" s="19"/>
      <c r="D337" s="20"/>
      <c r="E337" s="19"/>
      <c r="F337" s="19"/>
      <c r="G337" s="19"/>
      <c r="H337" s="19"/>
      <c r="I337" s="19"/>
      <c r="J337" s="19"/>
    </row>
    <row r="338" spans="1:10" x14ac:dyDescent="0.2">
      <c r="A338" s="19"/>
      <c r="B338" s="19"/>
      <c r="C338" s="19"/>
      <c r="D338" s="20"/>
      <c r="E338" s="19"/>
      <c r="F338" s="19"/>
      <c r="G338" s="19"/>
      <c r="H338" s="19"/>
      <c r="I338" s="19"/>
      <c r="J338" s="19"/>
    </row>
    <row r="339" spans="1:10" x14ac:dyDescent="0.2">
      <c r="A339" s="19"/>
      <c r="B339" s="19"/>
      <c r="C339" s="19"/>
      <c r="D339" s="20"/>
      <c r="E339" s="19"/>
      <c r="F339" s="19"/>
      <c r="G339" s="19"/>
      <c r="H339" s="19"/>
      <c r="I339" s="19"/>
      <c r="J339" s="19"/>
    </row>
    <row r="340" spans="1:10" x14ac:dyDescent="0.2">
      <c r="A340" s="19"/>
      <c r="B340" s="19"/>
      <c r="C340" s="19"/>
      <c r="D340" s="20"/>
      <c r="E340" s="19"/>
      <c r="F340" s="19"/>
      <c r="G340" s="19"/>
      <c r="H340" s="19"/>
      <c r="I340" s="19"/>
      <c r="J340" s="19"/>
    </row>
    <row r="341" spans="1:10" x14ac:dyDescent="0.2">
      <c r="A341" s="19"/>
      <c r="B341" s="19"/>
      <c r="C341" s="19"/>
      <c r="D341" s="20"/>
      <c r="E341" s="19"/>
      <c r="F341" s="19"/>
      <c r="G341" s="19"/>
      <c r="H341" s="19"/>
      <c r="I341" s="19"/>
      <c r="J341" s="19"/>
    </row>
    <row r="342" spans="1:10" x14ac:dyDescent="0.2">
      <c r="A342" s="19"/>
      <c r="B342" s="19"/>
      <c r="C342" s="19"/>
      <c r="D342" s="20"/>
      <c r="E342" s="19"/>
      <c r="F342" s="19"/>
      <c r="G342" s="19"/>
      <c r="H342" s="19"/>
      <c r="I342" s="19"/>
      <c r="J342" s="19"/>
    </row>
    <row r="343" spans="1:10" x14ac:dyDescent="0.2">
      <c r="A343" s="19"/>
      <c r="B343" s="19"/>
      <c r="C343" s="19"/>
      <c r="D343" s="20"/>
      <c r="E343" s="19"/>
      <c r="F343" s="19"/>
      <c r="G343" s="19"/>
      <c r="H343" s="19"/>
      <c r="I343" s="19"/>
      <c r="J343" s="19"/>
    </row>
    <row r="344" spans="1:10" x14ac:dyDescent="0.2">
      <c r="A344" s="19"/>
      <c r="B344" s="19"/>
      <c r="C344" s="19"/>
      <c r="D344" s="20"/>
      <c r="E344" s="19"/>
      <c r="F344" s="19"/>
      <c r="G344" s="19"/>
      <c r="H344" s="19"/>
      <c r="I344" s="19"/>
      <c r="J344" s="19"/>
    </row>
    <row r="345" spans="1:10" x14ac:dyDescent="0.2">
      <c r="A345" s="19"/>
      <c r="B345" s="19"/>
      <c r="C345" s="19"/>
      <c r="D345" s="20"/>
      <c r="E345" s="19"/>
      <c r="F345" s="19"/>
      <c r="G345" s="19"/>
      <c r="H345" s="19"/>
      <c r="I345" s="19"/>
      <c r="J345" s="19"/>
    </row>
    <row r="346" spans="1:10" x14ac:dyDescent="0.2">
      <c r="A346" s="19"/>
      <c r="B346" s="19"/>
      <c r="C346" s="19"/>
      <c r="D346" s="20"/>
      <c r="E346" s="19"/>
      <c r="F346" s="19"/>
      <c r="G346" s="19"/>
      <c r="H346" s="19"/>
      <c r="I346" s="19"/>
      <c r="J346" s="19"/>
    </row>
    <row r="347" spans="1:10" x14ac:dyDescent="0.2">
      <c r="A347" s="19"/>
      <c r="B347" s="19"/>
      <c r="C347" s="19"/>
      <c r="D347" s="20"/>
      <c r="E347" s="19"/>
      <c r="F347" s="19"/>
      <c r="G347" s="19"/>
      <c r="H347" s="19"/>
      <c r="I347" s="19"/>
      <c r="J347" s="19"/>
    </row>
    <row r="348" spans="1:10" x14ac:dyDescent="0.2">
      <c r="A348" s="19"/>
      <c r="B348" s="19"/>
      <c r="C348" s="19"/>
      <c r="D348" s="20"/>
      <c r="E348" s="19"/>
      <c r="F348" s="19"/>
      <c r="G348" s="19"/>
      <c r="H348" s="19"/>
      <c r="I348" s="19"/>
      <c r="J348" s="19"/>
    </row>
    <row r="349" spans="1:10" x14ac:dyDescent="0.2">
      <c r="A349" s="19"/>
      <c r="B349" s="19"/>
      <c r="C349" s="19"/>
      <c r="D349" s="20"/>
      <c r="E349" s="19"/>
      <c r="F349" s="19"/>
      <c r="G349" s="19"/>
      <c r="H349" s="19"/>
      <c r="I349" s="19"/>
      <c r="J349" s="19"/>
    </row>
    <row r="350" spans="1:10" x14ac:dyDescent="0.2">
      <c r="A350" s="19"/>
      <c r="B350" s="19"/>
      <c r="C350" s="19"/>
      <c r="D350" s="20"/>
      <c r="E350" s="19"/>
      <c r="F350" s="19"/>
      <c r="G350" s="19"/>
      <c r="H350" s="19"/>
      <c r="I350" s="19"/>
      <c r="J350" s="19"/>
    </row>
    <row r="351" spans="1:10" x14ac:dyDescent="0.2">
      <c r="A351" s="19"/>
      <c r="B351" s="19"/>
      <c r="C351" s="19"/>
      <c r="D351" s="20"/>
      <c r="E351" s="19"/>
      <c r="F351" s="19"/>
      <c r="G351" s="19"/>
      <c r="H351" s="19"/>
      <c r="I351" s="19"/>
      <c r="J351" s="19"/>
    </row>
    <row r="352" spans="1:10" x14ac:dyDescent="0.2">
      <c r="A352" s="19"/>
      <c r="B352" s="19"/>
      <c r="C352" s="19"/>
      <c r="D352" s="20"/>
      <c r="E352" s="19"/>
      <c r="F352" s="19"/>
      <c r="G352" s="19"/>
      <c r="H352" s="19"/>
      <c r="I352" s="19"/>
      <c r="J352" s="19"/>
    </row>
    <row r="353" spans="1:10" x14ac:dyDescent="0.2">
      <c r="A353" s="19"/>
      <c r="B353" s="19"/>
      <c r="C353" s="19"/>
      <c r="D353" s="20"/>
      <c r="E353" s="19"/>
      <c r="F353" s="19"/>
      <c r="G353" s="19"/>
      <c r="H353" s="19"/>
      <c r="I353" s="19"/>
      <c r="J353" s="19"/>
    </row>
    <row r="354" spans="1:10" x14ac:dyDescent="0.2">
      <c r="A354" s="19"/>
      <c r="B354" s="19"/>
      <c r="C354" s="19"/>
      <c r="D354" s="20"/>
      <c r="E354" s="19"/>
      <c r="F354" s="19"/>
      <c r="G354" s="19"/>
      <c r="H354" s="19"/>
      <c r="I354" s="19"/>
      <c r="J354" s="19"/>
    </row>
    <row r="355" spans="1:10" x14ac:dyDescent="0.2">
      <c r="A355" s="19"/>
      <c r="B355" s="19"/>
      <c r="C355" s="19"/>
      <c r="D355" s="20"/>
      <c r="E355" s="19"/>
      <c r="F355" s="19"/>
      <c r="G355" s="19"/>
      <c r="H355" s="19"/>
      <c r="I355" s="19"/>
      <c r="J355" s="19"/>
    </row>
    <row r="356" spans="1:10" x14ac:dyDescent="0.2">
      <c r="A356" s="19"/>
      <c r="B356" s="19"/>
      <c r="C356" s="19"/>
      <c r="D356" s="20"/>
      <c r="E356" s="19"/>
      <c r="F356" s="19"/>
      <c r="G356" s="19"/>
      <c r="H356" s="19"/>
      <c r="I356" s="19"/>
      <c r="J356" s="19"/>
    </row>
    <row r="357" spans="1:10" x14ac:dyDescent="0.2">
      <c r="A357" s="19"/>
      <c r="B357" s="19"/>
      <c r="C357" s="19"/>
      <c r="D357" s="20"/>
      <c r="E357" s="19"/>
      <c r="F357" s="19"/>
      <c r="G357" s="19"/>
      <c r="H357" s="19"/>
      <c r="I357" s="19"/>
      <c r="J357" s="19"/>
    </row>
    <row r="358" spans="1:10" x14ac:dyDescent="0.2">
      <c r="A358" s="19"/>
      <c r="B358" s="19"/>
      <c r="C358" s="19"/>
      <c r="D358" s="20"/>
      <c r="E358" s="19"/>
      <c r="F358" s="19"/>
      <c r="G358" s="19"/>
      <c r="H358" s="19"/>
      <c r="I358" s="19"/>
      <c r="J358" s="19"/>
    </row>
    <row r="359" spans="1:10" x14ac:dyDescent="0.2">
      <c r="A359" s="19"/>
      <c r="B359" s="19"/>
      <c r="C359" s="19"/>
      <c r="D359" s="20"/>
      <c r="E359" s="19"/>
      <c r="F359" s="19"/>
      <c r="G359" s="19"/>
      <c r="H359" s="19"/>
      <c r="I359" s="19"/>
      <c r="J359" s="19"/>
    </row>
    <row r="360" spans="1:10" x14ac:dyDescent="0.2">
      <c r="A360" s="19"/>
      <c r="B360" s="19"/>
      <c r="C360" s="19"/>
      <c r="D360" s="20"/>
      <c r="E360" s="19"/>
      <c r="F360" s="19"/>
      <c r="G360" s="19"/>
      <c r="H360" s="19"/>
      <c r="I360" s="19"/>
      <c r="J360" s="19"/>
    </row>
    <row r="361" spans="1:10" x14ac:dyDescent="0.2">
      <c r="A361" s="19"/>
      <c r="B361" s="19"/>
      <c r="C361" s="19"/>
      <c r="D361" s="20"/>
      <c r="E361" s="19"/>
      <c r="F361" s="19"/>
      <c r="G361" s="19"/>
      <c r="H361" s="19"/>
      <c r="I361" s="19"/>
      <c r="J361" s="19"/>
    </row>
    <row r="362" spans="1:10" x14ac:dyDescent="0.2">
      <c r="A362" s="19"/>
      <c r="B362" s="19"/>
      <c r="C362" s="19"/>
      <c r="D362" s="20"/>
      <c r="E362" s="19"/>
      <c r="F362" s="19"/>
      <c r="G362" s="19"/>
      <c r="H362" s="19"/>
      <c r="I362" s="19"/>
      <c r="J362" s="19"/>
    </row>
    <row r="363" spans="1:10" x14ac:dyDescent="0.2">
      <c r="A363" s="19"/>
      <c r="B363" s="19"/>
      <c r="C363" s="19"/>
      <c r="D363" s="20"/>
      <c r="E363" s="19"/>
      <c r="F363" s="19"/>
      <c r="G363" s="19"/>
      <c r="H363" s="19"/>
      <c r="I363" s="19"/>
      <c r="J363" s="19"/>
    </row>
    <row r="364" spans="1:10" x14ac:dyDescent="0.2">
      <c r="A364" s="19"/>
      <c r="B364" s="19"/>
      <c r="C364" s="19"/>
      <c r="D364" s="20"/>
      <c r="E364" s="19"/>
      <c r="F364" s="19"/>
      <c r="G364" s="19"/>
      <c r="H364" s="19"/>
      <c r="I364" s="19"/>
      <c r="J364" s="19"/>
    </row>
    <row r="365" spans="1:10" x14ac:dyDescent="0.2">
      <c r="A365" s="19"/>
      <c r="B365" s="19"/>
      <c r="C365" s="19"/>
      <c r="D365" s="20"/>
      <c r="E365" s="19"/>
      <c r="F365" s="19"/>
      <c r="G365" s="19"/>
      <c r="H365" s="19"/>
      <c r="I365" s="19"/>
      <c r="J365" s="19"/>
    </row>
    <row r="366" spans="1:10" x14ac:dyDescent="0.2">
      <c r="A366" s="19"/>
      <c r="B366" s="19"/>
      <c r="C366" s="19"/>
      <c r="D366" s="20"/>
      <c r="E366" s="19"/>
      <c r="F366" s="19"/>
      <c r="G366" s="19"/>
      <c r="H366" s="19"/>
      <c r="I366" s="19"/>
      <c r="J366" s="19"/>
    </row>
    <row r="367" spans="1:10" x14ac:dyDescent="0.2">
      <c r="A367" s="19"/>
      <c r="B367" s="19"/>
      <c r="C367" s="19"/>
      <c r="D367" s="20"/>
      <c r="E367" s="19"/>
      <c r="F367" s="19"/>
      <c r="G367" s="19"/>
      <c r="H367" s="19"/>
      <c r="I367" s="19"/>
      <c r="J367" s="19"/>
    </row>
    <row r="368" spans="1:10" x14ac:dyDescent="0.2">
      <c r="A368" s="19"/>
      <c r="B368" s="19"/>
      <c r="C368" s="19"/>
      <c r="D368" s="20"/>
      <c r="E368" s="19"/>
      <c r="F368" s="19"/>
      <c r="G368" s="19"/>
      <c r="H368" s="19"/>
      <c r="I368" s="19"/>
      <c r="J368" s="19"/>
    </row>
    <row r="369" spans="1:10" x14ac:dyDescent="0.2">
      <c r="A369" s="19"/>
      <c r="B369" s="19"/>
      <c r="C369" s="19"/>
      <c r="D369" s="20"/>
      <c r="E369" s="19"/>
      <c r="F369" s="19"/>
      <c r="G369" s="19"/>
      <c r="H369" s="19"/>
      <c r="I369" s="19"/>
      <c r="J369" s="19"/>
    </row>
    <row r="370" spans="1:10" x14ac:dyDescent="0.2">
      <c r="A370" s="19"/>
      <c r="B370" s="19"/>
      <c r="C370" s="19"/>
      <c r="D370" s="20"/>
      <c r="E370" s="19"/>
      <c r="F370" s="19"/>
      <c r="G370" s="19"/>
      <c r="H370" s="19"/>
      <c r="I370" s="19"/>
      <c r="J370" s="19"/>
    </row>
    <row r="371" spans="1:10" x14ac:dyDescent="0.2">
      <c r="A371" s="19"/>
      <c r="B371" s="19"/>
      <c r="C371" s="19"/>
      <c r="D371" s="20"/>
      <c r="E371" s="19"/>
      <c r="F371" s="19"/>
      <c r="G371" s="19"/>
      <c r="H371" s="19"/>
      <c r="I371" s="19"/>
      <c r="J371" s="19"/>
    </row>
    <row r="372" spans="1:10" x14ac:dyDescent="0.2">
      <c r="A372" s="19"/>
      <c r="B372" s="19"/>
      <c r="C372" s="19"/>
      <c r="D372" s="20"/>
      <c r="E372" s="19"/>
      <c r="F372" s="19"/>
      <c r="G372" s="19"/>
      <c r="H372" s="19"/>
      <c r="I372" s="19"/>
      <c r="J372" s="19"/>
    </row>
    <row r="373" spans="1:10" x14ac:dyDescent="0.2">
      <c r="A373" s="19"/>
      <c r="B373" s="19"/>
      <c r="C373" s="19"/>
      <c r="D373" s="20"/>
      <c r="E373" s="19"/>
      <c r="F373" s="19"/>
      <c r="G373" s="19"/>
      <c r="H373" s="19"/>
      <c r="I373" s="19"/>
      <c r="J373" s="19"/>
    </row>
    <row r="374" spans="1:10" x14ac:dyDescent="0.2">
      <c r="A374" s="19"/>
      <c r="B374" s="19"/>
      <c r="C374" s="19"/>
      <c r="D374" s="20"/>
      <c r="E374" s="19"/>
      <c r="F374" s="19"/>
      <c r="G374" s="19"/>
      <c r="H374" s="19"/>
      <c r="I374" s="19"/>
      <c r="J374" s="19"/>
    </row>
    <row r="375" spans="1:10" x14ac:dyDescent="0.2">
      <c r="A375" s="19"/>
      <c r="B375" s="19"/>
      <c r="C375" s="19"/>
      <c r="D375" s="20"/>
      <c r="E375" s="19"/>
      <c r="F375" s="19"/>
      <c r="G375" s="19"/>
      <c r="H375" s="19"/>
      <c r="I375" s="19"/>
      <c r="J375" s="19"/>
    </row>
    <row r="376" spans="1:10" x14ac:dyDescent="0.2">
      <c r="A376" s="19"/>
      <c r="B376" s="19"/>
      <c r="C376" s="19"/>
      <c r="D376" s="20"/>
      <c r="E376" s="19"/>
      <c r="F376" s="19"/>
      <c r="G376" s="19"/>
      <c r="H376" s="19"/>
      <c r="I376" s="19"/>
      <c r="J376" s="19"/>
    </row>
    <row r="377" spans="1:10" x14ac:dyDescent="0.2">
      <c r="A377" s="19"/>
      <c r="B377" s="19"/>
      <c r="C377" s="19"/>
      <c r="D377" s="20"/>
      <c r="E377" s="19"/>
      <c r="F377" s="19"/>
      <c r="G377" s="19"/>
      <c r="H377" s="19"/>
      <c r="I377" s="19"/>
      <c r="J377" s="19"/>
    </row>
    <row r="378" spans="1:10" x14ac:dyDescent="0.2">
      <c r="A378" s="19"/>
      <c r="B378" s="19"/>
      <c r="C378" s="19"/>
      <c r="D378" s="20"/>
      <c r="E378" s="19"/>
      <c r="F378" s="19"/>
      <c r="G378" s="19"/>
      <c r="H378" s="19"/>
      <c r="I378" s="19"/>
      <c r="J378" s="19"/>
    </row>
    <row r="379" spans="1:10" x14ac:dyDescent="0.2">
      <c r="A379" s="19"/>
      <c r="B379" s="19"/>
      <c r="C379" s="19"/>
      <c r="D379" s="20"/>
      <c r="E379" s="19"/>
      <c r="F379" s="19"/>
      <c r="G379" s="19"/>
      <c r="H379" s="19"/>
      <c r="I379" s="19"/>
      <c r="J379" s="19"/>
    </row>
    <row r="380" spans="1:10" x14ac:dyDescent="0.2">
      <c r="A380" s="19"/>
      <c r="B380" s="19"/>
      <c r="C380" s="19"/>
      <c r="D380" s="20"/>
      <c r="E380" s="19"/>
      <c r="F380" s="19"/>
      <c r="G380" s="19"/>
      <c r="H380" s="19"/>
      <c r="I380" s="19"/>
      <c r="J380" s="19"/>
    </row>
    <row r="381" spans="1:10" x14ac:dyDescent="0.2">
      <c r="A381" s="19"/>
      <c r="B381" s="19"/>
      <c r="C381" s="19"/>
      <c r="D381" s="20"/>
      <c r="E381" s="19"/>
      <c r="F381" s="19"/>
      <c r="G381" s="19"/>
      <c r="H381" s="19"/>
      <c r="I381" s="19"/>
      <c r="J381" s="19"/>
    </row>
    <row r="382" spans="1:10" x14ac:dyDescent="0.2">
      <c r="A382" s="19"/>
      <c r="B382" s="19"/>
      <c r="C382" s="19"/>
      <c r="D382" s="20"/>
      <c r="E382" s="19"/>
      <c r="F382" s="19"/>
      <c r="G382" s="19"/>
      <c r="H382" s="19"/>
      <c r="I382" s="19"/>
      <c r="J382" s="19"/>
    </row>
    <row r="383" spans="1:10" x14ac:dyDescent="0.2">
      <c r="A383" s="19"/>
      <c r="B383" s="19"/>
      <c r="C383" s="19"/>
      <c r="D383" s="20"/>
      <c r="E383" s="19"/>
      <c r="F383" s="19"/>
      <c r="G383" s="19"/>
      <c r="H383" s="19"/>
      <c r="I383" s="19"/>
      <c r="J383" s="19"/>
    </row>
    <row r="384" spans="1:10" x14ac:dyDescent="0.2">
      <c r="A384" s="19"/>
      <c r="B384" s="19"/>
      <c r="C384" s="19"/>
      <c r="D384" s="20"/>
      <c r="E384" s="19"/>
      <c r="F384" s="19"/>
      <c r="G384" s="19"/>
      <c r="H384" s="19"/>
      <c r="I384" s="19"/>
      <c r="J384" s="19"/>
    </row>
    <row r="385" spans="1:10" x14ac:dyDescent="0.2">
      <c r="A385" s="19"/>
      <c r="B385" s="19"/>
      <c r="C385" s="19"/>
      <c r="D385" s="20"/>
      <c r="E385" s="19"/>
      <c r="F385" s="19"/>
      <c r="G385" s="19"/>
      <c r="H385" s="19"/>
      <c r="I385" s="19"/>
      <c r="J385" s="19"/>
    </row>
    <row r="386" spans="1:10" x14ac:dyDescent="0.2">
      <c r="A386" s="19"/>
      <c r="B386" s="19"/>
      <c r="C386" s="19"/>
      <c r="D386" s="20"/>
      <c r="E386" s="19"/>
      <c r="F386" s="19"/>
      <c r="G386" s="19"/>
      <c r="H386" s="19"/>
      <c r="I386" s="19"/>
      <c r="J386" s="19"/>
    </row>
    <row r="387" spans="1:10" x14ac:dyDescent="0.2">
      <c r="A387" s="19"/>
      <c r="B387" s="19"/>
      <c r="C387" s="19"/>
      <c r="D387" s="20"/>
      <c r="E387" s="19"/>
      <c r="F387" s="19"/>
      <c r="G387" s="19"/>
      <c r="H387" s="19"/>
      <c r="I387" s="19"/>
      <c r="J387" s="19"/>
    </row>
    <row r="388" spans="1:10" x14ac:dyDescent="0.2">
      <c r="A388" s="19"/>
      <c r="B388" s="19"/>
      <c r="C388" s="19"/>
      <c r="D388" s="20"/>
      <c r="E388" s="19"/>
      <c r="F388" s="19"/>
      <c r="G388" s="19"/>
      <c r="H388" s="19"/>
      <c r="I388" s="19"/>
      <c r="J388" s="19"/>
    </row>
    <row r="389" spans="1:10" x14ac:dyDescent="0.2">
      <c r="A389" s="19"/>
      <c r="B389" s="19"/>
      <c r="C389" s="19"/>
      <c r="D389" s="20"/>
      <c r="E389" s="19"/>
      <c r="F389" s="19"/>
      <c r="G389" s="19"/>
      <c r="H389" s="19"/>
      <c r="I389" s="19"/>
      <c r="J389" s="19"/>
    </row>
    <row r="390" spans="1:10" x14ac:dyDescent="0.2">
      <c r="A390" s="19"/>
      <c r="B390" s="19"/>
      <c r="C390" s="19"/>
      <c r="D390" s="20"/>
      <c r="E390" s="19"/>
      <c r="F390" s="19"/>
      <c r="G390" s="19"/>
      <c r="H390" s="19"/>
      <c r="I390" s="19"/>
      <c r="J390" s="19"/>
    </row>
    <row r="391" spans="1:10" x14ac:dyDescent="0.2">
      <c r="A391" s="19"/>
      <c r="B391" s="19"/>
      <c r="C391" s="19"/>
      <c r="D391" s="20"/>
      <c r="E391" s="19"/>
      <c r="F391" s="19"/>
      <c r="G391" s="19"/>
      <c r="H391" s="19"/>
      <c r="I391" s="19"/>
      <c r="J391" s="19"/>
    </row>
    <row r="392" spans="1:10" x14ac:dyDescent="0.2">
      <c r="A392" s="19"/>
      <c r="B392" s="19"/>
      <c r="C392" s="19"/>
      <c r="D392" s="20"/>
      <c r="E392" s="19"/>
      <c r="F392" s="19"/>
      <c r="G392" s="19"/>
      <c r="H392" s="19"/>
      <c r="I392" s="19"/>
      <c r="J392" s="19"/>
    </row>
    <row r="393" spans="1:10" x14ac:dyDescent="0.2">
      <c r="A393" s="19"/>
      <c r="B393" s="19"/>
      <c r="C393" s="19"/>
      <c r="D393" s="20"/>
      <c r="E393" s="19"/>
      <c r="F393" s="19"/>
      <c r="G393" s="19"/>
      <c r="H393" s="19"/>
      <c r="I393" s="19"/>
      <c r="J393" s="19"/>
    </row>
    <row r="394" spans="1:10" x14ac:dyDescent="0.2">
      <c r="A394" s="19"/>
      <c r="B394" s="19"/>
      <c r="C394" s="19"/>
      <c r="D394" s="20"/>
      <c r="E394" s="19"/>
      <c r="F394" s="19"/>
      <c r="G394" s="19"/>
      <c r="H394" s="19"/>
      <c r="I394" s="19"/>
      <c r="J394" s="19"/>
    </row>
    <row r="395" spans="1:10" x14ac:dyDescent="0.2">
      <c r="A395" s="19"/>
      <c r="B395" s="19"/>
      <c r="C395" s="19"/>
      <c r="D395" s="20"/>
      <c r="E395" s="19"/>
      <c r="F395" s="19"/>
      <c r="G395" s="19"/>
      <c r="H395" s="19"/>
      <c r="I395" s="19"/>
      <c r="J395" s="19"/>
    </row>
    <row r="396" spans="1:10" x14ac:dyDescent="0.2">
      <c r="A396" s="19"/>
      <c r="B396" s="19"/>
      <c r="C396" s="19"/>
      <c r="D396" s="20"/>
      <c r="E396" s="19"/>
      <c r="F396" s="19"/>
      <c r="G396" s="19"/>
      <c r="H396" s="19"/>
      <c r="I396" s="19"/>
      <c r="J396" s="19"/>
    </row>
    <row r="397" spans="1:10" x14ac:dyDescent="0.2">
      <c r="A397" s="19"/>
      <c r="B397" s="19"/>
      <c r="C397" s="19"/>
      <c r="D397" s="20"/>
      <c r="E397" s="19"/>
      <c r="F397" s="19"/>
      <c r="G397" s="19"/>
      <c r="H397" s="19"/>
      <c r="I397" s="19"/>
      <c r="J397" s="19"/>
    </row>
    <row r="398" spans="1:10" x14ac:dyDescent="0.2">
      <c r="A398" s="19"/>
      <c r="B398" s="19"/>
      <c r="C398" s="19"/>
      <c r="D398" s="20"/>
      <c r="E398" s="19"/>
      <c r="F398" s="19"/>
      <c r="G398" s="19"/>
      <c r="H398" s="19"/>
      <c r="I398" s="19"/>
      <c r="J398" s="19"/>
    </row>
    <row r="399" spans="1:10" x14ac:dyDescent="0.2">
      <c r="A399" s="19"/>
      <c r="B399" s="19"/>
      <c r="C399" s="19"/>
      <c r="D399" s="20"/>
      <c r="E399" s="19"/>
      <c r="F399" s="19"/>
      <c r="G399" s="19"/>
      <c r="H399" s="19"/>
      <c r="I399" s="19"/>
      <c r="J399" s="19"/>
    </row>
    <row r="400" spans="1:10" x14ac:dyDescent="0.2">
      <c r="A400" s="19"/>
      <c r="B400" s="19"/>
      <c r="C400" s="19"/>
      <c r="D400" s="20"/>
      <c r="E400" s="19"/>
      <c r="F400" s="19"/>
      <c r="G400" s="19"/>
      <c r="H400" s="19"/>
      <c r="I400" s="19"/>
      <c r="J400" s="19"/>
    </row>
    <row r="401" spans="1:10" x14ac:dyDescent="0.2">
      <c r="A401" s="19"/>
      <c r="B401" s="19"/>
      <c r="C401" s="19"/>
      <c r="D401" s="20"/>
      <c r="E401" s="19"/>
      <c r="F401" s="19"/>
      <c r="G401" s="19"/>
      <c r="H401" s="19"/>
      <c r="I401" s="19"/>
      <c r="J401" s="19"/>
    </row>
    <row r="402" spans="1:10" x14ac:dyDescent="0.2">
      <c r="A402" s="19"/>
      <c r="B402" s="19"/>
      <c r="C402" s="19"/>
      <c r="D402" s="20"/>
      <c r="E402" s="19"/>
      <c r="F402" s="19"/>
      <c r="G402" s="19"/>
      <c r="H402" s="19"/>
      <c r="I402" s="19"/>
      <c r="J402" s="19"/>
    </row>
    <row r="403" spans="1:10" x14ac:dyDescent="0.2">
      <c r="A403" s="19"/>
      <c r="B403" s="19"/>
      <c r="C403" s="19"/>
      <c r="D403" s="20"/>
      <c r="E403" s="19"/>
      <c r="F403" s="19"/>
      <c r="G403" s="19"/>
      <c r="H403" s="19"/>
      <c r="I403" s="19"/>
      <c r="J403" s="19"/>
    </row>
    <row r="404" spans="1:10" x14ac:dyDescent="0.2">
      <c r="A404" s="19"/>
      <c r="B404" s="19"/>
      <c r="C404" s="19"/>
      <c r="D404" s="20"/>
      <c r="E404" s="19"/>
      <c r="F404" s="19"/>
      <c r="G404" s="19"/>
      <c r="H404" s="19"/>
      <c r="I404" s="19"/>
      <c r="J404" s="19"/>
    </row>
    <row r="405" spans="1:10" x14ac:dyDescent="0.2">
      <c r="A405" s="19"/>
      <c r="B405" s="19"/>
      <c r="C405" s="19"/>
      <c r="D405" s="20"/>
      <c r="E405" s="19"/>
      <c r="F405" s="19"/>
      <c r="G405" s="19"/>
      <c r="H405" s="19"/>
      <c r="I405" s="19"/>
      <c r="J405" s="19"/>
    </row>
    <row r="406" spans="1:10" x14ac:dyDescent="0.2">
      <c r="A406" s="19"/>
      <c r="B406" s="19"/>
      <c r="C406" s="19"/>
      <c r="D406" s="20"/>
      <c r="E406" s="19"/>
      <c r="F406" s="19"/>
      <c r="G406" s="19"/>
      <c r="H406" s="19"/>
      <c r="I406" s="19"/>
      <c r="J406" s="19"/>
    </row>
    <row r="407" spans="1:10" x14ac:dyDescent="0.2">
      <c r="A407" s="19"/>
      <c r="B407" s="19"/>
      <c r="C407" s="19"/>
      <c r="D407" s="20"/>
      <c r="E407" s="19"/>
      <c r="F407" s="19"/>
      <c r="G407" s="19"/>
      <c r="H407" s="19"/>
      <c r="I407" s="19"/>
      <c r="J407" s="19"/>
    </row>
    <row r="408" spans="1:10" x14ac:dyDescent="0.2">
      <c r="A408" s="19"/>
      <c r="B408" s="19"/>
      <c r="C408" s="19"/>
      <c r="D408" s="20"/>
      <c r="E408" s="19"/>
      <c r="F408" s="19"/>
      <c r="G408" s="19"/>
      <c r="H408" s="19"/>
      <c r="I408" s="19"/>
      <c r="J408" s="19"/>
    </row>
    <row r="409" spans="1:10" x14ac:dyDescent="0.2">
      <c r="A409" s="19"/>
      <c r="B409" s="19"/>
      <c r="C409" s="19"/>
      <c r="D409" s="20"/>
      <c r="E409" s="19"/>
      <c r="F409" s="19"/>
      <c r="G409" s="19"/>
      <c r="H409" s="19"/>
      <c r="I409" s="19"/>
      <c r="J409" s="19"/>
    </row>
    <row r="410" spans="1:10" x14ac:dyDescent="0.2">
      <c r="A410" s="19"/>
      <c r="B410" s="19"/>
      <c r="C410" s="19"/>
      <c r="D410" s="20"/>
      <c r="E410" s="19"/>
      <c r="F410" s="19"/>
      <c r="G410" s="19"/>
      <c r="H410" s="19"/>
      <c r="I410" s="19"/>
      <c r="J410" s="19"/>
    </row>
    <row r="411" spans="1:10" x14ac:dyDescent="0.2">
      <c r="A411" s="19"/>
      <c r="B411" s="19"/>
      <c r="C411" s="19"/>
      <c r="D411" s="20"/>
      <c r="E411" s="19"/>
      <c r="F411" s="19"/>
      <c r="G411" s="19"/>
      <c r="H411" s="19"/>
      <c r="I411" s="19"/>
      <c r="J411" s="19"/>
    </row>
    <row r="412" spans="1:10" x14ac:dyDescent="0.2">
      <c r="A412" s="19"/>
      <c r="B412" s="19"/>
      <c r="C412" s="19"/>
      <c r="D412" s="20"/>
      <c r="E412" s="19"/>
      <c r="F412" s="19"/>
      <c r="G412" s="19"/>
      <c r="H412" s="19"/>
      <c r="I412" s="19"/>
      <c r="J412" s="19"/>
    </row>
    <row r="413" spans="1:10" x14ac:dyDescent="0.2">
      <c r="A413" s="19"/>
      <c r="B413" s="19"/>
      <c r="C413" s="19"/>
      <c r="D413" s="20"/>
      <c r="E413" s="19"/>
      <c r="F413" s="19"/>
      <c r="G413" s="19"/>
      <c r="H413" s="19"/>
      <c r="I413" s="19"/>
      <c r="J413" s="19"/>
    </row>
    <row r="414" spans="1:10" x14ac:dyDescent="0.2">
      <c r="A414" s="19"/>
      <c r="B414" s="19"/>
      <c r="C414" s="19"/>
      <c r="D414" s="20"/>
      <c r="E414" s="19"/>
      <c r="F414" s="19"/>
      <c r="G414" s="19"/>
      <c r="H414" s="19"/>
      <c r="I414" s="19"/>
      <c r="J414" s="19"/>
    </row>
    <row r="415" spans="1:10" x14ac:dyDescent="0.2">
      <c r="A415" s="19"/>
      <c r="B415" s="19"/>
      <c r="C415" s="19"/>
      <c r="D415" s="20"/>
      <c r="E415" s="19"/>
      <c r="F415" s="19"/>
      <c r="G415" s="19"/>
      <c r="H415" s="19"/>
      <c r="I415" s="19"/>
      <c r="J415" s="19"/>
    </row>
    <row r="416" spans="1:10" x14ac:dyDescent="0.2">
      <c r="A416" s="19"/>
      <c r="B416" s="19"/>
      <c r="C416" s="19"/>
      <c r="D416" s="20"/>
      <c r="E416" s="19"/>
      <c r="F416" s="19"/>
      <c r="G416" s="19"/>
      <c r="H416" s="19"/>
      <c r="I416" s="19"/>
      <c r="J416" s="19"/>
    </row>
    <row r="417" spans="1:10" x14ac:dyDescent="0.2">
      <c r="A417" s="19"/>
      <c r="B417" s="19"/>
      <c r="C417" s="19"/>
      <c r="D417" s="20"/>
      <c r="E417" s="19"/>
      <c r="F417" s="19"/>
      <c r="G417" s="19"/>
      <c r="H417" s="19"/>
      <c r="I417" s="19"/>
      <c r="J417" s="19"/>
    </row>
    <row r="418" spans="1:10" x14ac:dyDescent="0.2">
      <c r="A418" s="19"/>
      <c r="B418" s="19"/>
      <c r="C418" s="19"/>
      <c r="D418" s="20"/>
      <c r="E418" s="19"/>
      <c r="F418" s="19"/>
      <c r="G418" s="19"/>
      <c r="H418" s="19"/>
      <c r="I418" s="19"/>
      <c r="J418" s="19"/>
    </row>
    <row r="419" spans="1:10" x14ac:dyDescent="0.2">
      <c r="A419" s="19"/>
      <c r="B419" s="19"/>
      <c r="C419" s="19"/>
      <c r="D419" s="20"/>
      <c r="E419" s="19"/>
      <c r="F419" s="19"/>
      <c r="G419" s="19"/>
      <c r="H419" s="19"/>
      <c r="I419" s="19"/>
      <c r="J419" s="19"/>
    </row>
    <row r="420" spans="1:10" x14ac:dyDescent="0.2">
      <c r="A420" s="19"/>
      <c r="B420" s="19"/>
      <c r="C420" s="19"/>
      <c r="D420" s="20"/>
      <c r="E420" s="19"/>
      <c r="F420" s="19"/>
      <c r="G420" s="19"/>
      <c r="H420" s="19"/>
      <c r="I420" s="19"/>
      <c r="J420" s="19"/>
    </row>
    <row r="421" spans="1:10" x14ac:dyDescent="0.2">
      <c r="A421" s="19"/>
      <c r="B421" s="19"/>
      <c r="C421" s="19"/>
      <c r="D421" s="20"/>
      <c r="E421" s="19"/>
      <c r="F421" s="19"/>
      <c r="G421" s="19"/>
      <c r="H421" s="19"/>
      <c r="I421" s="19"/>
      <c r="J421" s="19"/>
    </row>
    <row r="422" spans="1:10" x14ac:dyDescent="0.2">
      <c r="A422" s="19"/>
      <c r="B422" s="19"/>
      <c r="C422" s="19"/>
      <c r="D422" s="20"/>
      <c r="E422" s="19"/>
      <c r="F422" s="19"/>
      <c r="G422" s="19"/>
      <c r="H422" s="19"/>
      <c r="I422" s="19"/>
      <c r="J422" s="19"/>
    </row>
    <row r="423" spans="1:10" x14ac:dyDescent="0.2">
      <c r="A423" s="19"/>
      <c r="B423" s="19"/>
      <c r="C423" s="19"/>
      <c r="D423" s="20"/>
      <c r="E423" s="19"/>
      <c r="F423" s="19"/>
      <c r="G423" s="19"/>
      <c r="H423" s="19"/>
      <c r="I423" s="19"/>
      <c r="J423" s="19"/>
    </row>
    <row r="424" spans="1:10" x14ac:dyDescent="0.2">
      <c r="A424" s="19"/>
      <c r="B424" s="19"/>
      <c r="C424" s="19"/>
      <c r="D424" s="20"/>
      <c r="E424" s="19"/>
      <c r="F424" s="19"/>
      <c r="G424" s="19"/>
      <c r="H424" s="19"/>
      <c r="I424" s="19"/>
      <c r="J424" s="19"/>
    </row>
    <row r="425" spans="1:10" x14ac:dyDescent="0.2">
      <c r="A425" s="19"/>
      <c r="B425" s="19"/>
      <c r="C425" s="19"/>
      <c r="D425" s="20"/>
      <c r="E425" s="19"/>
      <c r="F425" s="19"/>
      <c r="G425" s="19"/>
      <c r="H425" s="19"/>
      <c r="I425" s="19"/>
      <c r="J425" s="19"/>
    </row>
    <row r="426" spans="1:10" x14ac:dyDescent="0.2">
      <c r="A426" s="19"/>
      <c r="B426" s="19"/>
      <c r="C426" s="19"/>
      <c r="D426" s="20"/>
      <c r="E426" s="19"/>
      <c r="F426" s="19"/>
      <c r="G426" s="19"/>
      <c r="H426" s="19"/>
      <c r="I426" s="19"/>
      <c r="J426" s="19"/>
    </row>
    <row r="427" spans="1:10" x14ac:dyDescent="0.2">
      <c r="A427" s="19"/>
      <c r="B427" s="19"/>
      <c r="C427" s="19"/>
      <c r="D427" s="20"/>
      <c r="E427" s="19"/>
      <c r="F427" s="19"/>
      <c r="G427" s="19"/>
      <c r="H427" s="19"/>
      <c r="I427" s="19"/>
      <c r="J427" s="19"/>
    </row>
    <row r="428" spans="1:10" x14ac:dyDescent="0.2">
      <c r="A428" s="19"/>
      <c r="B428" s="19"/>
      <c r="C428" s="19"/>
      <c r="D428" s="20"/>
      <c r="E428" s="19"/>
      <c r="F428" s="19"/>
      <c r="G428" s="19"/>
      <c r="H428" s="19"/>
      <c r="I428" s="19"/>
      <c r="J428" s="19"/>
    </row>
    <row r="429" spans="1:10" x14ac:dyDescent="0.2">
      <c r="A429" s="19"/>
      <c r="B429" s="19"/>
      <c r="C429" s="19"/>
      <c r="D429" s="20"/>
      <c r="E429" s="19"/>
      <c r="F429" s="19"/>
      <c r="G429" s="19"/>
      <c r="H429" s="19"/>
      <c r="I429" s="19"/>
      <c r="J429" s="19"/>
    </row>
    <row r="430" spans="1:10" x14ac:dyDescent="0.2">
      <c r="A430" s="19"/>
      <c r="B430" s="19"/>
      <c r="C430" s="19"/>
      <c r="D430" s="20"/>
      <c r="E430" s="19"/>
      <c r="F430" s="19"/>
      <c r="G430" s="19"/>
      <c r="H430" s="19"/>
      <c r="I430" s="19"/>
      <c r="J430" s="19"/>
    </row>
    <row r="431" spans="1:10" x14ac:dyDescent="0.2">
      <c r="A431" s="19"/>
      <c r="B431" s="19"/>
      <c r="C431" s="19"/>
      <c r="D431" s="20"/>
      <c r="E431" s="19"/>
      <c r="F431" s="19"/>
      <c r="G431" s="19"/>
      <c r="H431" s="19"/>
      <c r="I431" s="19"/>
      <c r="J431" s="19"/>
    </row>
    <row r="432" spans="1:10" x14ac:dyDescent="0.2">
      <c r="A432" s="19"/>
      <c r="B432" s="19"/>
      <c r="C432" s="19"/>
      <c r="D432" s="20"/>
      <c r="E432" s="19"/>
      <c r="F432" s="19"/>
      <c r="G432" s="19"/>
      <c r="H432" s="19"/>
      <c r="I432" s="19"/>
      <c r="J432" s="19"/>
    </row>
    <row r="433" spans="1:10" x14ac:dyDescent="0.2">
      <c r="A433" s="19"/>
      <c r="B433" s="19"/>
      <c r="C433" s="19"/>
      <c r="D433" s="20"/>
      <c r="E433" s="19"/>
      <c r="F433" s="19"/>
      <c r="G433" s="19"/>
      <c r="H433" s="19"/>
      <c r="I433" s="19"/>
      <c r="J433" s="19"/>
    </row>
    <row r="434" spans="1:10" x14ac:dyDescent="0.2">
      <c r="A434" s="19"/>
      <c r="B434" s="19"/>
      <c r="C434" s="19"/>
      <c r="D434" s="20"/>
      <c r="E434" s="19"/>
      <c r="F434" s="19"/>
      <c r="G434" s="19"/>
      <c r="H434" s="19"/>
      <c r="I434" s="19"/>
      <c r="J434" s="19"/>
    </row>
    <row r="435" spans="1:10" x14ac:dyDescent="0.2">
      <c r="A435" s="19"/>
      <c r="B435" s="19"/>
      <c r="C435" s="19"/>
      <c r="D435" s="20"/>
      <c r="E435" s="19"/>
      <c r="F435" s="19"/>
      <c r="G435" s="19"/>
      <c r="H435" s="19"/>
      <c r="I435" s="19"/>
      <c r="J435" s="19"/>
    </row>
    <row r="436" spans="1:10" x14ac:dyDescent="0.2">
      <c r="A436" s="19"/>
      <c r="B436" s="19"/>
      <c r="C436" s="19"/>
      <c r="D436" s="20"/>
      <c r="E436" s="19"/>
      <c r="F436" s="19"/>
      <c r="G436" s="19"/>
      <c r="H436" s="19"/>
      <c r="I436" s="19"/>
      <c r="J436" s="19"/>
    </row>
    <row r="437" spans="1:10" x14ac:dyDescent="0.2">
      <c r="A437" s="19"/>
      <c r="B437" s="19"/>
      <c r="C437" s="19"/>
      <c r="D437" s="20"/>
      <c r="E437" s="19"/>
      <c r="F437" s="19"/>
      <c r="G437" s="19"/>
      <c r="H437" s="19"/>
      <c r="I437" s="19"/>
      <c r="J437" s="19"/>
    </row>
    <row r="438" spans="1:10" x14ac:dyDescent="0.2">
      <c r="A438" s="19"/>
      <c r="B438" s="19"/>
      <c r="C438" s="19"/>
      <c r="D438" s="20"/>
      <c r="E438" s="19"/>
      <c r="F438" s="19"/>
      <c r="G438" s="19"/>
      <c r="H438" s="19"/>
      <c r="I438" s="19"/>
      <c r="J438" s="19"/>
    </row>
    <row r="439" spans="1:10" x14ac:dyDescent="0.2">
      <c r="A439" s="19"/>
      <c r="B439" s="19"/>
      <c r="C439" s="19"/>
      <c r="D439" s="20"/>
      <c r="E439" s="19"/>
      <c r="F439" s="19"/>
      <c r="G439" s="19"/>
      <c r="H439" s="19"/>
      <c r="I439" s="19"/>
      <c r="J439" s="19"/>
    </row>
    <row r="440" spans="1:10" x14ac:dyDescent="0.2">
      <c r="A440" s="19"/>
      <c r="B440" s="19"/>
      <c r="C440" s="19"/>
      <c r="D440" s="20"/>
      <c r="E440" s="19"/>
      <c r="F440" s="19"/>
      <c r="G440" s="19"/>
      <c r="H440" s="19"/>
      <c r="I440" s="19"/>
      <c r="J440" s="19"/>
    </row>
    <row r="441" spans="1:10" x14ac:dyDescent="0.2">
      <c r="A441" s="19"/>
      <c r="B441" s="19"/>
      <c r="C441" s="19"/>
      <c r="D441" s="20"/>
      <c r="E441" s="19"/>
      <c r="F441" s="19"/>
      <c r="G441" s="19"/>
      <c r="H441" s="19"/>
      <c r="I441" s="19"/>
      <c r="J441" s="19"/>
    </row>
    <row r="442" spans="1:10" x14ac:dyDescent="0.2">
      <c r="A442" s="19"/>
      <c r="B442" s="19"/>
      <c r="C442" s="19"/>
      <c r="D442" s="20"/>
      <c r="E442" s="19"/>
      <c r="F442" s="19"/>
      <c r="G442" s="19"/>
      <c r="H442" s="19"/>
      <c r="I442" s="19"/>
      <c r="J442" s="19"/>
    </row>
    <row r="443" spans="1:10" x14ac:dyDescent="0.2">
      <c r="A443" s="19"/>
      <c r="B443" s="19"/>
      <c r="C443" s="19"/>
      <c r="D443" s="20"/>
      <c r="E443" s="19"/>
      <c r="F443" s="19"/>
      <c r="G443" s="19"/>
      <c r="H443" s="19"/>
      <c r="I443" s="19"/>
      <c r="J443" s="19"/>
    </row>
    <row r="444" spans="1:10" x14ac:dyDescent="0.2">
      <c r="A444" s="19"/>
      <c r="B444" s="19"/>
      <c r="C444" s="19"/>
      <c r="D444" s="20"/>
      <c r="E444" s="19"/>
      <c r="F444" s="19"/>
      <c r="G444" s="19"/>
      <c r="H444" s="19"/>
      <c r="I444" s="19"/>
      <c r="J444" s="19"/>
    </row>
    <row r="445" spans="1:10" x14ac:dyDescent="0.2">
      <c r="A445" s="19"/>
      <c r="B445" s="19"/>
      <c r="C445" s="19"/>
      <c r="D445" s="20"/>
      <c r="E445" s="19"/>
      <c r="F445" s="19"/>
      <c r="G445" s="19"/>
      <c r="H445" s="19"/>
      <c r="I445" s="19"/>
      <c r="J445" s="19"/>
    </row>
    <row r="446" spans="1:10" x14ac:dyDescent="0.2">
      <c r="A446" s="19"/>
      <c r="B446" s="19"/>
      <c r="C446" s="19"/>
      <c r="D446" s="20"/>
      <c r="E446" s="19"/>
      <c r="F446" s="19"/>
      <c r="G446" s="19"/>
      <c r="H446" s="19"/>
      <c r="I446" s="19"/>
      <c r="J446" s="19"/>
    </row>
    <row r="447" spans="1:10" x14ac:dyDescent="0.2">
      <c r="A447" s="19"/>
      <c r="B447" s="19"/>
      <c r="C447" s="19"/>
      <c r="D447" s="20"/>
      <c r="E447" s="19"/>
      <c r="F447" s="19"/>
      <c r="G447" s="19"/>
      <c r="H447" s="19"/>
      <c r="I447" s="19"/>
      <c r="J447" s="19"/>
    </row>
    <row r="448" spans="1:10" x14ac:dyDescent="0.2">
      <c r="A448" s="19"/>
      <c r="B448" s="19"/>
      <c r="C448" s="19"/>
      <c r="D448" s="20"/>
      <c r="E448" s="19"/>
      <c r="F448" s="19"/>
      <c r="G448" s="19"/>
      <c r="H448" s="19"/>
      <c r="I448" s="19"/>
      <c r="J448" s="19"/>
    </row>
    <row r="449" spans="1:10" x14ac:dyDescent="0.2">
      <c r="A449" s="19"/>
      <c r="B449" s="19"/>
      <c r="C449" s="19"/>
      <c r="D449" s="20"/>
      <c r="E449" s="19"/>
      <c r="F449" s="19"/>
      <c r="G449" s="19"/>
      <c r="H449" s="19"/>
      <c r="I449" s="19"/>
      <c r="J449" s="19"/>
    </row>
    <row r="450" spans="1:10" x14ac:dyDescent="0.2">
      <c r="A450" s="19"/>
      <c r="B450" s="19"/>
      <c r="C450" s="19"/>
      <c r="D450" s="20"/>
      <c r="E450" s="19"/>
      <c r="F450" s="19"/>
      <c r="G450" s="19"/>
      <c r="H450" s="19"/>
      <c r="I450" s="19"/>
      <c r="J450" s="19"/>
    </row>
    <row r="451" spans="1:10" x14ac:dyDescent="0.2">
      <c r="A451" s="19"/>
      <c r="B451" s="19"/>
      <c r="C451" s="19"/>
      <c r="D451" s="20"/>
      <c r="E451" s="19"/>
      <c r="F451" s="19"/>
      <c r="G451" s="19"/>
      <c r="H451" s="19"/>
      <c r="I451" s="19"/>
      <c r="J451" s="19"/>
    </row>
    <row r="452" spans="1:10" x14ac:dyDescent="0.2">
      <c r="A452" s="19"/>
      <c r="B452" s="19"/>
      <c r="C452" s="19"/>
      <c r="D452" s="20"/>
      <c r="E452" s="19"/>
      <c r="F452" s="19"/>
      <c r="G452" s="19"/>
      <c r="H452" s="19"/>
      <c r="I452" s="19"/>
      <c r="J452" s="19"/>
    </row>
    <row r="453" spans="1:10" x14ac:dyDescent="0.2">
      <c r="A453" s="19"/>
      <c r="B453" s="19"/>
      <c r="C453" s="19"/>
      <c r="D453" s="20"/>
      <c r="E453" s="19"/>
      <c r="F453" s="19"/>
      <c r="G453" s="19"/>
      <c r="H453" s="19"/>
      <c r="I453" s="19"/>
      <c r="J453" s="19"/>
    </row>
    <row r="454" spans="1:10" x14ac:dyDescent="0.2">
      <c r="A454" s="19"/>
      <c r="B454" s="19"/>
      <c r="C454" s="19"/>
      <c r="D454" s="20"/>
      <c r="E454" s="19"/>
      <c r="F454" s="19"/>
      <c r="G454" s="19"/>
      <c r="H454" s="19"/>
      <c r="I454" s="19"/>
      <c r="J454" s="19"/>
    </row>
    <row r="455" spans="1:10" x14ac:dyDescent="0.2">
      <c r="A455" s="19"/>
      <c r="B455" s="19"/>
      <c r="C455" s="19"/>
      <c r="D455" s="20"/>
      <c r="E455" s="19"/>
      <c r="F455" s="19"/>
      <c r="G455" s="19"/>
      <c r="H455" s="19"/>
      <c r="I455" s="19"/>
      <c r="J455" s="19"/>
    </row>
    <row r="456" spans="1:10" x14ac:dyDescent="0.2">
      <c r="A456" s="19"/>
      <c r="B456" s="19"/>
      <c r="C456" s="19"/>
      <c r="D456" s="20"/>
      <c r="E456" s="19"/>
      <c r="F456" s="19"/>
      <c r="G456" s="19"/>
      <c r="H456" s="19"/>
      <c r="I456" s="19"/>
      <c r="J456" s="19"/>
    </row>
    <row r="457" spans="1:10" x14ac:dyDescent="0.2">
      <c r="A457" s="19"/>
      <c r="B457" s="19"/>
      <c r="C457" s="19"/>
      <c r="D457" s="20"/>
      <c r="E457" s="19"/>
      <c r="F457" s="19"/>
      <c r="G457" s="19"/>
      <c r="H457" s="19"/>
      <c r="I457" s="19"/>
      <c r="J457" s="19"/>
    </row>
    <row r="458" spans="1:10" x14ac:dyDescent="0.2">
      <c r="A458" s="19"/>
      <c r="B458" s="19"/>
      <c r="C458" s="19"/>
      <c r="D458" s="20"/>
      <c r="E458" s="19"/>
      <c r="F458" s="19"/>
      <c r="G458" s="19"/>
      <c r="H458" s="19"/>
      <c r="I458" s="19"/>
      <c r="J458" s="19"/>
    </row>
    <row r="459" spans="1:10" x14ac:dyDescent="0.2">
      <c r="A459" s="19"/>
      <c r="B459" s="19"/>
      <c r="C459" s="19"/>
      <c r="D459" s="20"/>
      <c r="E459" s="19"/>
      <c r="F459" s="19"/>
      <c r="G459" s="19"/>
      <c r="H459" s="19"/>
      <c r="I459" s="19"/>
      <c r="J459" s="19"/>
    </row>
    <row r="460" spans="1:10" x14ac:dyDescent="0.2">
      <c r="A460" s="19"/>
      <c r="B460" s="19"/>
      <c r="C460" s="19"/>
      <c r="D460" s="20"/>
      <c r="E460" s="19"/>
      <c r="F460" s="19"/>
      <c r="G460" s="19"/>
      <c r="H460" s="19"/>
      <c r="I460" s="19"/>
      <c r="J460" s="19"/>
    </row>
    <row r="461" spans="1:10" x14ac:dyDescent="0.2">
      <c r="A461" s="19"/>
      <c r="B461" s="19"/>
      <c r="C461" s="19"/>
      <c r="D461" s="20"/>
      <c r="E461" s="19"/>
      <c r="F461" s="19"/>
      <c r="G461" s="19"/>
      <c r="H461" s="19"/>
      <c r="I461" s="19"/>
      <c r="J461" s="19"/>
    </row>
    <row r="462" spans="1:10" x14ac:dyDescent="0.2">
      <c r="A462" s="19"/>
      <c r="B462" s="19"/>
      <c r="C462" s="19"/>
      <c r="D462" s="20"/>
      <c r="E462" s="19"/>
      <c r="F462" s="19"/>
      <c r="G462" s="19"/>
      <c r="H462" s="19"/>
      <c r="I462" s="19"/>
      <c r="J462" s="19"/>
    </row>
    <row r="463" spans="1:10" x14ac:dyDescent="0.2">
      <c r="A463" s="19"/>
      <c r="B463" s="19"/>
      <c r="C463" s="19"/>
      <c r="D463" s="20"/>
      <c r="E463" s="19"/>
      <c r="F463" s="19"/>
      <c r="G463" s="19"/>
      <c r="H463" s="19"/>
      <c r="I463" s="19"/>
      <c r="J463" s="19"/>
    </row>
    <row r="464" spans="1:10" x14ac:dyDescent="0.2">
      <c r="A464" s="19"/>
      <c r="B464" s="19"/>
      <c r="C464" s="19"/>
      <c r="D464" s="20"/>
      <c r="E464" s="19"/>
      <c r="F464" s="19"/>
      <c r="G464" s="19"/>
      <c r="H464" s="19"/>
      <c r="I464" s="19"/>
      <c r="J464" s="19"/>
    </row>
    <row r="465" spans="1:10" x14ac:dyDescent="0.2">
      <c r="A465" s="19"/>
      <c r="B465" s="19"/>
      <c r="C465" s="19"/>
      <c r="D465" s="20"/>
      <c r="E465" s="19"/>
      <c r="F465" s="19"/>
      <c r="G465" s="19"/>
      <c r="H465" s="19"/>
      <c r="I465" s="19"/>
      <c r="J465" s="19"/>
    </row>
    <row r="466" spans="1:10" x14ac:dyDescent="0.2">
      <c r="A466" s="19"/>
      <c r="B466" s="19"/>
      <c r="C466" s="19"/>
      <c r="D466" s="20"/>
      <c r="E466" s="19"/>
      <c r="F466" s="19"/>
      <c r="G466" s="19"/>
      <c r="H466" s="19"/>
      <c r="I466" s="19"/>
      <c r="J466" s="19"/>
    </row>
    <row r="467" spans="1:10" x14ac:dyDescent="0.2">
      <c r="A467" s="19"/>
      <c r="B467" s="19"/>
      <c r="C467" s="19"/>
      <c r="D467" s="20"/>
      <c r="E467" s="19"/>
      <c r="F467" s="19"/>
      <c r="G467" s="19"/>
      <c r="H467" s="19"/>
      <c r="I467" s="19"/>
      <c r="J467" s="19"/>
    </row>
    <row r="468" spans="1:10" x14ac:dyDescent="0.2">
      <c r="A468" s="19"/>
      <c r="B468" s="19"/>
      <c r="C468" s="19"/>
      <c r="D468" s="20"/>
      <c r="E468" s="19"/>
      <c r="F468" s="19"/>
      <c r="G468" s="19"/>
      <c r="H468" s="19"/>
      <c r="I468" s="19"/>
      <c r="J468" s="19"/>
    </row>
    <row r="469" spans="1:10" x14ac:dyDescent="0.2">
      <c r="A469" s="19"/>
      <c r="B469" s="19"/>
      <c r="C469" s="19"/>
      <c r="D469" s="20"/>
      <c r="E469" s="19"/>
      <c r="F469" s="19"/>
      <c r="G469" s="19"/>
      <c r="H469" s="19"/>
      <c r="I469" s="19"/>
      <c r="J469" s="19"/>
    </row>
    <row r="470" spans="1:10" x14ac:dyDescent="0.2">
      <c r="A470" s="19"/>
      <c r="B470" s="19"/>
      <c r="C470" s="19"/>
      <c r="D470" s="20"/>
      <c r="E470" s="19"/>
      <c r="F470" s="19"/>
      <c r="G470" s="19"/>
      <c r="H470" s="19"/>
      <c r="I470" s="19"/>
      <c r="J470" s="19"/>
    </row>
    <row r="471" spans="1:10" x14ac:dyDescent="0.2">
      <c r="A471" s="19"/>
      <c r="B471" s="19"/>
      <c r="C471" s="19"/>
      <c r="D471" s="20"/>
      <c r="E471" s="19"/>
      <c r="F471" s="19"/>
      <c r="G471" s="19"/>
      <c r="H471" s="19"/>
      <c r="I471" s="19"/>
      <c r="J471" s="19"/>
    </row>
    <row r="472" spans="1:10" x14ac:dyDescent="0.2">
      <c r="A472" s="19"/>
      <c r="B472" s="19"/>
      <c r="C472" s="19"/>
      <c r="D472" s="20"/>
      <c r="E472" s="19"/>
      <c r="F472" s="19"/>
      <c r="G472" s="19"/>
      <c r="H472" s="19"/>
      <c r="I472" s="19"/>
      <c r="J472" s="19"/>
    </row>
    <row r="473" spans="1:10" x14ac:dyDescent="0.2">
      <c r="A473" s="19"/>
      <c r="B473" s="19"/>
      <c r="C473" s="19"/>
      <c r="D473" s="20"/>
      <c r="E473" s="19"/>
      <c r="F473" s="19"/>
      <c r="G473" s="19"/>
      <c r="H473" s="19"/>
      <c r="I473" s="19"/>
      <c r="J473" s="19"/>
    </row>
    <row r="474" spans="1:10" x14ac:dyDescent="0.2">
      <c r="A474" s="19"/>
      <c r="B474" s="19"/>
      <c r="C474" s="19"/>
      <c r="D474" s="20"/>
      <c r="E474" s="19"/>
      <c r="F474" s="19"/>
      <c r="G474" s="19"/>
      <c r="H474" s="19"/>
      <c r="I474" s="19"/>
      <c r="J474" s="19"/>
    </row>
    <row r="475" spans="1:10" x14ac:dyDescent="0.2">
      <c r="A475" s="19"/>
      <c r="B475" s="19"/>
      <c r="C475" s="19"/>
      <c r="D475" s="20"/>
      <c r="E475" s="19"/>
      <c r="F475" s="19"/>
      <c r="G475" s="19"/>
      <c r="H475" s="19"/>
      <c r="I475" s="19"/>
      <c r="J475" s="19"/>
    </row>
    <row r="476" spans="1:10" x14ac:dyDescent="0.2">
      <c r="A476" s="19"/>
      <c r="B476" s="19"/>
      <c r="C476" s="19"/>
      <c r="D476" s="20"/>
      <c r="E476" s="19"/>
      <c r="F476" s="19"/>
      <c r="G476" s="19"/>
      <c r="H476" s="19"/>
      <c r="I476" s="19"/>
      <c r="J476" s="19"/>
    </row>
    <row r="477" spans="1:10" x14ac:dyDescent="0.2">
      <c r="A477" s="19"/>
      <c r="B477" s="19"/>
      <c r="C477" s="19"/>
      <c r="D477" s="20"/>
      <c r="E477" s="19"/>
      <c r="F477" s="19"/>
      <c r="G477" s="19"/>
      <c r="H477" s="19"/>
      <c r="I477" s="19"/>
      <c r="J477" s="19"/>
    </row>
    <row r="478" spans="1:10" x14ac:dyDescent="0.2">
      <c r="A478" s="19"/>
      <c r="B478" s="19"/>
      <c r="C478" s="19"/>
      <c r="D478" s="20"/>
      <c r="E478" s="19"/>
      <c r="F478" s="19"/>
      <c r="G478" s="19"/>
      <c r="H478" s="19"/>
      <c r="I478" s="19"/>
      <c r="J478" s="19"/>
    </row>
    <row r="479" spans="1:10" x14ac:dyDescent="0.2">
      <c r="A479" s="19"/>
      <c r="B479" s="19"/>
      <c r="C479" s="19"/>
      <c r="D479" s="20"/>
      <c r="E479" s="19"/>
      <c r="F479" s="19"/>
      <c r="G479" s="19"/>
      <c r="H479" s="19"/>
      <c r="I479" s="19"/>
      <c r="J479" s="19"/>
    </row>
    <row r="480" spans="1:10" x14ac:dyDescent="0.2">
      <c r="A480" s="19"/>
      <c r="B480" s="19"/>
      <c r="C480" s="19"/>
      <c r="D480" s="20"/>
      <c r="E480" s="19"/>
      <c r="F480" s="19"/>
      <c r="G480" s="19"/>
      <c r="H480" s="19"/>
      <c r="I480" s="19"/>
      <c r="J480" s="19"/>
    </row>
    <row r="481" spans="1:10" x14ac:dyDescent="0.2">
      <c r="A481" s="19"/>
      <c r="B481" s="19"/>
      <c r="C481" s="19"/>
      <c r="D481" s="20"/>
      <c r="E481" s="19"/>
      <c r="F481" s="19"/>
      <c r="G481" s="19"/>
      <c r="H481" s="19"/>
      <c r="I481" s="19"/>
      <c r="J481" s="19"/>
    </row>
    <row r="482" spans="1:10" x14ac:dyDescent="0.2">
      <c r="A482" s="19"/>
      <c r="B482" s="19"/>
      <c r="C482" s="19"/>
      <c r="D482" s="20"/>
      <c r="E482" s="19"/>
      <c r="F482" s="19"/>
      <c r="G482" s="19"/>
      <c r="H482" s="19"/>
      <c r="I482" s="19"/>
      <c r="J482" s="19"/>
    </row>
    <row r="483" spans="1:10" x14ac:dyDescent="0.2">
      <c r="A483" s="19"/>
      <c r="B483" s="19"/>
      <c r="C483" s="19"/>
      <c r="D483" s="20"/>
      <c r="E483" s="19"/>
      <c r="F483" s="19"/>
      <c r="G483" s="19"/>
      <c r="H483" s="19"/>
      <c r="I483" s="19"/>
      <c r="J483" s="19"/>
    </row>
    <row r="484" spans="1:10" x14ac:dyDescent="0.2">
      <c r="A484" s="19"/>
      <c r="B484" s="19"/>
      <c r="C484" s="19"/>
      <c r="D484" s="20"/>
      <c r="E484" s="19"/>
      <c r="F484" s="19"/>
      <c r="G484" s="19"/>
      <c r="H484" s="19"/>
      <c r="I484" s="19"/>
      <c r="J484" s="19"/>
    </row>
    <row r="485" spans="1:10" x14ac:dyDescent="0.2">
      <c r="A485" s="19"/>
      <c r="B485" s="19"/>
      <c r="C485" s="19"/>
      <c r="D485" s="20"/>
      <c r="E485" s="19"/>
      <c r="F485" s="19"/>
      <c r="G485" s="19"/>
      <c r="H485" s="19"/>
      <c r="I485" s="19"/>
      <c r="J485" s="19"/>
    </row>
    <row r="486" spans="1:10" x14ac:dyDescent="0.2">
      <c r="A486" s="19"/>
      <c r="B486" s="19"/>
      <c r="C486" s="19"/>
      <c r="D486" s="20"/>
      <c r="E486" s="19"/>
      <c r="F486" s="19"/>
      <c r="G486" s="19"/>
      <c r="H486" s="19"/>
      <c r="I486" s="19"/>
      <c r="J486" s="19"/>
    </row>
    <row r="487" spans="1:10" x14ac:dyDescent="0.2">
      <c r="A487" s="19"/>
      <c r="B487" s="19"/>
      <c r="C487" s="19"/>
      <c r="D487" s="20"/>
      <c r="E487" s="19"/>
      <c r="F487" s="19"/>
      <c r="G487" s="19"/>
      <c r="H487" s="19"/>
      <c r="I487" s="19"/>
      <c r="J487" s="19"/>
    </row>
    <row r="488" spans="1:10" x14ac:dyDescent="0.2">
      <c r="A488" s="19"/>
      <c r="B488" s="19"/>
      <c r="C488" s="19"/>
      <c r="D488" s="20"/>
      <c r="E488" s="19"/>
      <c r="F488" s="19"/>
      <c r="G488" s="19"/>
      <c r="H488" s="19"/>
      <c r="I488" s="19"/>
      <c r="J488" s="19"/>
    </row>
    <row r="489" spans="1:10" x14ac:dyDescent="0.2">
      <c r="A489" s="19"/>
      <c r="B489" s="19"/>
      <c r="C489" s="19"/>
      <c r="D489" s="20"/>
      <c r="E489" s="19"/>
      <c r="F489" s="19"/>
      <c r="G489" s="19"/>
      <c r="H489" s="19"/>
      <c r="I489" s="19"/>
      <c r="J489" s="19"/>
    </row>
    <row r="490" spans="1:10" x14ac:dyDescent="0.2">
      <c r="A490" s="19"/>
      <c r="B490" s="19"/>
      <c r="C490" s="19"/>
      <c r="D490" s="20"/>
      <c r="E490" s="19"/>
      <c r="F490" s="19"/>
      <c r="G490" s="19"/>
      <c r="H490" s="19"/>
      <c r="I490" s="19"/>
      <c r="J490" s="19"/>
    </row>
    <row r="491" spans="1:10" x14ac:dyDescent="0.2">
      <c r="A491" s="19"/>
      <c r="B491" s="19"/>
      <c r="C491" s="19"/>
      <c r="D491" s="20"/>
      <c r="E491" s="19"/>
      <c r="F491" s="19"/>
      <c r="G491" s="19"/>
      <c r="H491" s="19"/>
      <c r="I491" s="19"/>
      <c r="J491" s="19"/>
    </row>
    <row r="492" spans="1:10" x14ac:dyDescent="0.2">
      <c r="A492" s="19"/>
      <c r="B492" s="19"/>
      <c r="C492" s="19"/>
      <c r="D492" s="20"/>
      <c r="E492" s="19"/>
      <c r="F492" s="19"/>
      <c r="G492" s="19"/>
      <c r="H492" s="19"/>
      <c r="I492" s="19"/>
      <c r="J492" s="19"/>
    </row>
    <row r="493" spans="1:10" x14ac:dyDescent="0.2">
      <c r="A493" s="19"/>
      <c r="B493" s="19"/>
      <c r="C493" s="19"/>
      <c r="D493" s="20"/>
      <c r="E493" s="19"/>
      <c r="F493" s="19"/>
      <c r="G493" s="19"/>
      <c r="H493" s="19"/>
      <c r="I493" s="19"/>
      <c r="J493" s="19"/>
    </row>
    <row r="494" spans="1:10" x14ac:dyDescent="0.2">
      <c r="A494" s="19"/>
      <c r="B494" s="19"/>
      <c r="C494" s="19"/>
      <c r="D494" s="20"/>
      <c r="E494" s="19"/>
      <c r="F494" s="19"/>
      <c r="G494" s="19"/>
      <c r="H494" s="19"/>
      <c r="I494" s="19"/>
      <c r="J494" s="19"/>
    </row>
    <row r="495" spans="1:10" x14ac:dyDescent="0.2">
      <c r="A495" s="19"/>
      <c r="B495" s="19"/>
      <c r="C495" s="19"/>
      <c r="D495" s="20"/>
      <c r="E495" s="19"/>
      <c r="F495" s="19"/>
      <c r="G495" s="19"/>
      <c r="H495" s="19"/>
      <c r="I495" s="19"/>
      <c r="J495" s="19"/>
    </row>
    <row r="496" spans="1:10" x14ac:dyDescent="0.2">
      <c r="A496" s="19"/>
      <c r="B496" s="19"/>
      <c r="C496" s="19"/>
      <c r="D496" s="20"/>
      <c r="E496" s="19"/>
      <c r="F496" s="19"/>
      <c r="G496" s="19"/>
      <c r="H496" s="19"/>
      <c r="I496" s="19"/>
      <c r="J496" s="19"/>
    </row>
    <row r="497" spans="1:10" x14ac:dyDescent="0.2">
      <c r="A497" s="19"/>
      <c r="B497" s="19"/>
      <c r="C497" s="19"/>
      <c r="D497" s="20"/>
      <c r="E497" s="19"/>
      <c r="F497" s="19"/>
      <c r="G497" s="19"/>
      <c r="H497" s="19"/>
      <c r="I497" s="19"/>
      <c r="J497" s="19"/>
    </row>
    <row r="498" spans="1:10" x14ac:dyDescent="0.2">
      <c r="A498" s="19"/>
      <c r="B498" s="19"/>
      <c r="C498" s="19"/>
      <c r="D498" s="20"/>
      <c r="E498" s="19"/>
      <c r="F498" s="19"/>
      <c r="G498" s="19"/>
      <c r="H498" s="19"/>
      <c r="I498" s="19"/>
      <c r="J498" s="19"/>
    </row>
    <row r="499" spans="1:10" x14ac:dyDescent="0.2">
      <c r="A499" s="19"/>
      <c r="B499" s="19"/>
      <c r="C499" s="19"/>
      <c r="D499" s="20"/>
      <c r="E499" s="19"/>
      <c r="F499" s="19"/>
      <c r="G499" s="19"/>
      <c r="H499" s="19"/>
      <c r="I499" s="19"/>
      <c r="J499" s="19"/>
    </row>
    <row r="500" spans="1:10" x14ac:dyDescent="0.2">
      <c r="A500" s="19"/>
      <c r="B500" s="19"/>
      <c r="C500" s="19"/>
      <c r="D500" s="20"/>
      <c r="E500" s="19"/>
      <c r="F500" s="19"/>
      <c r="G500" s="19"/>
      <c r="H500" s="19"/>
      <c r="I500" s="19"/>
      <c r="J500" s="19"/>
    </row>
    <row r="501" spans="1:10" x14ac:dyDescent="0.2">
      <c r="A501" s="19"/>
      <c r="B501" s="19"/>
      <c r="C501" s="19"/>
      <c r="D501" s="20"/>
      <c r="E501" s="19"/>
      <c r="F501" s="19"/>
      <c r="G501" s="19"/>
      <c r="H501" s="19"/>
      <c r="I501" s="19"/>
      <c r="J501" s="19"/>
    </row>
    <row r="502" spans="1:10" x14ac:dyDescent="0.2">
      <c r="A502" s="19"/>
      <c r="B502" s="19"/>
      <c r="C502" s="19"/>
      <c r="D502" s="20"/>
      <c r="E502" s="19"/>
      <c r="F502" s="19"/>
      <c r="G502" s="19"/>
      <c r="H502" s="19"/>
      <c r="I502" s="19"/>
      <c r="J502" s="19"/>
    </row>
    <row r="503" spans="1:10" x14ac:dyDescent="0.2">
      <c r="A503" s="19"/>
      <c r="B503" s="19"/>
      <c r="C503" s="19"/>
      <c r="D503" s="20"/>
      <c r="E503" s="19"/>
      <c r="F503" s="19"/>
      <c r="G503" s="19"/>
      <c r="H503" s="19"/>
      <c r="I503" s="19"/>
      <c r="J503" s="19"/>
    </row>
    <row r="504" spans="1:10" x14ac:dyDescent="0.2">
      <c r="A504" s="19"/>
      <c r="B504" s="19"/>
      <c r="C504" s="19"/>
      <c r="D504" s="20"/>
      <c r="E504" s="19"/>
      <c r="F504" s="19"/>
      <c r="G504" s="19"/>
      <c r="H504" s="19"/>
      <c r="I504" s="19"/>
      <c r="J504" s="19"/>
    </row>
    <row r="505" spans="1:10" x14ac:dyDescent="0.2">
      <c r="A505" s="19"/>
      <c r="B505" s="19"/>
      <c r="C505" s="19"/>
      <c r="D505" s="20"/>
      <c r="E505" s="19"/>
      <c r="F505" s="19"/>
      <c r="G505" s="19"/>
      <c r="H505" s="19"/>
      <c r="I505" s="19"/>
      <c r="J505" s="19"/>
    </row>
    <row r="506" spans="1:10" x14ac:dyDescent="0.2">
      <c r="A506" s="19"/>
      <c r="B506" s="19"/>
      <c r="C506" s="19"/>
      <c r="D506" s="20"/>
      <c r="E506" s="19"/>
      <c r="F506" s="19"/>
      <c r="G506" s="19"/>
      <c r="H506" s="19"/>
      <c r="I506" s="19"/>
      <c r="J506" s="19"/>
    </row>
    <row r="507" spans="1:10" x14ac:dyDescent="0.2">
      <c r="A507" s="19"/>
      <c r="B507" s="19"/>
      <c r="C507" s="19"/>
      <c r="D507" s="20"/>
      <c r="E507" s="19"/>
      <c r="F507" s="19"/>
      <c r="G507" s="19"/>
      <c r="H507" s="19"/>
      <c r="I507" s="19"/>
      <c r="J507" s="19"/>
    </row>
    <row r="508" spans="1:10" x14ac:dyDescent="0.2">
      <c r="A508" s="19"/>
      <c r="B508" s="19"/>
      <c r="C508" s="19"/>
      <c r="D508" s="20"/>
      <c r="E508" s="19"/>
      <c r="F508" s="19"/>
      <c r="G508" s="19"/>
      <c r="H508" s="19"/>
      <c r="I508" s="19"/>
      <c r="J508" s="19"/>
    </row>
    <row r="509" spans="1:10" x14ac:dyDescent="0.2">
      <c r="A509" s="19"/>
      <c r="B509" s="19"/>
      <c r="C509" s="19"/>
      <c r="D509" s="20"/>
      <c r="E509" s="19"/>
      <c r="F509" s="19"/>
      <c r="G509" s="19"/>
      <c r="H509" s="19"/>
      <c r="I509" s="19"/>
      <c r="J509" s="19"/>
    </row>
    <row r="510" spans="1:10" x14ac:dyDescent="0.2">
      <c r="A510" s="19"/>
      <c r="B510" s="19"/>
      <c r="C510" s="19"/>
      <c r="D510" s="20"/>
      <c r="E510" s="19"/>
      <c r="F510" s="19"/>
      <c r="G510" s="19"/>
      <c r="H510" s="19"/>
      <c r="I510" s="19"/>
      <c r="J510" s="19"/>
    </row>
    <row r="511" spans="1:10" x14ac:dyDescent="0.2">
      <c r="A511" s="19"/>
      <c r="B511" s="19"/>
      <c r="C511" s="19"/>
      <c r="D511" s="20"/>
      <c r="E511" s="19"/>
      <c r="F511" s="19"/>
      <c r="G511" s="19"/>
      <c r="H511" s="19"/>
      <c r="I511" s="19"/>
      <c r="J511" s="19"/>
    </row>
    <row r="512" spans="1:10" x14ac:dyDescent="0.2">
      <c r="A512" s="19"/>
      <c r="B512" s="19"/>
      <c r="C512" s="19"/>
      <c r="D512" s="20"/>
      <c r="E512" s="19"/>
      <c r="F512" s="19"/>
      <c r="G512" s="19"/>
      <c r="H512" s="19"/>
      <c r="I512" s="19"/>
      <c r="J512" s="19"/>
    </row>
    <row r="513" spans="1:10" x14ac:dyDescent="0.2">
      <c r="A513" s="19"/>
      <c r="B513" s="19"/>
      <c r="C513" s="19"/>
      <c r="D513" s="20"/>
      <c r="E513" s="19"/>
      <c r="F513" s="19"/>
      <c r="G513" s="19"/>
      <c r="H513" s="19"/>
      <c r="I513" s="19"/>
      <c r="J513" s="19"/>
    </row>
    <row r="514" spans="1:10" x14ac:dyDescent="0.2">
      <c r="A514" s="19"/>
      <c r="B514" s="19"/>
      <c r="C514" s="19"/>
      <c r="D514" s="20"/>
      <c r="E514" s="19"/>
      <c r="F514" s="19"/>
      <c r="G514" s="19"/>
      <c r="H514" s="19"/>
      <c r="I514" s="19"/>
      <c r="J514" s="19"/>
    </row>
    <row r="515" spans="1:10" x14ac:dyDescent="0.2">
      <c r="A515" s="19"/>
      <c r="B515" s="19"/>
      <c r="C515" s="19"/>
      <c r="D515" s="20"/>
      <c r="E515" s="19"/>
      <c r="F515" s="19"/>
      <c r="G515" s="19"/>
      <c r="H515" s="19"/>
      <c r="I515" s="19"/>
      <c r="J515" s="19"/>
    </row>
    <row r="516" spans="1:10" x14ac:dyDescent="0.2">
      <c r="A516" s="19"/>
      <c r="B516" s="19"/>
      <c r="C516" s="19"/>
      <c r="D516" s="20"/>
      <c r="E516" s="19"/>
      <c r="F516" s="19"/>
      <c r="G516" s="19"/>
      <c r="H516" s="19"/>
      <c r="I516" s="19"/>
      <c r="J516" s="19"/>
    </row>
    <row r="517" spans="1:10" x14ac:dyDescent="0.2">
      <c r="A517" s="19"/>
      <c r="B517" s="19"/>
      <c r="C517" s="19"/>
      <c r="D517" s="20"/>
      <c r="E517" s="19"/>
      <c r="F517" s="19"/>
      <c r="G517" s="19"/>
      <c r="H517" s="19"/>
      <c r="I517" s="19"/>
      <c r="J517" s="19"/>
    </row>
    <row r="518" spans="1:10" x14ac:dyDescent="0.2">
      <c r="A518" s="19"/>
      <c r="B518" s="19"/>
      <c r="C518" s="19"/>
      <c r="D518" s="20"/>
      <c r="E518" s="19"/>
      <c r="F518" s="19"/>
      <c r="G518" s="19"/>
      <c r="H518" s="19"/>
      <c r="I518" s="19"/>
      <c r="J518" s="19"/>
    </row>
    <row r="519" spans="1:10" x14ac:dyDescent="0.2">
      <c r="A519" s="19"/>
      <c r="B519" s="19"/>
      <c r="C519" s="19"/>
      <c r="D519" s="20"/>
      <c r="E519" s="19"/>
      <c r="F519" s="19"/>
      <c r="G519" s="19"/>
      <c r="H519" s="19"/>
      <c r="I519" s="19"/>
      <c r="J519" s="19"/>
    </row>
    <row r="520" spans="1:10" x14ac:dyDescent="0.2">
      <c r="A520" s="19"/>
      <c r="B520" s="19"/>
      <c r="C520" s="19"/>
      <c r="D520" s="20"/>
      <c r="E520" s="19"/>
      <c r="F520" s="19"/>
      <c r="G520" s="19"/>
      <c r="H520" s="19"/>
      <c r="I520" s="19"/>
      <c r="J520" s="19"/>
    </row>
    <row r="521" spans="1:10" x14ac:dyDescent="0.2">
      <c r="A521" s="19"/>
      <c r="B521" s="19"/>
      <c r="C521" s="19"/>
      <c r="D521" s="20"/>
      <c r="E521" s="19"/>
      <c r="F521" s="19"/>
      <c r="G521" s="19"/>
      <c r="H521" s="19"/>
      <c r="I521" s="19"/>
      <c r="J521" s="19"/>
    </row>
    <row r="522" spans="1:10" x14ac:dyDescent="0.2">
      <c r="A522" s="19"/>
      <c r="B522" s="19"/>
      <c r="C522" s="19"/>
      <c r="D522" s="20"/>
      <c r="E522" s="19"/>
      <c r="F522" s="19"/>
      <c r="G522" s="19"/>
      <c r="H522" s="19"/>
      <c r="I522" s="19"/>
      <c r="J522" s="19"/>
    </row>
    <row r="523" spans="1:10" x14ac:dyDescent="0.2">
      <c r="A523" s="19"/>
      <c r="B523" s="19"/>
      <c r="C523" s="19"/>
      <c r="D523" s="20"/>
      <c r="E523" s="19"/>
      <c r="F523" s="19"/>
      <c r="G523" s="19"/>
      <c r="H523" s="19"/>
      <c r="I523" s="19"/>
      <c r="J523" s="19"/>
    </row>
    <row r="524" spans="1:10" x14ac:dyDescent="0.2">
      <c r="A524" s="19"/>
      <c r="B524" s="19"/>
      <c r="C524" s="19"/>
      <c r="D524" s="20"/>
      <c r="E524" s="19"/>
      <c r="F524" s="19"/>
      <c r="G524" s="19"/>
      <c r="H524" s="19"/>
      <c r="I524" s="19"/>
      <c r="J524" s="19"/>
    </row>
    <row r="525" spans="1:10" x14ac:dyDescent="0.2">
      <c r="A525" s="19"/>
      <c r="B525" s="19"/>
      <c r="C525" s="19"/>
      <c r="D525" s="20"/>
      <c r="E525" s="19"/>
      <c r="F525" s="19"/>
      <c r="G525" s="19"/>
      <c r="H525" s="19"/>
      <c r="I525" s="19"/>
      <c r="J525" s="19"/>
    </row>
    <row r="526" spans="1:10" x14ac:dyDescent="0.2">
      <c r="A526" s="19"/>
      <c r="B526" s="19"/>
      <c r="C526" s="19"/>
      <c r="D526" s="20"/>
      <c r="E526" s="19"/>
      <c r="F526" s="19"/>
      <c r="G526" s="19"/>
      <c r="H526" s="19"/>
      <c r="I526" s="19"/>
      <c r="J526" s="19"/>
    </row>
    <row r="527" spans="1:10" x14ac:dyDescent="0.2">
      <c r="A527" s="19"/>
      <c r="B527" s="19"/>
      <c r="C527" s="19"/>
      <c r="D527" s="20"/>
      <c r="E527" s="19"/>
      <c r="F527" s="19"/>
      <c r="G527" s="19"/>
      <c r="H527" s="19"/>
      <c r="I527" s="19"/>
      <c r="J527" s="19"/>
    </row>
    <row r="528" spans="1:10" x14ac:dyDescent="0.2">
      <c r="A528" s="19"/>
      <c r="B528" s="19"/>
      <c r="C528" s="19"/>
      <c r="D528" s="20"/>
      <c r="E528" s="19"/>
      <c r="F528" s="19"/>
      <c r="G528" s="19"/>
      <c r="H528" s="19"/>
      <c r="I528" s="19"/>
      <c r="J528" s="19"/>
    </row>
    <row r="529" spans="1:10" x14ac:dyDescent="0.2">
      <c r="A529" s="19"/>
      <c r="B529" s="19"/>
      <c r="C529" s="19"/>
      <c r="D529" s="20"/>
      <c r="E529" s="19"/>
      <c r="F529" s="19"/>
      <c r="G529" s="19"/>
      <c r="H529" s="19"/>
      <c r="I529" s="19"/>
      <c r="J529" s="19"/>
    </row>
    <row r="530" spans="1:10" x14ac:dyDescent="0.2">
      <c r="A530" s="19"/>
      <c r="B530" s="19"/>
      <c r="C530" s="19"/>
      <c r="D530" s="20"/>
      <c r="E530" s="19"/>
      <c r="F530" s="19"/>
      <c r="G530" s="19"/>
      <c r="H530" s="19"/>
      <c r="I530" s="19"/>
      <c r="J530" s="19"/>
    </row>
    <row r="531" spans="1:10" x14ac:dyDescent="0.2">
      <c r="A531" s="19"/>
      <c r="B531" s="19"/>
      <c r="C531" s="19"/>
      <c r="D531" s="20"/>
      <c r="E531" s="19"/>
      <c r="F531" s="19"/>
      <c r="G531" s="19"/>
      <c r="H531" s="19"/>
      <c r="I531" s="19"/>
      <c r="J531" s="19"/>
    </row>
    <row r="532" spans="1:10" x14ac:dyDescent="0.2">
      <c r="A532" s="19"/>
      <c r="B532" s="19"/>
      <c r="C532" s="19"/>
      <c r="D532" s="20"/>
      <c r="E532" s="19"/>
      <c r="F532" s="19"/>
      <c r="G532" s="19"/>
      <c r="H532" s="19"/>
      <c r="I532" s="19"/>
      <c r="J532" s="19"/>
    </row>
    <row r="533" spans="1:10" x14ac:dyDescent="0.2">
      <c r="A533" s="19"/>
      <c r="B533" s="19"/>
      <c r="C533" s="19"/>
      <c r="D533" s="20"/>
      <c r="E533" s="19"/>
      <c r="F533" s="19"/>
      <c r="G533" s="19"/>
      <c r="H533" s="19"/>
      <c r="I533" s="19"/>
      <c r="J533" s="19"/>
    </row>
    <row r="534" spans="1:10" x14ac:dyDescent="0.2">
      <c r="A534" s="19"/>
      <c r="B534" s="19"/>
      <c r="C534" s="19"/>
      <c r="D534" s="20"/>
      <c r="E534" s="19"/>
      <c r="F534" s="19"/>
      <c r="G534" s="19"/>
      <c r="H534" s="19"/>
      <c r="I534" s="19"/>
      <c r="J534" s="19"/>
    </row>
    <row r="535" spans="1:10" x14ac:dyDescent="0.2">
      <c r="A535" s="19"/>
      <c r="B535" s="19"/>
      <c r="C535" s="19"/>
      <c r="D535" s="20"/>
      <c r="E535" s="19"/>
      <c r="F535" s="19"/>
      <c r="G535" s="19"/>
      <c r="H535" s="19"/>
      <c r="I535" s="19"/>
      <c r="J535" s="19"/>
    </row>
    <row r="536" spans="1:10" x14ac:dyDescent="0.2">
      <c r="A536" s="19"/>
      <c r="B536" s="19"/>
      <c r="C536" s="19"/>
      <c r="D536" s="20"/>
      <c r="E536" s="19"/>
      <c r="F536" s="19"/>
      <c r="G536" s="19"/>
      <c r="H536" s="19"/>
      <c r="I536" s="19"/>
      <c r="J536" s="19"/>
    </row>
    <row r="537" spans="1:10" x14ac:dyDescent="0.2">
      <c r="A537" s="19"/>
      <c r="B537" s="19"/>
      <c r="C537" s="19"/>
      <c r="D537" s="20"/>
      <c r="E537" s="19"/>
      <c r="F537" s="19"/>
      <c r="G537" s="19"/>
      <c r="H537" s="19"/>
      <c r="I537" s="19"/>
      <c r="J537" s="19"/>
    </row>
    <row r="538" spans="1:10" x14ac:dyDescent="0.2">
      <c r="A538" s="19"/>
      <c r="B538" s="19"/>
      <c r="C538" s="19"/>
      <c r="D538" s="20"/>
      <c r="E538" s="19"/>
      <c r="F538" s="19"/>
      <c r="G538" s="19"/>
      <c r="H538" s="19"/>
      <c r="I538" s="19"/>
      <c r="J538" s="19"/>
    </row>
    <row r="539" spans="1:10" x14ac:dyDescent="0.2">
      <c r="A539" s="19"/>
      <c r="B539" s="19"/>
      <c r="C539" s="19"/>
      <c r="D539" s="20"/>
      <c r="E539" s="19"/>
      <c r="F539" s="19"/>
      <c r="G539" s="19"/>
      <c r="H539" s="19"/>
      <c r="I539" s="19"/>
      <c r="J539" s="19"/>
    </row>
    <row r="540" spans="1:10" x14ac:dyDescent="0.2">
      <c r="A540" s="19"/>
      <c r="B540" s="19"/>
      <c r="C540" s="19"/>
      <c r="D540" s="20"/>
      <c r="E540" s="19"/>
      <c r="F540" s="19"/>
      <c r="G540" s="19"/>
      <c r="H540" s="19"/>
      <c r="I540" s="19"/>
      <c r="J540" s="19"/>
    </row>
    <row r="541" spans="1:10" x14ac:dyDescent="0.2">
      <c r="A541" s="19"/>
      <c r="B541" s="19"/>
      <c r="C541" s="19"/>
      <c r="D541" s="20"/>
      <c r="E541" s="19"/>
      <c r="F541" s="19"/>
      <c r="G541" s="19"/>
      <c r="H541" s="19"/>
      <c r="I541" s="19"/>
      <c r="J541" s="19"/>
    </row>
    <row r="542" spans="1:10" x14ac:dyDescent="0.2">
      <c r="A542" s="19"/>
      <c r="B542" s="19"/>
      <c r="C542" s="19"/>
      <c r="D542" s="20"/>
      <c r="E542" s="19"/>
      <c r="F542" s="19"/>
      <c r="G542" s="19"/>
      <c r="H542" s="19"/>
      <c r="I542" s="19"/>
      <c r="J542" s="19"/>
    </row>
    <row r="543" spans="1:10" x14ac:dyDescent="0.2">
      <c r="A543" s="19"/>
      <c r="B543" s="19"/>
      <c r="C543" s="19"/>
      <c r="D543" s="20"/>
      <c r="E543" s="19"/>
      <c r="F543" s="19"/>
      <c r="G543" s="19"/>
      <c r="H543" s="19"/>
      <c r="I543" s="19"/>
      <c r="J543" s="19"/>
    </row>
    <row r="544" spans="1:10" x14ac:dyDescent="0.2">
      <c r="A544" s="19"/>
      <c r="B544" s="19"/>
      <c r="C544" s="19"/>
      <c r="D544" s="20"/>
      <c r="E544" s="19"/>
      <c r="F544" s="19"/>
      <c r="G544" s="19"/>
      <c r="H544" s="19"/>
      <c r="I544" s="19"/>
      <c r="J544" s="19"/>
    </row>
    <row r="545" spans="1:10" x14ac:dyDescent="0.2">
      <c r="A545" s="19"/>
      <c r="B545" s="19"/>
      <c r="C545" s="19"/>
      <c r="D545" s="20"/>
      <c r="E545" s="19"/>
      <c r="F545" s="19"/>
      <c r="G545" s="19"/>
      <c r="H545" s="19"/>
      <c r="I545" s="19"/>
      <c r="J545" s="19"/>
    </row>
    <row r="546" spans="1:10" x14ac:dyDescent="0.2">
      <c r="A546" s="19"/>
      <c r="B546" s="19"/>
      <c r="C546" s="19"/>
      <c r="D546" s="20"/>
      <c r="E546" s="19"/>
      <c r="F546" s="19"/>
      <c r="G546" s="19"/>
      <c r="H546" s="19"/>
      <c r="I546" s="19"/>
      <c r="J546" s="19"/>
    </row>
    <row r="547" spans="1:10" x14ac:dyDescent="0.2">
      <c r="A547" s="19"/>
      <c r="B547" s="19"/>
      <c r="C547" s="19"/>
      <c r="D547" s="20"/>
      <c r="E547" s="19"/>
      <c r="F547" s="19"/>
      <c r="G547" s="19"/>
      <c r="H547" s="19"/>
      <c r="I547" s="19"/>
      <c r="J547" s="19"/>
    </row>
    <row r="548" spans="1:10" x14ac:dyDescent="0.2">
      <c r="A548" s="19"/>
      <c r="B548" s="19"/>
      <c r="C548" s="19"/>
      <c r="D548" s="20"/>
      <c r="E548" s="19"/>
      <c r="F548" s="19"/>
      <c r="G548" s="19"/>
      <c r="H548" s="19"/>
      <c r="I548" s="19"/>
      <c r="J548" s="19"/>
    </row>
    <row r="549" spans="1:10" x14ac:dyDescent="0.2">
      <c r="A549" s="19"/>
      <c r="B549" s="19"/>
      <c r="C549" s="19"/>
      <c r="D549" s="20"/>
      <c r="E549" s="19"/>
      <c r="F549" s="19"/>
      <c r="G549" s="19"/>
      <c r="H549" s="19"/>
      <c r="I549" s="19"/>
      <c r="J549" s="19"/>
    </row>
    <row r="550" spans="1:10" x14ac:dyDescent="0.2">
      <c r="A550" s="19"/>
      <c r="B550" s="19"/>
      <c r="C550" s="19"/>
      <c r="D550" s="20"/>
      <c r="E550" s="19"/>
      <c r="F550" s="19"/>
      <c r="G550" s="19"/>
      <c r="H550" s="19"/>
      <c r="I550" s="19"/>
      <c r="J550" s="19"/>
    </row>
    <row r="551" spans="1:10" x14ac:dyDescent="0.2">
      <c r="A551" s="19"/>
      <c r="B551" s="19"/>
      <c r="C551" s="19"/>
      <c r="D551" s="20"/>
      <c r="E551" s="19"/>
      <c r="F551" s="19"/>
      <c r="G551" s="19"/>
      <c r="H551" s="19"/>
      <c r="I551" s="19"/>
      <c r="J551" s="19"/>
    </row>
    <row r="552" spans="1:10" x14ac:dyDescent="0.2">
      <c r="A552" s="19"/>
      <c r="B552" s="19"/>
      <c r="C552" s="19"/>
      <c r="D552" s="20"/>
      <c r="E552" s="19"/>
      <c r="F552" s="19"/>
      <c r="G552" s="19"/>
      <c r="H552" s="19"/>
      <c r="I552" s="19"/>
      <c r="J552" s="19"/>
    </row>
    <row r="553" spans="1:10" x14ac:dyDescent="0.2">
      <c r="A553" s="19"/>
      <c r="B553" s="19"/>
      <c r="C553" s="19"/>
      <c r="D553" s="20"/>
      <c r="E553" s="19"/>
      <c r="F553" s="19"/>
      <c r="G553" s="19"/>
      <c r="H553" s="19"/>
      <c r="I553" s="19"/>
      <c r="J553" s="19"/>
    </row>
    <row r="554" spans="1:10" x14ac:dyDescent="0.2">
      <c r="A554" s="19"/>
      <c r="B554" s="19"/>
      <c r="C554" s="19"/>
      <c r="D554" s="20"/>
      <c r="E554" s="19"/>
      <c r="F554" s="19"/>
      <c r="G554" s="19"/>
      <c r="H554" s="19"/>
      <c r="I554" s="19"/>
      <c r="J554" s="19"/>
    </row>
    <row r="555" spans="1:10" x14ac:dyDescent="0.2">
      <c r="A555" s="19"/>
      <c r="B555" s="19"/>
      <c r="C555" s="19"/>
      <c r="D555" s="20"/>
      <c r="E555" s="19"/>
      <c r="F555" s="19"/>
      <c r="G555" s="19"/>
      <c r="H555" s="19"/>
      <c r="I555" s="19"/>
      <c r="J555" s="19"/>
    </row>
    <row r="556" spans="1:10" x14ac:dyDescent="0.2">
      <c r="A556" s="19"/>
      <c r="B556" s="19"/>
      <c r="C556" s="19"/>
      <c r="D556" s="20"/>
      <c r="E556" s="19"/>
      <c r="F556" s="19"/>
      <c r="G556" s="19"/>
      <c r="H556" s="19"/>
      <c r="I556" s="19"/>
      <c r="J556" s="19"/>
    </row>
    <row r="557" spans="1:10" x14ac:dyDescent="0.2">
      <c r="A557" s="19"/>
      <c r="B557" s="19"/>
      <c r="C557" s="19"/>
      <c r="D557" s="20"/>
      <c r="E557" s="19"/>
      <c r="F557" s="19"/>
      <c r="G557" s="19"/>
      <c r="H557" s="19"/>
      <c r="I557" s="19"/>
      <c r="J557" s="19"/>
    </row>
    <row r="558" spans="1:10" x14ac:dyDescent="0.2">
      <c r="A558" s="19"/>
      <c r="B558" s="19"/>
      <c r="C558" s="19"/>
      <c r="D558" s="20"/>
      <c r="E558" s="19"/>
      <c r="F558" s="19"/>
      <c r="G558" s="19"/>
      <c r="H558" s="19"/>
      <c r="I558" s="19"/>
      <c r="J558" s="19"/>
    </row>
    <row r="559" spans="1:10" x14ac:dyDescent="0.2">
      <c r="A559" s="19"/>
      <c r="B559" s="19"/>
      <c r="C559" s="19"/>
      <c r="D559" s="20"/>
      <c r="E559" s="19"/>
      <c r="F559" s="19"/>
      <c r="G559" s="19"/>
      <c r="H559" s="19"/>
      <c r="I559" s="19"/>
      <c r="J559" s="19"/>
    </row>
    <row r="560" spans="1:10" x14ac:dyDescent="0.2">
      <c r="A560" s="19"/>
      <c r="B560" s="19"/>
      <c r="C560" s="19"/>
      <c r="D560" s="20"/>
      <c r="E560" s="19"/>
      <c r="F560" s="19"/>
      <c r="G560" s="19"/>
      <c r="H560" s="19"/>
      <c r="I560" s="19"/>
      <c r="J560" s="19"/>
    </row>
    <row r="561" spans="1:10" x14ac:dyDescent="0.2">
      <c r="A561" s="19"/>
      <c r="B561" s="19"/>
      <c r="C561" s="19"/>
      <c r="D561" s="20"/>
      <c r="E561" s="19"/>
      <c r="F561" s="19"/>
      <c r="G561" s="19"/>
      <c r="H561" s="19"/>
      <c r="I561" s="19"/>
      <c r="J561" s="19"/>
    </row>
    <row r="562" spans="1:10" x14ac:dyDescent="0.2">
      <c r="A562" s="19"/>
      <c r="B562" s="19"/>
      <c r="C562" s="19"/>
      <c r="D562" s="20"/>
      <c r="E562" s="19"/>
      <c r="F562" s="19"/>
      <c r="G562" s="19"/>
      <c r="H562" s="19"/>
      <c r="I562" s="19"/>
      <c r="J562" s="19"/>
    </row>
    <row r="563" spans="1:10" x14ac:dyDescent="0.2">
      <c r="A563" s="19"/>
      <c r="B563" s="19"/>
      <c r="C563" s="19"/>
      <c r="D563" s="20"/>
      <c r="E563" s="19"/>
      <c r="F563" s="19"/>
      <c r="G563" s="19"/>
      <c r="H563" s="19"/>
      <c r="I563" s="19"/>
      <c r="J563" s="19"/>
    </row>
    <row r="564" spans="1:10" x14ac:dyDescent="0.2">
      <c r="A564" s="19"/>
      <c r="B564" s="19"/>
      <c r="C564" s="19"/>
      <c r="D564" s="20"/>
      <c r="E564" s="19"/>
      <c r="F564" s="19"/>
      <c r="G564" s="19"/>
      <c r="H564" s="19"/>
      <c r="I564" s="19"/>
      <c r="J564" s="19"/>
    </row>
    <row r="565" spans="1:10" x14ac:dyDescent="0.2">
      <c r="A565" s="19"/>
      <c r="B565" s="19"/>
      <c r="C565" s="19"/>
      <c r="D565" s="20"/>
      <c r="E565" s="19"/>
      <c r="F565" s="19"/>
      <c r="G565" s="19"/>
      <c r="H565" s="19"/>
      <c r="I565" s="19"/>
      <c r="J565" s="19"/>
    </row>
    <row r="566" spans="1:10" x14ac:dyDescent="0.2">
      <c r="A566" s="19"/>
      <c r="B566" s="19"/>
      <c r="C566" s="19"/>
      <c r="D566" s="20"/>
      <c r="E566" s="19"/>
      <c r="F566" s="19"/>
      <c r="G566" s="19"/>
      <c r="H566" s="19"/>
      <c r="I566" s="19"/>
      <c r="J566" s="19"/>
    </row>
    <row r="567" spans="1:10" x14ac:dyDescent="0.2">
      <c r="A567" s="19"/>
      <c r="B567" s="19"/>
      <c r="C567" s="19"/>
      <c r="D567" s="20"/>
      <c r="E567" s="19"/>
      <c r="F567" s="19"/>
      <c r="G567" s="19"/>
      <c r="H567" s="19"/>
      <c r="I567" s="19"/>
      <c r="J567" s="19"/>
    </row>
    <row r="568" spans="1:10" x14ac:dyDescent="0.2">
      <c r="A568" s="19"/>
      <c r="B568" s="19"/>
      <c r="C568" s="19"/>
      <c r="D568" s="20"/>
      <c r="E568" s="19"/>
      <c r="F568" s="19"/>
      <c r="G568" s="19"/>
      <c r="H568" s="19"/>
      <c r="I568" s="19"/>
      <c r="J568" s="19"/>
    </row>
    <row r="569" spans="1:10" x14ac:dyDescent="0.2">
      <c r="A569" s="19"/>
      <c r="B569" s="19"/>
      <c r="C569" s="19"/>
      <c r="D569" s="20"/>
      <c r="E569" s="19"/>
      <c r="F569" s="19"/>
      <c r="G569" s="19"/>
      <c r="H569" s="19"/>
      <c r="I569" s="19"/>
      <c r="J569" s="19"/>
    </row>
    <row r="570" spans="1:10" x14ac:dyDescent="0.2">
      <c r="A570" s="19"/>
      <c r="B570" s="19"/>
      <c r="C570" s="19"/>
      <c r="D570" s="20"/>
      <c r="E570" s="19"/>
      <c r="F570" s="19"/>
      <c r="G570" s="19"/>
      <c r="H570" s="19"/>
      <c r="I570" s="19"/>
      <c r="J570" s="19"/>
    </row>
    <row r="571" spans="1:10" x14ac:dyDescent="0.2">
      <c r="A571" s="19"/>
      <c r="B571" s="19"/>
      <c r="C571" s="19"/>
      <c r="D571" s="20"/>
      <c r="E571" s="19"/>
      <c r="F571" s="19"/>
      <c r="G571" s="19"/>
      <c r="H571" s="19"/>
      <c r="I571" s="19"/>
      <c r="J571" s="19"/>
    </row>
    <row r="572" spans="1:10" x14ac:dyDescent="0.2">
      <c r="A572" s="19"/>
      <c r="B572" s="19"/>
      <c r="C572" s="19"/>
      <c r="D572" s="20"/>
      <c r="E572" s="19"/>
      <c r="F572" s="19"/>
      <c r="G572" s="19"/>
      <c r="H572" s="19"/>
      <c r="I572" s="19"/>
      <c r="J572" s="19"/>
    </row>
    <row r="573" spans="1:10" x14ac:dyDescent="0.2">
      <c r="A573" s="19"/>
      <c r="B573" s="19"/>
      <c r="C573" s="19"/>
      <c r="D573" s="20"/>
      <c r="E573" s="19"/>
      <c r="F573" s="19"/>
      <c r="G573" s="19"/>
      <c r="H573" s="19"/>
      <c r="I573" s="19"/>
      <c r="J573" s="19"/>
    </row>
    <row r="574" spans="1:10" x14ac:dyDescent="0.2">
      <c r="A574" s="19"/>
      <c r="B574" s="19"/>
      <c r="C574" s="19"/>
      <c r="D574" s="20"/>
      <c r="E574" s="19"/>
      <c r="F574" s="19"/>
      <c r="G574" s="19"/>
      <c r="H574" s="19"/>
      <c r="I574" s="19"/>
      <c r="J574" s="19"/>
    </row>
    <row r="575" spans="1:10" x14ac:dyDescent="0.2">
      <c r="A575" s="19"/>
      <c r="B575" s="19"/>
      <c r="C575" s="19"/>
      <c r="D575" s="20"/>
      <c r="E575" s="19"/>
      <c r="F575" s="19"/>
      <c r="G575" s="19"/>
      <c r="H575" s="19"/>
      <c r="I575" s="19"/>
      <c r="J575" s="19"/>
    </row>
    <row r="576" spans="1:10" x14ac:dyDescent="0.2">
      <c r="A576" s="19"/>
      <c r="B576" s="19"/>
      <c r="C576" s="19"/>
      <c r="D576" s="20"/>
      <c r="E576" s="19"/>
      <c r="F576" s="19"/>
      <c r="G576" s="19"/>
      <c r="H576" s="19"/>
      <c r="I576" s="19"/>
      <c r="J576" s="19"/>
    </row>
    <row r="577" spans="1:10" x14ac:dyDescent="0.2">
      <c r="A577" s="19"/>
      <c r="B577" s="19"/>
      <c r="C577" s="19"/>
      <c r="D577" s="20"/>
      <c r="E577" s="19"/>
      <c r="F577" s="19"/>
      <c r="G577" s="19"/>
      <c r="H577" s="19"/>
      <c r="I577" s="19"/>
      <c r="J577" s="19"/>
    </row>
    <row r="578" spans="1:10" x14ac:dyDescent="0.2">
      <c r="A578" s="19"/>
      <c r="B578" s="19"/>
      <c r="C578" s="19"/>
      <c r="D578" s="20"/>
      <c r="E578" s="19"/>
      <c r="F578" s="19"/>
      <c r="G578" s="19"/>
      <c r="H578" s="19"/>
      <c r="I578" s="19"/>
      <c r="J578" s="19"/>
    </row>
    <row r="579" spans="1:10" x14ac:dyDescent="0.2">
      <c r="A579" s="19"/>
      <c r="B579" s="19"/>
      <c r="C579" s="19"/>
      <c r="D579" s="20"/>
      <c r="E579" s="19"/>
      <c r="F579" s="19"/>
      <c r="G579" s="19"/>
      <c r="H579" s="19"/>
      <c r="I579" s="19"/>
      <c r="J579" s="19"/>
    </row>
    <row r="580" spans="1:10" x14ac:dyDescent="0.2">
      <c r="A580" s="19"/>
      <c r="B580" s="19"/>
      <c r="C580" s="19"/>
      <c r="D580" s="20"/>
      <c r="E580" s="19"/>
      <c r="F580" s="19"/>
      <c r="G580" s="19"/>
      <c r="H580" s="19"/>
      <c r="I580" s="19"/>
      <c r="J580" s="19"/>
    </row>
    <row r="581" spans="1:10" x14ac:dyDescent="0.2">
      <c r="A581" s="19"/>
      <c r="B581" s="19"/>
      <c r="C581" s="19"/>
      <c r="D581" s="20"/>
      <c r="E581" s="19"/>
      <c r="F581" s="19"/>
      <c r="G581" s="19"/>
      <c r="H581" s="19"/>
      <c r="I581" s="19"/>
      <c r="J581" s="19"/>
    </row>
    <row r="582" spans="1:10" x14ac:dyDescent="0.2">
      <c r="A582" s="19"/>
      <c r="B582" s="19"/>
      <c r="C582" s="19"/>
      <c r="D582" s="20"/>
      <c r="E582" s="19"/>
      <c r="F582" s="19"/>
      <c r="G582" s="19"/>
      <c r="H582" s="19"/>
      <c r="I582" s="19"/>
      <c r="J582" s="19"/>
    </row>
    <row r="583" spans="1:10" x14ac:dyDescent="0.2">
      <c r="A583" s="19"/>
      <c r="B583" s="19"/>
      <c r="C583" s="19"/>
      <c r="D583" s="20"/>
      <c r="E583" s="19"/>
      <c r="F583" s="19"/>
      <c r="G583" s="19"/>
      <c r="H583" s="19"/>
      <c r="I583" s="19"/>
      <c r="J583" s="19"/>
    </row>
    <row r="584" spans="1:10" x14ac:dyDescent="0.2">
      <c r="A584" s="19"/>
      <c r="B584" s="19"/>
      <c r="C584" s="19"/>
      <c r="D584" s="20"/>
      <c r="E584" s="19"/>
      <c r="F584" s="19"/>
      <c r="G584" s="19"/>
      <c r="H584" s="19"/>
      <c r="I584" s="19"/>
      <c r="J584" s="19"/>
    </row>
    <row r="585" spans="1:10" x14ac:dyDescent="0.2">
      <c r="A585" s="19"/>
      <c r="B585" s="19"/>
      <c r="C585" s="19"/>
      <c r="D585" s="20"/>
      <c r="E585" s="19"/>
      <c r="F585" s="19"/>
      <c r="G585" s="19"/>
      <c r="H585" s="19"/>
      <c r="I585" s="19"/>
      <c r="J585" s="19"/>
    </row>
    <row r="586" spans="1:10" x14ac:dyDescent="0.2">
      <c r="A586" s="19"/>
      <c r="B586" s="19"/>
      <c r="C586" s="19"/>
      <c r="D586" s="20"/>
      <c r="E586" s="19"/>
      <c r="F586" s="19"/>
      <c r="G586" s="19"/>
      <c r="H586" s="19"/>
      <c r="I586" s="19"/>
      <c r="J586" s="19"/>
    </row>
    <row r="587" spans="1:10" x14ac:dyDescent="0.2">
      <c r="A587" s="19"/>
      <c r="B587" s="19"/>
      <c r="C587" s="19"/>
      <c r="D587" s="20"/>
      <c r="E587" s="19"/>
      <c r="F587" s="19"/>
      <c r="G587" s="19"/>
      <c r="H587" s="19"/>
      <c r="I587" s="19"/>
      <c r="J587" s="19"/>
    </row>
    <row r="588" spans="1:10" x14ac:dyDescent="0.2">
      <c r="A588" s="19"/>
      <c r="B588" s="19"/>
      <c r="C588" s="19"/>
      <c r="D588" s="20"/>
      <c r="E588" s="19"/>
      <c r="F588" s="19"/>
      <c r="G588" s="19"/>
      <c r="H588" s="19"/>
      <c r="I588" s="19"/>
      <c r="J588" s="19"/>
    </row>
    <row r="589" spans="1:10" x14ac:dyDescent="0.2">
      <c r="A589" s="19"/>
      <c r="B589" s="19"/>
      <c r="C589" s="19"/>
      <c r="D589" s="20"/>
      <c r="E589" s="19"/>
      <c r="F589" s="19"/>
      <c r="G589" s="19"/>
      <c r="H589" s="19"/>
      <c r="I589" s="19"/>
      <c r="J589" s="19"/>
    </row>
    <row r="590" spans="1:10" x14ac:dyDescent="0.2">
      <c r="A590" s="19"/>
      <c r="B590" s="19"/>
      <c r="C590" s="19"/>
      <c r="D590" s="20"/>
      <c r="E590" s="19"/>
      <c r="F590" s="19"/>
      <c r="G590" s="19"/>
      <c r="H590" s="19"/>
      <c r="I590" s="19"/>
      <c r="J590" s="19"/>
    </row>
    <row r="591" spans="1:10" x14ac:dyDescent="0.2">
      <c r="A591" s="19"/>
      <c r="B591" s="19"/>
      <c r="C591" s="19"/>
      <c r="D591" s="20"/>
      <c r="E591" s="19"/>
      <c r="F591" s="19"/>
      <c r="G591" s="19"/>
      <c r="H591" s="19"/>
      <c r="I591" s="19"/>
      <c r="J591" s="19"/>
    </row>
    <row r="592" spans="1:10" x14ac:dyDescent="0.2">
      <c r="A592" s="19"/>
      <c r="B592" s="19"/>
      <c r="C592" s="19"/>
      <c r="D592" s="20"/>
      <c r="E592" s="19"/>
      <c r="F592" s="19"/>
      <c r="G592" s="19"/>
      <c r="H592" s="19"/>
      <c r="I592" s="19"/>
      <c r="J592" s="19"/>
    </row>
    <row r="593" spans="1:10" x14ac:dyDescent="0.2">
      <c r="A593" s="19"/>
      <c r="B593" s="19"/>
      <c r="C593" s="19"/>
      <c r="D593" s="20"/>
      <c r="E593" s="19"/>
      <c r="F593" s="19"/>
      <c r="G593" s="19"/>
      <c r="H593" s="19"/>
      <c r="I593" s="19"/>
      <c r="J593" s="19"/>
    </row>
    <row r="594" spans="1:10" x14ac:dyDescent="0.2">
      <c r="A594" s="19"/>
      <c r="B594" s="19"/>
      <c r="C594" s="19"/>
      <c r="D594" s="20"/>
      <c r="E594" s="19"/>
      <c r="F594" s="19"/>
      <c r="G594" s="19"/>
      <c r="H594" s="19"/>
      <c r="I594" s="19"/>
      <c r="J594" s="19"/>
    </row>
    <row r="595" spans="1:10" x14ac:dyDescent="0.2">
      <c r="A595" s="19"/>
      <c r="B595" s="19"/>
      <c r="C595" s="19"/>
      <c r="D595" s="20"/>
      <c r="E595" s="19"/>
      <c r="F595" s="19"/>
      <c r="G595" s="19"/>
      <c r="H595" s="19"/>
      <c r="I595" s="19"/>
      <c r="J595" s="19"/>
    </row>
    <row r="596" spans="1:10" x14ac:dyDescent="0.2">
      <c r="A596" s="19"/>
      <c r="B596" s="19"/>
      <c r="C596" s="19"/>
      <c r="D596" s="20"/>
      <c r="E596" s="19"/>
      <c r="F596" s="19"/>
      <c r="G596" s="19"/>
      <c r="H596" s="19"/>
      <c r="I596" s="19"/>
      <c r="J596" s="19"/>
    </row>
    <row r="597" spans="1:10" x14ac:dyDescent="0.2">
      <c r="A597" s="19"/>
      <c r="B597" s="19"/>
      <c r="C597" s="19"/>
      <c r="D597" s="20"/>
      <c r="E597" s="19"/>
      <c r="F597" s="19"/>
      <c r="G597" s="19"/>
      <c r="H597" s="19"/>
      <c r="I597" s="19"/>
      <c r="J597" s="19"/>
    </row>
    <row r="598" spans="1:10" x14ac:dyDescent="0.2">
      <c r="A598" s="19"/>
      <c r="B598" s="19"/>
      <c r="C598" s="19"/>
      <c r="D598" s="20"/>
      <c r="E598" s="19"/>
      <c r="F598" s="19"/>
      <c r="G598" s="19"/>
      <c r="H598" s="19"/>
      <c r="I598" s="19"/>
      <c r="J598" s="19"/>
    </row>
    <row r="599" spans="1:10" x14ac:dyDescent="0.2">
      <c r="A599" s="19"/>
      <c r="B599" s="19"/>
      <c r="C599" s="19"/>
      <c r="D599" s="20"/>
      <c r="E599" s="19"/>
      <c r="F599" s="19"/>
      <c r="G599" s="19"/>
      <c r="H599" s="19"/>
      <c r="I599" s="19"/>
      <c r="J599" s="19"/>
    </row>
    <row r="600" spans="1:10" x14ac:dyDescent="0.2">
      <c r="A600" s="19"/>
      <c r="B600" s="19"/>
      <c r="C600" s="19"/>
      <c r="D600" s="20"/>
      <c r="E600" s="19"/>
      <c r="F600" s="19"/>
      <c r="G600" s="19"/>
      <c r="H600" s="19"/>
      <c r="I600" s="19"/>
      <c r="J600" s="19"/>
    </row>
    <row r="601" spans="1:10" x14ac:dyDescent="0.2">
      <c r="A601" s="19"/>
      <c r="B601" s="19"/>
      <c r="C601" s="19"/>
      <c r="D601" s="20"/>
      <c r="E601" s="19"/>
      <c r="F601" s="19"/>
      <c r="G601" s="19"/>
      <c r="H601" s="19"/>
      <c r="I601" s="19"/>
      <c r="J601" s="19"/>
    </row>
    <row r="602" spans="1:10" x14ac:dyDescent="0.2">
      <c r="A602" s="19"/>
      <c r="B602" s="19"/>
      <c r="C602" s="19"/>
      <c r="D602" s="20"/>
      <c r="E602" s="19"/>
      <c r="F602" s="19"/>
      <c r="G602" s="19"/>
      <c r="H602" s="19"/>
      <c r="I602" s="19"/>
      <c r="J602" s="19"/>
    </row>
    <row r="603" spans="1:10" x14ac:dyDescent="0.2">
      <c r="A603" s="19"/>
      <c r="B603" s="19"/>
      <c r="C603" s="19"/>
      <c r="D603" s="20"/>
      <c r="E603" s="19"/>
      <c r="F603" s="19"/>
      <c r="G603" s="19"/>
      <c r="H603" s="19"/>
      <c r="I603" s="19"/>
      <c r="J603" s="19"/>
    </row>
    <row r="604" spans="1:10" x14ac:dyDescent="0.2">
      <c r="A604" s="19"/>
      <c r="B604" s="19"/>
      <c r="C604" s="19"/>
      <c r="D604" s="20"/>
      <c r="E604" s="19"/>
      <c r="F604" s="19"/>
      <c r="G604" s="19"/>
      <c r="H604" s="19"/>
      <c r="I604" s="19"/>
      <c r="J604" s="19"/>
    </row>
    <row r="605" spans="1:10" x14ac:dyDescent="0.2">
      <c r="A605" s="19"/>
      <c r="B605" s="19"/>
      <c r="C605" s="19"/>
      <c r="D605" s="20"/>
      <c r="E605" s="19"/>
      <c r="F605" s="19"/>
      <c r="G605" s="19"/>
      <c r="H605" s="19"/>
      <c r="I605" s="19"/>
      <c r="J605" s="19"/>
    </row>
    <row r="606" spans="1:10" x14ac:dyDescent="0.2">
      <c r="A606" s="19"/>
      <c r="B606" s="19"/>
      <c r="C606" s="19"/>
      <c r="D606" s="20"/>
      <c r="E606" s="19"/>
      <c r="F606" s="19"/>
      <c r="G606" s="19"/>
      <c r="H606" s="19"/>
      <c r="I606" s="19"/>
      <c r="J606" s="19"/>
    </row>
    <row r="607" spans="1:10" x14ac:dyDescent="0.2">
      <c r="A607" s="19"/>
      <c r="B607" s="19"/>
      <c r="C607" s="19"/>
      <c r="D607" s="20"/>
      <c r="E607" s="19"/>
      <c r="F607" s="19"/>
      <c r="G607" s="19"/>
      <c r="H607" s="19"/>
      <c r="I607" s="19"/>
      <c r="J607" s="19"/>
    </row>
    <row r="608" spans="1:10" x14ac:dyDescent="0.2">
      <c r="A608" s="19"/>
      <c r="B608" s="19"/>
      <c r="C608" s="19"/>
      <c r="D608" s="20"/>
      <c r="E608" s="19"/>
      <c r="F608" s="19"/>
      <c r="G608" s="19"/>
      <c r="H608" s="19"/>
      <c r="I608" s="19"/>
      <c r="J608" s="19"/>
    </row>
    <row r="609" spans="1:10" x14ac:dyDescent="0.2">
      <c r="A609" s="19"/>
      <c r="B609" s="19"/>
      <c r="C609" s="19"/>
      <c r="D609" s="20"/>
      <c r="E609" s="19"/>
      <c r="F609" s="19"/>
      <c r="G609" s="19"/>
      <c r="H609" s="19"/>
      <c r="I609" s="19"/>
      <c r="J609" s="19"/>
    </row>
    <row r="610" spans="1:10" x14ac:dyDescent="0.2">
      <c r="A610" s="19"/>
      <c r="B610" s="19"/>
      <c r="C610" s="19"/>
      <c r="D610" s="20"/>
      <c r="E610" s="19"/>
      <c r="F610" s="19"/>
      <c r="G610" s="19"/>
      <c r="H610" s="19"/>
      <c r="I610" s="19"/>
      <c r="J610" s="19"/>
    </row>
    <row r="611" spans="1:10" x14ac:dyDescent="0.2">
      <c r="A611" s="19"/>
      <c r="B611" s="19"/>
      <c r="C611" s="19"/>
      <c r="D611" s="20"/>
      <c r="E611" s="19"/>
      <c r="F611" s="19"/>
      <c r="G611" s="19"/>
      <c r="H611" s="19"/>
      <c r="I611" s="19"/>
      <c r="J611" s="19"/>
    </row>
    <row r="612" spans="1:10" x14ac:dyDescent="0.2">
      <c r="A612" s="19"/>
      <c r="B612" s="19"/>
      <c r="C612" s="19"/>
      <c r="D612" s="20"/>
      <c r="E612" s="19"/>
      <c r="F612" s="19"/>
      <c r="G612" s="19"/>
      <c r="H612" s="19"/>
      <c r="I612" s="19"/>
      <c r="J612" s="19"/>
    </row>
    <row r="613" spans="1:10" x14ac:dyDescent="0.2">
      <c r="A613" s="19"/>
      <c r="B613" s="19"/>
      <c r="C613" s="19"/>
      <c r="D613" s="20"/>
      <c r="E613" s="19"/>
      <c r="F613" s="19"/>
      <c r="G613" s="19"/>
      <c r="H613" s="19"/>
      <c r="I613" s="19"/>
      <c r="J613" s="19"/>
    </row>
    <row r="614" spans="1:10" x14ac:dyDescent="0.2">
      <c r="A614" s="19"/>
      <c r="B614" s="19"/>
      <c r="C614" s="19"/>
      <c r="D614" s="20"/>
      <c r="E614" s="19"/>
      <c r="F614" s="19"/>
      <c r="G614" s="19"/>
      <c r="H614" s="19"/>
      <c r="I614" s="19"/>
      <c r="J614" s="19"/>
    </row>
    <row r="615" spans="1:10" x14ac:dyDescent="0.2">
      <c r="A615" s="19"/>
      <c r="B615" s="19"/>
      <c r="C615" s="19"/>
      <c r="D615" s="20"/>
      <c r="E615" s="19"/>
      <c r="F615" s="19"/>
      <c r="G615" s="19"/>
      <c r="H615" s="19"/>
      <c r="I615" s="19"/>
      <c r="J615" s="19"/>
    </row>
    <row r="616" spans="1:10" x14ac:dyDescent="0.2">
      <c r="A616" s="19"/>
      <c r="B616" s="19"/>
      <c r="C616" s="19"/>
      <c r="D616" s="20"/>
      <c r="E616" s="19"/>
      <c r="F616" s="19"/>
      <c r="G616" s="19"/>
      <c r="H616" s="19"/>
      <c r="I616" s="19"/>
      <c r="J616" s="19"/>
    </row>
    <row r="617" spans="1:10" x14ac:dyDescent="0.2">
      <c r="A617" s="19"/>
      <c r="B617" s="19"/>
      <c r="C617" s="19"/>
      <c r="D617" s="20"/>
      <c r="E617" s="19"/>
      <c r="F617" s="19"/>
      <c r="G617" s="19"/>
      <c r="H617" s="19"/>
      <c r="I617" s="19"/>
      <c r="J617" s="19"/>
    </row>
    <row r="618" spans="1:10" x14ac:dyDescent="0.2">
      <c r="A618" s="19"/>
      <c r="B618" s="19"/>
      <c r="C618" s="19"/>
      <c r="D618" s="20"/>
      <c r="E618" s="19"/>
      <c r="F618" s="19"/>
      <c r="G618" s="19"/>
      <c r="H618" s="19"/>
      <c r="I618" s="19"/>
      <c r="J618" s="19"/>
    </row>
    <row r="619" spans="1:10" x14ac:dyDescent="0.2">
      <c r="A619" s="19"/>
      <c r="B619" s="19"/>
      <c r="C619" s="19"/>
      <c r="D619" s="20"/>
      <c r="E619" s="19"/>
      <c r="F619" s="19"/>
      <c r="G619" s="19"/>
      <c r="H619" s="19"/>
      <c r="I619" s="19"/>
      <c r="J619" s="19"/>
    </row>
    <row r="620" spans="1:10" x14ac:dyDescent="0.2">
      <c r="A620" s="19"/>
      <c r="B620" s="19"/>
      <c r="C620" s="19"/>
      <c r="D620" s="20"/>
      <c r="E620" s="19"/>
      <c r="F620" s="19"/>
      <c r="G620" s="19"/>
      <c r="H620" s="19"/>
      <c r="I620" s="19"/>
      <c r="J620" s="19"/>
    </row>
    <row r="621" spans="1:10" x14ac:dyDescent="0.2">
      <c r="A621" s="19"/>
      <c r="B621" s="19"/>
      <c r="C621" s="19"/>
      <c r="D621" s="20"/>
      <c r="E621" s="19"/>
      <c r="F621" s="19"/>
      <c r="G621" s="19"/>
      <c r="H621" s="19"/>
      <c r="I621" s="19"/>
      <c r="J621" s="19"/>
    </row>
    <row r="622" spans="1:10" x14ac:dyDescent="0.2">
      <c r="A622" s="19"/>
      <c r="B622" s="19"/>
      <c r="C622" s="19"/>
      <c r="D622" s="20"/>
      <c r="E622" s="19"/>
      <c r="F622" s="19"/>
      <c r="G622" s="19"/>
      <c r="H622" s="19"/>
      <c r="I622" s="19"/>
      <c r="J622" s="19"/>
    </row>
    <row r="623" spans="1:10" x14ac:dyDescent="0.2">
      <c r="A623" s="19"/>
      <c r="B623" s="19"/>
      <c r="C623" s="19"/>
      <c r="D623" s="20"/>
      <c r="E623" s="19"/>
      <c r="F623" s="19"/>
      <c r="G623" s="19"/>
      <c r="H623" s="19"/>
      <c r="I623" s="19"/>
      <c r="J623" s="19"/>
    </row>
    <row r="624" spans="1:10" x14ac:dyDescent="0.2">
      <c r="A624" s="19"/>
      <c r="B624" s="19"/>
      <c r="C624" s="19"/>
      <c r="D624" s="20"/>
      <c r="E624" s="19"/>
      <c r="F624" s="19"/>
      <c r="G624" s="19"/>
      <c r="H624" s="19"/>
      <c r="I624" s="19"/>
      <c r="J624" s="19"/>
    </row>
    <row r="625" spans="1:10" x14ac:dyDescent="0.2">
      <c r="A625" s="19"/>
      <c r="B625" s="19"/>
      <c r="C625" s="19"/>
      <c r="D625" s="20"/>
      <c r="E625" s="19"/>
      <c r="F625" s="19"/>
      <c r="G625" s="19"/>
      <c r="H625" s="19"/>
      <c r="I625" s="19"/>
      <c r="J625" s="19"/>
    </row>
    <row r="626" spans="1:10" x14ac:dyDescent="0.2">
      <c r="A626" s="19"/>
      <c r="B626" s="19"/>
      <c r="C626" s="19"/>
      <c r="D626" s="20"/>
      <c r="E626" s="19"/>
      <c r="F626" s="19"/>
      <c r="G626" s="19"/>
      <c r="H626" s="19"/>
      <c r="I626" s="19"/>
      <c r="J626" s="19"/>
    </row>
    <row r="627" spans="1:10" x14ac:dyDescent="0.2">
      <c r="A627" s="19"/>
      <c r="B627" s="19"/>
      <c r="C627" s="19"/>
      <c r="D627" s="20"/>
      <c r="E627" s="19"/>
      <c r="F627" s="19"/>
      <c r="G627" s="19"/>
      <c r="H627" s="19"/>
      <c r="I627" s="19"/>
      <c r="J627" s="19"/>
    </row>
    <row r="628" spans="1:10" x14ac:dyDescent="0.2">
      <c r="A628" s="19"/>
      <c r="B628" s="19"/>
      <c r="C628" s="19"/>
      <c r="D628" s="20"/>
      <c r="E628" s="19"/>
      <c r="F628" s="19"/>
      <c r="G628" s="19"/>
      <c r="H628" s="19"/>
      <c r="I628" s="19"/>
      <c r="J628" s="19"/>
    </row>
    <row r="629" spans="1:10" x14ac:dyDescent="0.2">
      <c r="A629" s="19"/>
      <c r="B629" s="19"/>
      <c r="C629" s="19"/>
      <c r="D629" s="20"/>
      <c r="E629" s="19"/>
      <c r="F629" s="19"/>
      <c r="G629" s="19"/>
      <c r="H629" s="19"/>
      <c r="I629" s="19"/>
      <c r="J629" s="19"/>
    </row>
    <row r="630" spans="1:10" x14ac:dyDescent="0.2">
      <c r="A630" s="19"/>
      <c r="B630" s="19"/>
      <c r="C630" s="19"/>
      <c r="D630" s="20"/>
      <c r="E630" s="19"/>
      <c r="F630" s="19"/>
      <c r="G630" s="19"/>
      <c r="H630" s="19"/>
      <c r="I630" s="19"/>
      <c r="J630" s="19"/>
    </row>
    <row r="631" spans="1:10" x14ac:dyDescent="0.2">
      <c r="A631" s="19"/>
      <c r="B631" s="19"/>
      <c r="C631" s="19"/>
      <c r="D631" s="20"/>
      <c r="E631" s="19"/>
      <c r="F631" s="19"/>
      <c r="G631" s="19"/>
      <c r="H631" s="19"/>
      <c r="I631" s="19"/>
      <c r="J631" s="19"/>
    </row>
    <row r="632" spans="1:10" x14ac:dyDescent="0.2">
      <c r="A632" s="19"/>
      <c r="B632" s="19"/>
      <c r="C632" s="19"/>
      <c r="D632" s="20"/>
      <c r="E632" s="19"/>
      <c r="F632" s="19"/>
      <c r="G632" s="19"/>
      <c r="H632" s="19"/>
      <c r="I632" s="19"/>
      <c r="J632" s="19"/>
    </row>
    <row r="633" spans="1:10" x14ac:dyDescent="0.2">
      <c r="A633" s="19"/>
      <c r="B633" s="19"/>
      <c r="C633" s="19"/>
      <c r="D633" s="20"/>
      <c r="E633" s="19"/>
      <c r="F633" s="19"/>
      <c r="G633" s="19"/>
      <c r="H633" s="19"/>
      <c r="I633" s="19"/>
      <c r="J633" s="19"/>
    </row>
    <row r="634" spans="1:10" x14ac:dyDescent="0.2">
      <c r="A634" s="19"/>
      <c r="B634" s="19"/>
      <c r="C634" s="19"/>
      <c r="D634" s="20"/>
      <c r="E634" s="19"/>
      <c r="F634" s="19"/>
      <c r="G634" s="19"/>
      <c r="H634" s="19"/>
      <c r="I634" s="19"/>
      <c r="J634" s="19"/>
    </row>
    <row r="635" spans="1:10" x14ac:dyDescent="0.2">
      <c r="A635" s="19"/>
      <c r="B635" s="19"/>
      <c r="C635" s="19"/>
      <c r="D635" s="20"/>
      <c r="E635" s="19"/>
      <c r="F635" s="19"/>
      <c r="G635" s="19"/>
      <c r="H635" s="19"/>
      <c r="I635" s="19"/>
      <c r="J635" s="19"/>
    </row>
    <row r="636" spans="1:10" x14ac:dyDescent="0.2">
      <c r="A636" s="19"/>
      <c r="B636" s="19"/>
      <c r="C636" s="19"/>
      <c r="D636" s="20"/>
      <c r="E636" s="19"/>
      <c r="F636" s="19"/>
      <c r="G636" s="19"/>
      <c r="H636" s="19"/>
      <c r="I636" s="19"/>
      <c r="J636" s="19"/>
    </row>
    <row r="637" spans="1:10" x14ac:dyDescent="0.2">
      <c r="A637" s="19"/>
      <c r="B637" s="19"/>
      <c r="C637" s="19"/>
      <c r="D637" s="20"/>
      <c r="E637" s="19"/>
      <c r="F637" s="19"/>
      <c r="G637" s="19"/>
      <c r="H637" s="19"/>
      <c r="I637" s="19"/>
      <c r="J637" s="19"/>
    </row>
    <row r="638" spans="1:10" x14ac:dyDescent="0.2">
      <c r="A638" s="19"/>
      <c r="B638" s="19"/>
      <c r="C638" s="19"/>
      <c r="D638" s="20"/>
      <c r="E638" s="19"/>
      <c r="F638" s="19"/>
      <c r="G638" s="19"/>
      <c r="H638" s="19"/>
      <c r="I638" s="19"/>
      <c r="J638" s="19"/>
    </row>
    <row r="639" spans="1:10" x14ac:dyDescent="0.2">
      <c r="A639" s="19"/>
      <c r="B639" s="19"/>
      <c r="C639" s="19"/>
      <c r="D639" s="20"/>
      <c r="E639" s="19"/>
      <c r="F639" s="19"/>
      <c r="G639" s="19"/>
      <c r="H639" s="19"/>
      <c r="I639" s="19"/>
      <c r="J639" s="19"/>
    </row>
    <row r="640" spans="1:10" x14ac:dyDescent="0.2">
      <c r="A640" s="19"/>
      <c r="B640" s="19"/>
      <c r="C640" s="19"/>
      <c r="D640" s="20"/>
      <c r="E640" s="19"/>
      <c r="F640" s="19"/>
      <c r="G640" s="19"/>
      <c r="H640" s="19"/>
      <c r="I640" s="19"/>
      <c r="J640" s="19"/>
    </row>
    <row r="641" spans="1:10" x14ac:dyDescent="0.2">
      <c r="A641" s="19"/>
      <c r="B641" s="19"/>
      <c r="C641" s="19"/>
      <c r="D641" s="20"/>
      <c r="E641" s="19"/>
      <c r="F641" s="19"/>
      <c r="G641" s="19"/>
      <c r="H641" s="19"/>
      <c r="I641" s="19"/>
      <c r="J641" s="19"/>
    </row>
    <row r="642" spans="1:10" x14ac:dyDescent="0.2">
      <c r="A642" s="19"/>
      <c r="B642" s="19"/>
      <c r="C642" s="19"/>
      <c r="D642" s="20"/>
      <c r="E642" s="19"/>
      <c r="F642" s="19"/>
      <c r="G642" s="19"/>
      <c r="H642" s="19"/>
      <c r="I642" s="19"/>
      <c r="J642" s="19"/>
    </row>
    <row r="643" spans="1:10" x14ac:dyDescent="0.2">
      <c r="A643" s="19"/>
      <c r="B643" s="19"/>
      <c r="C643" s="19"/>
      <c r="D643" s="20"/>
      <c r="E643" s="19"/>
      <c r="F643" s="19"/>
      <c r="G643" s="19"/>
      <c r="H643" s="19"/>
      <c r="I643" s="19"/>
      <c r="J643" s="19"/>
    </row>
    <row r="644" spans="1:10" x14ac:dyDescent="0.2">
      <c r="A644" s="19"/>
      <c r="B644" s="19"/>
      <c r="C644" s="19"/>
      <c r="D644" s="20"/>
      <c r="E644" s="19"/>
      <c r="F644" s="19"/>
      <c r="G644" s="19"/>
      <c r="H644" s="19"/>
      <c r="I644" s="19"/>
      <c r="J644" s="19"/>
    </row>
    <row r="645" spans="1:10" x14ac:dyDescent="0.2">
      <c r="A645" s="19"/>
      <c r="B645" s="19"/>
      <c r="C645" s="19"/>
      <c r="D645" s="20"/>
      <c r="E645" s="19"/>
      <c r="F645" s="19"/>
      <c r="G645" s="19"/>
      <c r="H645" s="19"/>
      <c r="I645" s="19"/>
      <c r="J645" s="19"/>
    </row>
    <row r="646" spans="1:10" x14ac:dyDescent="0.2">
      <c r="A646" s="19"/>
      <c r="B646" s="19"/>
      <c r="C646" s="19"/>
      <c r="D646" s="20"/>
      <c r="E646" s="19"/>
      <c r="F646" s="19"/>
      <c r="G646" s="19"/>
      <c r="H646" s="19"/>
      <c r="I646" s="19"/>
      <c r="J646" s="19"/>
    </row>
    <row r="647" spans="1:10" x14ac:dyDescent="0.2">
      <c r="A647" s="19"/>
      <c r="B647" s="19"/>
      <c r="C647" s="19"/>
      <c r="D647" s="20"/>
      <c r="E647" s="19"/>
      <c r="F647" s="19"/>
      <c r="G647" s="19"/>
      <c r="H647" s="19"/>
      <c r="I647" s="19"/>
      <c r="J647" s="19"/>
    </row>
    <row r="648" spans="1:10" x14ac:dyDescent="0.2">
      <c r="A648" s="19"/>
      <c r="B648" s="19"/>
      <c r="C648" s="19"/>
      <c r="D648" s="20"/>
      <c r="E648" s="19"/>
      <c r="F648" s="19"/>
      <c r="G648" s="19"/>
      <c r="H648" s="19"/>
      <c r="I648" s="19"/>
      <c r="J648" s="19"/>
    </row>
    <row r="649" spans="1:10" x14ac:dyDescent="0.2">
      <c r="A649" s="19"/>
      <c r="B649" s="19"/>
      <c r="C649" s="19"/>
      <c r="D649" s="20"/>
      <c r="E649" s="19"/>
      <c r="F649" s="19"/>
      <c r="G649" s="19"/>
      <c r="H649" s="19"/>
      <c r="I649" s="19"/>
      <c r="J649" s="19"/>
    </row>
    <row r="650" spans="1:10" x14ac:dyDescent="0.2">
      <c r="A650" s="19"/>
      <c r="B650" s="19"/>
      <c r="C650" s="19"/>
      <c r="D650" s="20"/>
      <c r="E650" s="19"/>
      <c r="F650" s="19"/>
      <c r="G650" s="19"/>
      <c r="H650" s="19"/>
      <c r="I650" s="19"/>
      <c r="J650" s="19"/>
    </row>
    <row r="651" spans="1:10" x14ac:dyDescent="0.2">
      <c r="A651" s="19"/>
      <c r="B651" s="19"/>
      <c r="C651" s="19"/>
      <c r="D651" s="20"/>
      <c r="E651" s="19"/>
      <c r="F651" s="19"/>
      <c r="G651" s="19"/>
      <c r="H651" s="19"/>
      <c r="I651" s="19"/>
      <c r="J651" s="19"/>
    </row>
    <row r="652" spans="1:10" x14ac:dyDescent="0.2">
      <c r="A652" s="19"/>
      <c r="B652" s="19"/>
      <c r="C652" s="19"/>
      <c r="D652" s="20"/>
      <c r="E652" s="19"/>
      <c r="F652" s="19"/>
      <c r="G652" s="19"/>
      <c r="H652" s="19"/>
      <c r="I652" s="19"/>
      <c r="J652" s="19"/>
    </row>
    <row r="653" spans="1:10" x14ac:dyDescent="0.2">
      <c r="A653" s="19"/>
      <c r="B653" s="19"/>
      <c r="C653" s="19"/>
      <c r="D653" s="20"/>
      <c r="E653" s="19"/>
      <c r="F653" s="19"/>
      <c r="G653" s="19"/>
      <c r="H653" s="19"/>
      <c r="I653" s="19"/>
      <c r="J653" s="19"/>
    </row>
    <row r="654" spans="1:10" x14ac:dyDescent="0.2">
      <c r="A654" s="19"/>
      <c r="B654" s="19"/>
      <c r="C654" s="19"/>
      <c r="D654" s="20"/>
      <c r="E654" s="19"/>
      <c r="F654" s="19"/>
      <c r="G654" s="19"/>
      <c r="H654" s="19"/>
      <c r="I654" s="19"/>
      <c r="J654" s="19"/>
    </row>
    <row r="655" spans="1:10" x14ac:dyDescent="0.2">
      <c r="A655" s="19"/>
      <c r="B655" s="19"/>
      <c r="C655" s="19"/>
      <c r="D655" s="20"/>
      <c r="E655" s="19"/>
      <c r="F655" s="19"/>
      <c r="G655" s="19"/>
      <c r="H655" s="19"/>
      <c r="I655" s="19"/>
      <c r="J655" s="19"/>
    </row>
    <row r="656" spans="1:10" x14ac:dyDescent="0.2">
      <c r="A656" s="19"/>
      <c r="B656" s="19"/>
      <c r="C656" s="19"/>
      <c r="D656" s="20"/>
      <c r="E656" s="19"/>
      <c r="F656" s="19"/>
      <c r="G656" s="19"/>
      <c r="H656" s="19"/>
      <c r="I656" s="19"/>
      <c r="J656" s="19"/>
    </row>
    <row r="657" spans="1:10" x14ac:dyDescent="0.2">
      <c r="A657" s="19"/>
      <c r="B657" s="19"/>
      <c r="C657" s="19"/>
      <c r="D657" s="20"/>
      <c r="E657" s="19"/>
      <c r="F657" s="19"/>
      <c r="G657" s="19"/>
      <c r="H657" s="19"/>
      <c r="I657" s="19"/>
      <c r="J657" s="19"/>
    </row>
    <row r="658" spans="1:10" x14ac:dyDescent="0.2">
      <c r="A658" s="19"/>
      <c r="B658" s="19"/>
      <c r="C658" s="19"/>
      <c r="D658" s="20"/>
      <c r="E658" s="19"/>
      <c r="F658" s="19"/>
      <c r="G658" s="19"/>
      <c r="H658" s="19"/>
      <c r="I658" s="19"/>
      <c r="J658" s="19"/>
    </row>
    <row r="659" spans="1:10" x14ac:dyDescent="0.2">
      <c r="A659" s="19"/>
      <c r="B659" s="19"/>
      <c r="C659" s="19"/>
      <c r="D659" s="20"/>
      <c r="E659" s="19"/>
      <c r="F659" s="19"/>
      <c r="G659" s="19"/>
      <c r="H659" s="19"/>
      <c r="I659" s="19"/>
      <c r="J659" s="19"/>
    </row>
    <row r="660" spans="1:10" x14ac:dyDescent="0.2">
      <c r="A660" s="19"/>
      <c r="B660" s="19"/>
      <c r="C660" s="19"/>
      <c r="D660" s="20"/>
      <c r="E660" s="19"/>
      <c r="F660" s="19"/>
      <c r="G660" s="19"/>
      <c r="H660" s="19"/>
      <c r="I660" s="19"/>
      <c r="J660" s="19"/>
    </row>
    <row r="661" spans="1:10" x14ac:dyDescent="0.2">
      <c r="A661" s="19"/>
      <c r="B661" s="19"/>
      <c r="C661" s="19"/>
      <c r="D661" s="20"/>
      <c r="E661" s="19"/>
      <c r="F661" s="19"/>
      <c r="G661" s="19"/>
      <c r="H661" s="19"/>
      <c r="I661" s="19"/>
      <c r="J661" s="19"/>
    </row>
    <row r="662" spans="1:10" x14ac:dyDescent="0.2">
      <c r="A662" s="19"/>
      <c r="B662" s="19"/>
      <c r="C662" s="19"/>
      <c r="D662" s="20"/>
      <c r="E662" s="19"/>
      <c r="F662" s="19"/>
      <c r="G662" s="19"/>
      <c r="H662" s="19"/>
      <c r="I662" s="19"/>
      <c r="J662" s="19"/>
    </row>
    <row r="663" spans="1:10" x14ac:dyDescent="0.2">
      <c r="A663" s="19"/>
      <c r="B663" s="19"/>
      <c r="C663" s="19"/>
      <c r="D663" s="20"/>
      <c r="E663" s="19"/>
      <c r="F663" s="19"/>
      <c r="G663" s="19"/>
      <c r="H663" s="19"/>
      <c r="I663" s="19"/>
      <c r="J663" s="19"/>
    </row>
    <row r="664" spans="1:10" x14ac:dyDescent="0.2">
      <c r="A664" s="19"/>
      <c r="B664" s="19"/>
      <c r="C664" s="19"/>
      <c r="D664" s="20"/>
      <c r="E664" s="19"/>
      <c r="F664" s="19"/>
      <c r="G664" s="19"/>
      <c r="H664" s="19"/>
      <c r="I664" s="19"/>
      <c r="J664" s="19"/>
    </row>
    <row r="665" spans="1:10" x14ac:dyDescent="0.2">
      <c r="A665" s="19"/>
      <c r="B665" s="19"/>
      <c r="C665" s="19"/>
      <c r="D665" s="20"/>
      <c r="E665" s="19"/>
      <c r="F665" s="19"/>
      <c r="G665" s="19"/>
      <c r="H665" s="19"/>
      <c r="I665" s="19"/>
      <c r="J665" s="19"/>
    </row>
    <row r="666" spans="1:10" x14ac:dyDescent="0.2">
      <c r="A666" s="19"/>
      <c r="B666" s="19"/>
      <c r="C666" s="19"/>
      <c r="D666" s="20"/>
      <c r="E666" s="19"/>
      <c r="F666" s="19"/>
      <c r="G666" s="19"/>
      <c r="H666" s="19"/>
      <c r="I666" s="19"/>
      <c r="J666" s="19"/>
    </row>
    <row r="667" spans="1:10" x14ac:dyDescent="0.2">
      <c r="A667" s="19"/>
      <c r="B667" s="19"/>
      <c r="C667" s="19"/>
      <c r="D667" s="20"/>
      <c r="E667" s="19"/>
      <c r="F667" s="19"/>
      <c r="G667" s="19"/>
      <c r="H667" s="19"/>
      <c r="I667" s="19"/>
      <c r="J667" s="19"/>
    </row>
    <row r="668" spans="1:10" x14ac:dyDescent="0.2">
      <c r="A668" s="19"/>
      <c r="B668" s="19"/>
      <c r="C668" s="19"/>
      <c r="D668" s="20"/>
      <c r="E668" s="19"/>
      <c r="F668" s="19"/>
      <c r="G668" s="19"/>
      <c r="H668" s="19"/>
      <c r="I668" s="19"/>
      <c r="J668" s="19"/>
    </row>
    <row r="669" spans="1:10" x14ac:dyDescent="0.2">
      <c r="A669" s="19"/>
      <c r="B669" s="19"/>
      <c r="C669" s="19"/>
      <c r="D669" s="20"/>
      <c r="E669" s="19"/>
      <c r="F669" s="19"/>
      <c r="G669" s="19"/>
      <c r="H669" s="19"/>
      <c r="I669" s="19"/>
      <c r="J669" s="19"/>
    </row>
    <row r="670" spans="1:10" x14ac:dyDescent="0.2">
      <c r="A670" s="19"/>
      <c r="B670" s="19"/>
      <c r="C670" s="19"/>
      <c r="D670" s="20"/>
      <c r="E670" s="19"/>
      <c r="F670" s="19"/>
      <c r="G670" s="19"/>
      <c r="H670" s="19"/>
      <c r="I670" s="19"/>
      <c r="J670" s="19"/>
    </row>
    <row r="671" spans="1:10" x14ac:dyDescent="0.2">
      <c r="A671" s="19"/>
      <c r="B671" s="19"/>
      <c r="C671" s="19"/>
      <c r="D671" s="20"/>
      <c r="E671" s="19"/>
      <c r="F671" s="19"/>
      <c r="G671" s="19"/>
      <c r="H671" s="19"/>
      <c r="I671" s="19"/>
      <c r="J671" s="19"/>
    </row>
    <row r="672" spans="1:10" x14ac:dyDescent="0.2">
      <c r="A672" s="19"/>
      <c r="B672" s="19"/>
      <c r="C672" s="19"/>
      <c r="D672" s="20"/>
      <c r="E672" s="19"/>
      <c r="F672" s="19"/>
      <c r="G672" s="19"/>
      <c r="H672" s="19"/>
      <c r="I672" s="19"/>
      <c r="J672" s="19"/>
    </row>
    <row r="673" spans="1:10" x14ac:dyDescent="0.2">
      <c r="A673" s="19"/>
      <c r="B673" s="19"/>
      <c r="C673" s="19"/>
      <c r="D673" s="20"/>
      <c r="E673" s="19"/>
      <c r="F673" s="19"/>
      <c r="G673" s="19"/>
      <c r="H673" s="19"/>
      <c r="I673" s="19"/>
      <c r="J673" s="19"/>
    </row>
    <row r="674" spans="1:10" x14ac:dyDescent="0.2">
      <c r="A674" s="19"/>
      <c r="B674" s="19"/>
      <c r="C674" s="19"/>
      <c r="D674" s="20"/>
      <c r="E674" s="19"/>
      <c r="F674" s="19"/>
      <c r="G674" s="19"/>
      <c r="H674" s="19"/>
      <c r="I674" s="19"/>
      <c r="J674" s="19"/>
    </row>
    <row r="675" spans="1:10" x14ac:dyDescent="0.2">
      <c r="A675" s="19"/>
      <c r="B675" s="19"/>
      <c r="C675" s="19"/>
      <c r="D675" s="20"/>
      <c r="E675" s="19"/>
      <c r="F675" s="19"/>
      <c r="G675" s="19"/>
      <c r="H675" s="19"/>
      <c r="I675" s="19"/>
      <c r="J675" s="19"/>
    </row>
    <row r="676" spans="1:10" x14ac:dyDescent="0.2">
      <c r="A676" s="19"/>
      <c r="B676" s="19"/>
      <c r="C676" s="19"/>
      <c r="D676" s="20"/>
      <c r="E676" s="19"/>
      <c r="F676" s="19"/>
      <c r="G676" s="19"/>
      <c r="H676" s="19"/>
      <c r="I676" s="19"/>
      <c r="J676" s="19"/>
    </row>
    <row r="677" spans="1:10" x14ac:dyDescent="0.2">
      <c r="A677" s="19"/>
      <c r="B677" s="19"/>
      <c r="C677" s="19"/>
      <c r="D677" s="20"/>
      <c r="E677" s="19"/>
      <c r="F677" s="19"/>
      <c r="G677" s="19"/>
      <c r="H677" s="19"/>
      <c r="I677" s="19"/>
      <c r="J677" s="19"/>
    </row>
    <row r="678" spans="1:10" x14ac:dyDescent="0.2">
      <c r="A678" s="19"/>
      <c r="B678" s="19"/>
      <c r="C678" s="19"/>
      <c r="D678" s="20"/>
      <c r="E678" s="19"/>
      <c r="F678" s="19"/>
      <c r="G678" s="19"/>
      <c r="H678" s="19"/>
      <c r="I678" s="19"/>
      <c r="J678" s="19"/>
    </row>
    <row r="679" spans="1:10" x14ac:dyDescent="0.2">
      <c r="A679" s="19"/>
      <c r="B679" s="19"/>
      <c r="C679" s="19"/>
      <c r="D679" s="20"/>
      <c r="E679" s="19"/>
      <c r="F679" s="19"/>
      <c r="G679" s="19"/>
      <c r="H679" s="19"/>
      <c r="I679" s="19"/>
      <c r="J679" s="19"/>
    </row>
    <row r="680" spans="1:10" x14ac:dyDescent="0.2">
      <c r="A680" s="19"/>
      <c r="B680" s="19"/>
      <c r="C680" s="19"/>
      <c r="D680" s="20"/>
      <c r="E680" s="19"/>
      <c r="F680" s="19"/>
      <c r="G680" s="19"/>
      <c r="H680" s="19"/>
      <c r="I680" s="19"/>
      <c r="J680" s="19"/>
    </row>
    <row r="681" spans="1:10" x14ac:dyDescent="0.2">
      <c r="A681" s="19"/>
      <c r="B681" s="19"/>
      <c r="C681" s="19"/>
      <c r="D681" s="20"/>
      <c r="E681" s="19"/>
      <c r="F681" s="19"/>
      <c r="G681" s="19"/>
      <c r="H681" s="19"/>
      <c r="I681" s="19"/>
      <c r="J681" s="19"/>
    </row>
    <row r="682" spans="1:10" x14ac:dyDescent="0.2">
      <c r="A682" s="19"/>
      <c r="B682" s="19"/>
      <c r="C682" s="19"/>
      <c r="D682" s="20"/>
      <c r="E682" s="19"/>
      <c r="F682" s="19"/>
      <c r="G682" s="19"/>
      <c r="H682" s="19"/>
      <c r="I682" s="19"/>
      <c r="J682" s="19"/>
    </row>
    <row r="683" spans="1:10" x14ac:dyDescent="0.2">
      <c r="A683" s="19"/>
      <c r="B683" s="19"/>
      <c r="C683" s="19"/>
      <c r="D683" s="20"/>
      <c r="E683" s="19"/>
      <c r="F683" s="19"/>
      <c r="G683" s="19"/>
      <c r="H683" s="19"/>
      <c r="I683" s="19"/>
      <c r="J683" s="19"/>
    </row>
    <row r="684" spans="1:10" x14ac:dyDescent="0.2">
      <c r="A684" s="19"/>
      <c r="B684" s="19"/>
      <c r="C684" s="19"/>
      <c r="D684" s="20"/>
      <c r="E684" s="19"/>
      <c r="F684" s="19"/>
      <c r="G684" s="19"/>
      <c r="H684" s="19"/>
      <c r="I684" s="19"/>
      <c r="J684" s="19"/>
    </row>
    <row r="685" spans="1:10" x14ac:dyDescent="0.2">
      <c r="A685" s="19"/>
      <c r="B685" s="19"/>
      <c r="C685" s="19"/>
      <c r="D685" s="20"/>
      <c r="E685" s="19"/>
      <c r="F685" s="19"/>
      <c r="G685" s="19"/>
      <c r="H685" s="19"/>
      <c r="I685" s="19"/>
      <c r="J685" s="19"/>
    </row>
    <row r="686" spans="1:10" x14ac:dyDescent="0.2">
      <c r="A686" s="19"/>
      <c r="B686" s="19"/>
      <c r="C686" s="19"/>
      <c r="D686" s="20"/>
      <c r="E686" s="19"/>
      <c r="F686" s="19"/>
      <c r="G686" s="19"/>
      <c r="H686" s="19"/>
      <c r="I686" s="19"/>
      <c r="J686" s="19"/>
    </row>
    <row r="687" spans="1:10" x14ac:dyDescent="0.2">
      <c r="A687" s="19"/>
      <c r="B687" s="19"/>
      <c r="C687" s="19"/>
      <c r="D687" s="20"/>
      <c r="E687" s="19"/>
      <c r="F687" s="19"/>
      <c r="G687" s="19"/>
      <c r="H687" s="19"/>
      <c r="I687" s="19"/>
      <c r="J687" s="19"/>
    </row>
    <row r="688" spans="1:10" x14ac:dyDescent="0.2">
      <c r="A688" s="19"/>
      <c r="B688" s="19"/>
      <c r="C688" s="19"/>
      <c r="D688" s="20"/>
      <c r="E688" s="19"/>
      <c r="F688" s="19"/>
      <c r="G688" s="19"/>
      <c r="H688" s="19"/>
      <c r="I688" s="19"/>
      <c r="J688" s="19"/>
    </row>
    <row r="689" spans="1:10" x14ac:dyDescent="0.2">
      <c r="A689" s="19"/>
      <c r="B689" s="19"/>
      <c r="C689" s="19"/>
      <c r="D689" s="20"/>
      <c r="E689" s="19"/>
      <c r="F689" s="19"/>
      <c r="G689" s="19"/>
      <c r="H689" s="19"/>
      <c r="I689" s="19"/>
      <c r="J689" s="19"/>
    </row>
    <row r="690" spans="1:10" x14ac:dyDescent="0.2">
      <c r="A690" s="19"/>
      <c r="B690" s="19"/>
      <c r="C690" s="19"/>
      <c r="D690" s="20"/>
      <c r="E690" s="19"/>
      <c r="F690" s="19"/>
      <c r="G690" s="19"/>
      <c r="H690" s="19"/>
      <c r="I690" s="19"/>
      <c r="J690" s="19"/>
    </row>
    <row r="691" spans="1:10" x14ac:dyDescent="0.2">
      <c r="A691" s="19"/>
      <c r="B691" s="19"/>
      <c r="C691" s="19"/>
      <c r="D691" s="20"/>
      <c r="E691" s="19"/>
      <c r="F691" s="19"/>
      <c r="G691" s="19"/>
      <c r="H691" s="19"/>
      <c r="I691" s="19"/>
      <c r="J691" s="19"/>
    </row>
    <row r="692" spans="1:10" x14ac:dyDescent="0.2">
      <c r="A692" s="19"/>
      <c r="B692" s="19"/>
      <c r="C692" s="19"/>
      <c r="D692" s="20"/>
      <c r="E692" s="19"/>
      <c r="F692" s="19"/>
      <c r="G692" s="19"/>
      <c r="H692" s="19"/>
      <c r="I692" s="19"/>
      <c r="J692" s="19"/>
    </row>
    <row r="693" spans="1:10" x14ac:dyDescent="0.2">
      <c r="A693" s="19"/>
      <c r="B693" s="19"/>
      <c r="C693" s="19"/>
      <c r="D693" s="20"/>
      <c r="E693" s="19"/>
      <c r="F693" s="19"/>
      <c r="G693" s="19"/>
      <c r="H693" s="19"/>
      <c r="I693" s="19"/>
      <c r="J693" s="19"/>
    </row>
    <row r="694" spans="1:10" x14ac:dyDescent="0.2">
      <c r="A694" s="19"/>
      <c r="B694" s="19"/>
      <c r="C694" s="19"/>
      <c r="D694" s="20"/>
      <c r="E694" s="19"/>
      <c r="F694" s="19"/>
      <c r="G694" s="19"/>
      <c r="H694" s="19"/>
      <c r="I694" s="19"/>
      <c r="J694" s="19"/>
    </row>
    <row r="695" spans="1:10" x14ac:dyDescent="0.2">
      <c r="A695" s="19"/>
      <c r="B695" s="19"/>
      <c r="C695" s="19"/>
      <c r="D695" s="20"/>
      <c r="E695" s="19"/>
      <c r="F695" s="19"/>
      <c r="G695" s="19"/>
      <c r="H695" s="19"/>
      <c r="I695" s="19"/>
      <c r="J695" s="19"/>
    </row>
    <row r="696" spans="1:10" x14ac:dyDescent="0.2">
      <c r="A696" s="19"/>
      <c r="B696" s="19"/>
      <c r="C696" s="19"/>
      <c r="D696" s="20"/>
      <c r="E696" s="19"/>
      <c r="F696" s="19"/>
      <c r="G696" s="19"/>
      <c r="H696" s="19"/>
      <c r="I696" s="19"/>
      <c r="J696" s="19"/>
    </row>
    <row r="697" spans="1:10" x14ac:dyDescent="0.2">
      <c r="A697" s="19"/>
      <c r="B697" s="19"/>
      <c r="C697" s="19"/>
      <c r="D697" s="20"/>
      <c r="E697" s="19"/>
      <c r="F697" s="19"/>
      <c r="G697" s="19"/>
      <c r="H697" s="19"/>
      <c r="I697" s="19"/>
      <c r="J697" s="19"/>
    </row>
    <row r="698" spans="1:10" x14ac:dyDescent="0.2">
      <c r="A698" s="19"/>
      <c r="B698" s="19"/>
      <c r="C698" s="19"/>
      <c r="D698" s="20"/>
      <c r="E698" s="19"/>
      <c r="F698" s="19"/>
      <c r="G698" s="19"/>
      <c r="H698" s="19"/>
      <c r="I698" s="19"/>
      <c r="J698" s="19"/>
    </row>
    <row r="699" spans="1:10" x14ac:dyDescent="0.2">
      <c r="A699" s="19"/>
      <c r="B699" s="19"/>
      <c r="C699" s="19"/>
      <c r="D699" s="20"/>
      <c r="E699" s="19"/>
      <c r="F699" s="19"/>
      <c r="G699" s="19"/>
      <c r="H699" s="19"/>
      <c r="I699" s="19"/>
      <c r="J699" s="19"/>
    </row>
    <row r="700" spans="1:10" x14ac:dyDescent="0.2">
      <c r="A700" s="19"/>
      <c r="B700" s="19"/>
      <c r="C700" s="19"/>
      <c r="D700" s="20"/>
      <c r="E700" s="19"/>
      <c r="F700" s="19"/>
      <c r="G700" s="19"/>
      <c r="H700" s="19"/>
      <c r="I700" s="19"/>
      <c r="J700" s="19"/>
    </row>
    <row r="701" spans="1:10" x14ac:dyDescent="0.2">
      <c r="A701" s="19"/>
      <c r="B701" s="19"/>
      <c r="C701" s="19"/>
      <c r="D701" s="20"/>
      <c r="E701" s="19"/>
      <c r="F701" s="19"/>
      <c r="G701" s="19"/>
      <c r="H701" s="19"/>
      <c r="I701" s="19"/>
      <c r="J701" s="19"/>
    </row>
    <row r="702" spans="1:10" x14ac:dyDescent="0.2">
      <c r="A702" s="19"/>
      <c r="B702" s="19"/>
      <c r="C702" s="19"/>
      <c r="D702" s="20"/>
      <c r="E702" s="19"/>
      <c r="F702" s="19"/>
      <c r="G702" s="19"/>
      <c r="H702" s="19"/>
      <c r="I702" s="19"/>
      <c r="J702" s="19"/>
    </row>
    <row r="703" spans="1:10" x14ac:dyDescent="0.2">
      <c r="A703" s="19"/>
      <c r="B703" s="19"/>
      <c r="C703" s="19"/>
      <c r="D703" s="20"/>
      <c r="E703" s="19"/>
      <c r="F703" s="19"/>
      <c r="G703" s="19"/>
      <c r="H703" s="19"/>
      <c r="I703" s="19"/>
      <c r="J703" s="19"/>
    </row>
    <row r="704" spans="1:10" x14ac:dyDescent="0.2">
      <c r="A704" s="19"/>
      <c r="B704" s="19"/>
      <c r="C704" s="19"/>
      <c r="D704" s="20"/>
      <c r="E704" s="19"/>
      <c r="F704" s="19"/>
      <c r="G704" s="19"/>
      <c r="H704" s="19"/>
      <c r="I704" s="19"/>
      <c r="J704" s="19"/>
    </row>
    <row r="705" spans="1:10" x14ac:dyDescent="0.2">
      <c r="A705" s="19"/>
      <c r="B705" s="19"/>
      <c r="C705" s="19"/>
      <c r="D705" s="20"/>
      <c r="E705" s="19"/>
      <c r="F705" s="19"/>
      <c r="G705" s="19"/>
      <c r="H705" s="19"/>
      <c r="I705" s="19"/>
      <c r="J705" s="19"/>
    </row>
    <row r="706" spans="1:10" x14ac:dyDescent="0.2">
      <c r="A706" s="19"/>
      <c r="B706" s="19"/>
      <c r="C706" s="19"/>
      <c r="D706" s="20"/>
      <c r="E706" s="19"/>
      <c r="F706" s="19"/>
      <c r="G706" s="19"/>
      <c r="H706" s="19"/>
      <c r="I706" s="19"/>
      <c r="J706" s="19"/>
    </row>
    <row r="707" spans="1:10" x14ac:dyDescent="0.2">
      <c r="A707" s="19"/>
      <c r="B707" s="19"/>
      <c r="C707" s="19"/>
      <c r="D707" s="20"/>
      <c r="E707" s="19"/>
      <c r="F707" s="19"/>
      <c r="G707" s="19"/>
      <c r="H707" s="19"/>
      <c r="I707" s="19"/>
      <c r="J707" s="19"/>
    </row>
    <row r="708" spans="1:10" x14ac:dyDescent="0.2">
      <c r="A708" s="19"/>
      <c r="B708" s="19"/>
      <c r="C708" s="19"/>
      <c r="D708" s="20"/>
      <c r="E708" s="19"/>
      <c r="F708" s="19"/>
      <c r="G708" s="19"/>
      <c r="H708" s="19"/>
      <c r="I708" s="19"/>
      <c r="J708" s="19"/>
    </row>
    <row r="709" spans="1:10" x14ac:dyDescent="0.2">
      <c r="A709" s="19"/>
      <c r="B709" s="19"/>
      <c r="C709" s="19"/>
      <c r="D709" s="20"/>
      <c r="E709" s="19"/>
      <c r="F709" s="19"/>
      <c r="G709" s="19"/>
      <c r="H709" s="19"/>
      <c r="I709" s="19"/>
      <c r="J709" s="19"/>
    </row>
    <row r="710" spans="1:10" x14ac:dyDescent="0.2">
      <c r="A710" s="19"/>
      <c r="B710" s="19"/>
      <c r="C710" s="19"/>
      <c r="D710" s="20"/>
      <c r="E710" s="19"/>
      <c r="F710" s="19"/>
      <c r="G710" s="19"/>
      <c r="H710" s="19"/>
      <c r="I710" s="19"/>
      <c r="J710" s="19"/>
    </row>
    <row r="711" spans="1:10" x14ac:dyDescent="0.2">
      <c r="A711" s="19"/>
      <c r="B711" s="19"/>
      <c r="C711" s="19"/>
      <c r="D711" s="20"/>
      <c r="E711" s="19"/>
      <c r="F711" s="19"/>
      <c r="G711" s="19"/>
      <c r="H711" s="19"/>
      <c r="I711" s="19"/>
      <c r="J711" s="19"/>
    </row>
    <row r="712" spans="1:10" x14ac:dyDescent="0.2">
      <c r="A712" s="19"/>
      <c r="B712" s="19"/>
      <c r="C712" s="19"/>
      <c r="D712" s="20"/>
      <c r="E712" s="19"/>
      <c r="F712" s="19"/>
      <c r="G712" s="19"/>
      <c r="H712" s="19"/>
      <c r="I712" s="19"/>
      <c r="J712" s="19"/>
    </row>
    <row r="713" spans="1:10" x14ac:dyDescent="0.2">
      <c r="A713" s="19"/>
      <c r="B713" s="19"/>
      <c r="C713" s="19"/>
      <c r="D713" s="20"/>
      <c r="E713" s="19"/>
      <c r="F713" s="19"/>
      <c r="G713" s="19"/>
      <c r="H713" s="19"/>
      <c r="I713" s="19"/>
      <c r="J713" s="19"/>
    </row>
    <row r="714" spans="1:10" x14ac:dyDescent="0.2">
      <c r="A714" s="19"/>
      <c r="B714" s="19"/>
      <c r="C714" s="19"/>
      <c r="D714" s="20"/>
      <c r="E714" s="19"/>
      <c r="F714" s="19"/>
      <c r="G714" s="19"/>
      <c r="H714" s="19"/>
      <c r="I714" s="19"/>
      <c r="J714" s="19"/>
    </row>
    <row r="715" spans="1:10" x14ac:dyDescent="0.2">
      <c r="A715" s="19"/>
      <c r="B715" s="19"/>
      <c r="C715" s="19"/>
      <c r="D715" s="20"/>
      <c r="E715" s="19"/>
      <c r="F715" s="19"/>
      <c r="G715" s="19"/>
      <c r="H715" s="19"/>
      <c r="I715" s="19"/>
      <c r="J715" s="19"/>
    </row>
    <row r="716" spans="1:10" x14ac:dyDescent="0.2">
      <c r="A716" s="19"/>
      <c r="B716" s="19"/>
      <c r="C716" s="19"/>
      <c r="D716" s="20"/>
      <c r="E716" s="19"/>
      <c r="F716" s="19"/>
      <c r="G716" s="19"/>
      <c r="H716" s="19"/>
      <c r="I716" s="19"/>
      <c r="J716" s="19"/>
    </row>
    <row r="717" spans="1:10" x14ac:dyDescent="0.2">
      <c r="A717" s="19"/>
      <c r="B717" s="19"/>
      <c r="C717" s="19"/>
      <c r="D717" s="20"/>
      <c r="E717" s="19"/>
      <c r="F717" s="19"/>
      <c r="G717" s="19"/>
      <c r="H717" s="19"/>
      <c r="I717" s="19"/>
      <c r="J717" s="19"/>
    </row>
    <row r="718" spans="1:10" x14ac:dyDescent="0.2">
      <c r="A718" s="19"/>
      <c r="B718" s="19"/>
      <c r="C718" s="19"/>
      <c r="D718" s="20"/>
      <c r="E718" s="19"/>
      <c r="F718" s="19"/>
      <c r="G718" s="19"/>
      <c r="H718" s="19"/>
      <c r="I718" s="19"/>
      <c r="J718" s="19"/>
    </row>
    <row r="719" spans="1:10" x14ac:dyDescent="0.2">
      <c r="A719" s="19"/>
      <c r="B719" s="19"/>
      <c r="C719" s="19"/>
      <c r="D719" s="20"/>
      <c r="E719" s="19"/>
      <c r="F719" s="19"/>
      <c r="G719" s="19"/>
      <c r="H719" s="19"/>
      <c r="I719" s="19"/>
      <c r="J719" s="19"/>
    </row>
    <row r="720" spans="1:10" x14ac:dyDescent="0.2">
      <c r="A720" s="19"/>
      <c r="B720" s="19"/>
      <c r="C720" s="19"/>
      <c r="D720" s="20"/>
      <c r="E720" s="19"/>
      <c r="F720" s="19"/>
      <c r="G720" s="19"/>
      <c r="H720" s="19"/>
      <c r="I720" s="19"/>
      <c r="J720" s="19"/>
    </row>
    <row r="721" spans="1:10" x14ac:dyDescent="0.2">
      <c r="A721" s="19"/>
      <c r="B721" s="19"/>
      <c r="C721" s="19"/>
      <c r="D721" s="20"/>
      <c r="E721" s="19"/>
      <c r="F721" s="19"/>
      <c r="G721" s="19"/>
      <c r="H721" s="19"/>
      <c r="I721" s="19"/>
      <c r="J721" s="19"/>
    </row>
    <row r="722" spans="1:10" x14ac:dyDescent="0.2">
      <c r="A722" s="19"/>
      <c r="B722" s="19"/>
      <c r="C722" s="19"/>
      <c r="D722" s="20"/>
      <c r="E722" s="19"/>
      <c r="F722" s="19"/>
      <c r="G722" s="19"/>
      <c r="H722" s="19"/>
      <c r="I722" s="19"/>
      <c r="J722" s="19"/>
    </row>
    <row r="723" spans="1:10" x14ac:dyDescent="0.2">
      <c r="A723" s="19"/>
      <c r="B723" s="19"/>
      <c r="C723" s="19"/>
      <c r="D723" s="20"/>
      <c r="E723" s="19"/>
      <c r="F723" s="19"/>
      <c r="G723" s="19"/>
      <c r="H723" s="19"/>
      <c r="I723" s="19"/>
      <c r="J723" s="19"/>
    </row>
    <row r="724" spans="1:10" x14ac:dyDescent="0.2">
      <c r="A724" s="19"/>
      <c r="B724" s="19"/>
      <c r="C724" s="19"/>
      <c r="D724" s="20"/>
      <c r="E724" s="19"/>
      <c r="F724" s="19"/>
      <c r="G724" s="19"/>
      <c r="H724" s="19"/>
      <c r="I724" s="19"/>
      <c r="J724" s="19"/>
    </row>
    <row r="725" spans="1:10" x14ac:dyDescent="0.2">
      <c r="A725" s="19"/>
      <c r="B725" s="19"/>
      <c r="C725" s="19"/>
      <c r="D725" s="20"/>
      <c r="E725" s="19"/>
      <c r="F725" s="19"/>
      <c r="G725" s="19"/>
      <c r="H725" s="19"/>
      <c r="I725" s="19"/>
      <c r="J725" s="19"/>
    </row>
    <row r="726" spans="1:10" x14ac:dyDescent="0.2">
      <c r="A726" s="19"/>
      <c r="B726" s="19"/>
      <c r="C726" s="19"/>
      <c r="D726" s="20"/>
      <c r="E726" s="19"/>
      <c r="F726" s="19"/>
      <c r="G726" s="19"/>
      <c r="H726" s="19"/>
      <c r="I726" s="19"/>
      <c r="J726" s="19"/>
    </row>
    <row r="727" spans="1:10" x14ac:dyDescent="0.2">
      <c r="A727" s="19"/>
      <c r="B727" s="19"/>
      <c r="C727" s="19"/>
      <c r="D727" s="20"/>
      <c r="E727" s="19"/>
      <c r="F727" s="19"/>
      <c r="G727" s="19"/>
      <c r="H727" s="19"/>
      <c r="I727" s="19"/>
      <c r="J727" s="19"/>
    </row>
    <row r="728" spans="1:10" x14ac:dyDescent="0.2">
      <c r="A728" s="19"/>
      <c r="B728" s="19"/>
      <c r="C728" s="19"/>
      <c r="D728" s="20"/>
      <c r="E728" s="19"/>
      <c r="F728" s="19"/>
      <c r="G728" s="19"/>
      <c r="H728" s="19"/>
      <c r="I728" s="19"/>
      <c r="J728" s="19"/>
    </row>
    <row r="729" spans="1:10" x14ac:dyDescent="0.2">
      <c r="A729" s="19"/>
      <c r="B729" s="19"/>
      <c r="C729" s="19"/>
      <c r="D729" s="20"/>
      <c r="E729" s="19"/>
      <c r="F729" s="19"/>
      <c r="G729" s="19"/>
      <c r="H729" s="19"/>
      <c r="I729" s="19"/>
      <c r="J729" s="19"/>
    </row>
    <row r="730" spans="1:10" x14ac:dyDescent="0.2">
      <c r="A730" s="19"/>
      <c r="B730" s="19"/>
      <c r="C730" s="19"/>
      <c r="D730" s="20"/>
      <c r="E730" s="19"/>
      <c r="F730" s="19"/>
      <c r="G730" s="19"/>
      <c r="H730" s="19"/>
      <c r="I730" s="19"/>
      <c r="J730" s="19"/>
    </row>
    <row r="731" spans="1:10" x14ac:dyDescent="0.2">
      <c r="A731" s="19"/>
      <c r="B731" s="19"/>
      <c r="C731" s="19"/>
      <c r="D731" s="20"/>
      <c r="E731" s="19"/>
      <c r="F731" s="19"/>
      <c r="G731" s="19"/>
      <c r="H731" s="19"/>
      <c r="I731" s="19"/>
      <c r="J731" s="19"/>
    </row>
    <row r="732" spans="1:10" x14ac:dyDescent="0.2">
      <c r="A732" s="19"/>
      <c r="B732" s="19"/>
      <c r="C732" s="19"/>
      <c r="D732" s="20"/>
      <c r="E732" s="19"/>
      <c r="F732" s="19"/>
      <c r="G732" s="19"/>
      <c r="H732" s="19"/>
      <c r="I732" s="19"/>
      <c r="J732" s="19"/>
    </row>
    <row r="733" spans="1:10" x14ac:dyDescent="0.2">
      <c r="A733" s="19"/>
      <c r="B733" s="19"/>
      <c r="C733" s="19"/>
      <c r="D733" s="20"/>
      <c r="E733" s="19"/>
      <c r="F733" s="19"/>
      <c r="G733" s="19"/>
      <c r="H733" s="19"/>
      <c r="I733" s="19"/>
      <c r="J733" s="19"/>
    </row>
    <row r="734" spans="1:10" x14ac:dyDescent="0.2">
      <c r="A734" s="19"/>
      <c r="B734" s="19"/>
      <c r="C734" s="19"/>
      <c r="D734" s="20"/>
      <c r="E734" s="19"/>
      <c r="F734" s="19"/>
      <c r="G734" s="19"/>
      <c r="H734" s="19"/>
      <c r="I734" s="19"/>
      <c r="J734" s="19"/>
    </row>
    <row r="735" spans="1:10" x14ac:dyDescent="0.2">
      <c r="A735" s="19"/>
      <c r="B735" s="19"/>
      <c r="C735" s="19"/>
      <c r="D735" s="20"/>
      <c r="E735" s="19"/>
      <c r="F735" s="19"/>
      <c r="G735" s="19"/>
      <c r="H735" s="19"/>
      <c r="I735" s="19"/>
      <c r="J735" s="19"/>
    </row>
    <row r="736" spans="1:10" x14ac:dyDescent="0.2">
      <c r="A736" s="19"/>
      <c r="B736" s="19"/>
      <c r="C736" s="19"/>
      <c r="D736" s="20"/>
      <c r="E736" s="19"/>
      <c r="F736" s="19"/>
      <c r="G736" s="19"/>
      <c r="H736" s="19"/>
      <c r="I736" s="19"/>
      <c r="J736" s="19"/>
    </row>
    <row r="737" spans="1:10" x14ac:dyDescent="0.2">
      <c r="A737" s="19"/>
      <c r="B737" s="19"/>
      <c r="C737" s="19"/>
      <c r="D737" s="20"/>
      <c r="E737" s="19"/>
      <c r="F737" s="19"/>
      <c r="G737" s="19"/>
      <c r="H737" s="19"/>
      <c r="I737" s="19"/>
      <c r="J737" s="19"/>
    </row>
    <row r="738" spans="1:10" x14ac:dyDescent="0.2">
      <c r="A738" s="19"/>
      <c r="B738" s="19"/>
      <c r="C738" s="19"/>
      <c r="D738" s="20"/>
      <c r="E738" s="19"/>
      <c r="F738" s="19"/>
      <c r="G738" s="19"/>
      <c r="H738" s="19"/>
      <c r="I738" s="19"/>
      <c r="J738" s="19"/>
    </row>
    <row r="739" spans="1:10" x14ac:dyDescent="0.2">
      <c r="A739" s="19"/>
      <c r="B739" s="19"/>
      <c r="C739" s="19"/>
      <c r="D739" s="20"/>
      <c r="E739" s="19"/>
      <c r="F739" s="19"/>
      <c r="G739" s="19"/>
      <c r="H739" s="19"/>
      <c r="I739" s="19"/>
      <c r="J739" s="19"/>
    </row>
    <row r="740" spans="1:10" x14ac:dyDescent="0.2">
      <c r="A740" s="19"/>
      <c r="B740" s="19"/>
      <c r="C740" s="19"/>
      <c r="D740" s="20"/>
      <c r="E740" s="19"/>
      <c r="F740" s="19"/>
      <c r="G740" s="19"/>
      <c r="H740" s="19"/>
      <c r="I740" s="19"/>
      <c r="J740" s="19"/>
    </row>
    <row r="741" spans="1:10" x14ac:dyDescent="0.2">
      <c r="A741" s="19"/>
      <c r="B741" s="19"/>
      <c r="C741" s="19"/>
      <c r="D741" s="20"/>
      <c r="E741" s="19"/>
      <c r="F741" s="19"/>
      <c r="G741" s="19"/>
      <c r="H741" s="19"/>
      <c r="I741" s="19"/>
      <c r="J741" s="19"/>
    </row>
    <row r="742" spans="1:10" x14ac:dyDescent="0.2">
      <c r="A742" s="19"/>
      <c r="B742" s="19"/>
      <c r="C742" s="19"/>
      <c r="D742" s="20"/>
      <c r="E742" s="19"/>
      <c r="F742" s="19"/>
      <c r="G742" s="19"/>
      <c r="H742" s="19"/>
      <c r="I742" s="19"/>
      <c r="J742" s="19"/>
    </row>
    <row r="743" spans="1:10" x14ac:dyDescent="0.2">
      <c r="A743" s="19"/>
      <c r="B743" s="19"/>
      <c r="C743" s="19"/>
      <c r="D743" s="20"/>
      <c r="E743" s="19"/>
      <c r="F743" s="19"/>
      <c r="G743" s="19"/>
      <c r="H743" s="19"/>
      <c r="I743" s="19"/>
      <c r="J743" s="19"/>
    </row>
    <row r="744" spans="1:10" x14ac:dyDescent="0.2">
      <c r="A744" s="19"/>
      <c r="B744" s="19"/>
      <c r="C744" s="19"/>
      <c r="D744" s="20"/>
      <c r="E744" s="19"/>
      <c r="F744" s="19"/>
      <c r="G744" s="19"/>
      <c r="H744" s="19"/>
      <c r="I744" s="19"/>
      <c r="J744" s="19"/>
    </row>
    <row r="745" spans="1:10" x14ac:dyDescent="0.2">
      <c r="A745" s="19"/>
      <c r="B745" s="19"/>
      <c r="C745" s="19"/>
      <c r="D745" s="20"/>
      <c r="E745" s="19"/>
      <c r="F745" s="19"/>
      <c r="G745" s="19"/>
      <c r="H745" s="19"/>
      <c r="I745" s="19"/>
      <c r="J745" s="19"/>
    </row>
    <row r="746" spans="1:10" x14ac:dyDescent="0.2">
      <c r="A746" s="19"/>
      <c r="B746" s="19"/>
      <c r="C746" s="19"/>
      <c r="D746" s="20"/>
      <c r="E746" s="19"/>
      <c r="F746" s="19"/>
      <c r="G746" s="19"/>
      <c r="H746" s="19"/>
      <c r="I746" s="19"/>
      <c r="J746" s="19"/>
    </row>
    <row r="747" spans="1:10" x14ac:dyDescent="0.2">
      <c r="A747" s="19"/>
      <c r="B747" s="19"/>
      <c r="C747" s="19"/>
      <c r="D747" s="20"/>
      <c r="E747" s="19"/>
      <c r="F747" s="19"/>
      <c r="G747" s="19"/>
      <c r="H747" s="19"/>
      <c r="I747" s="19"/>
      <c r="J747" s="19"/>
    </row>
    <row r="748" spans="1:10" x14ac:dyDescent="0.2">
      <c r="A748" s="19"/>
      <c r="B748" s="19"/>
      <c r="C748" s="19"/>
      <c r="D748" s="20"/>
      <c r="E748" s="19"/>
      <c r="F748" s="19"/>
      <c r="G748" s="19"/>
      <c r="H748" s="19"/>
      <c r="I748" s="19"/>
      <c r="J748" s="19"/>
    </row>
    <row r="749" spans="1:10" x14ac:dyDescent="0.2">
      <c r="A749" s="19"/>
      <c r="B749" s="19"/>
      <c r="C749" s="19"/>
      <c r="D749" s="20"/>
      <c r="E749" s="19"/>
      <c r="F749" s="19"/>
      <c r="G749" s="19"/>
      <c r="H749" s="19"/>
      <c r="I749" s="19"/>
      <c r="J749" s="19"/>
    </row>
    <row r="750" spans="1:10" x14ac:dyDescent="0.2">
      <c r="A750" s="19"/>
      <c r="B750" s="19"/>
      <c r="C750" s="19"/>
      <c r="D750" s="20"/>
      <c r="E750" s="19"/>
      <c r="F750" s="19"/>
      <c r="G750" s="19"/>
      <c r="H750" s="19"/>
      <c r="I750" s="19"/>
      <c r="J750" s="19"/>
    </row>
    <row r="751" spans="1:10" x14ac:dyDescent="0.2">
      <c r="A751" s="19"/>
      <c r="B751" s="19"/>
      <c r="C751" s="19"/>
      <c r="D751" s="20"/>
      <c r="E751" s="19"/>
      <c r="F751" s="19"/>
      <c r="G751" s="19"/>
      <c r="H751" s="19"/>
      <c r="I751" s="19"/>
      <c r="J751" s="19"/>
    </row>
    <row r="752" spans="1:10" x14ac:dyDescent="0.2">
      <c r="A752" s="19"/>
      <c r="B752" s="19"/>
      <c r="C752" s="19"/>
      <c r="D752" s="20"/>
      <c r="E752" s="19"/>
      <c r="F752" s="19"/>
      <c r="G752" s="19"/>
      <c r="H752" s="19"/>
      <c r="I752" s="19"/>
      <c r="J752" s="19"/>
    </row>
    <row r="753" spans="1:10" x14ac:dyDescent="0.2">
      <c r="A753" s="19"/>
      <c r="B753" s="19"/>
      <c r="C753" s="19"/>
      <c r="D753" s="20"/>
      <c r="E753" s="19"/>
      <c r="F753" s="19"/>
      <c r="G753" s="19"/>
      <c r="H753" s="19"/>
      <c r="I753" s="19"/>
      <c r="J753" s="19"/>
    </row>
    <row r="754" spans="1:10" x14ac:dyDescent="0.2">
      <c r="A754" s="19"/>
      <c r="B754" s="19"/>
      <c r="C754" s="19"/>
      <c r="D754" s="20"/>
      <c r="E754" s="19"/>
      <c r="F754" s="19"/>
      <c r="G754" s="19"/>
      <c r="H754" s="19"/>
      <c r="I754" s="19"/>
      <c r="J754" s="19"/>
    </row>
    <row r="755" spans="1:10" x14ac:dyDescent="0.2">
      <c r="A755" s="19"/>
      <c r="B755" s="19"/>
      <c r="C755" s="19"/>
      <c r="D755" s="20"/>
      <c r="E755" s="19"/>
      <c r="F755" s="19"/>
      <c r="G755" s="19"/>
      <c r="H755" s="19"/>
      <c r="I755" s="19"/>
      <c r="J755" s="19"/>
    </row>
    <row r="756" spans="1:10" x14ac:dyDescent="0.2">
      <c r="A756" s="19"/>
      <c r="B756" s="19"/>
      <c r="C756" s="19"/>
      <c r="D756" s="20"/>
      <c r="E756" s="19"/>
      <c r="F756" s="19"/>
      <c r="G756" s="19"/>
      <c r="H756" s="19"/>
      <c r="I756" s="19"/>
      <c r="J756" s="19"/>
    </row>
    <row r="757" spans="1:10" x14ac:dyDescent="0.2">
      <c r="A757" s="19"/>
      <c r="B757" s="19"/>
      <c r="C757" s="19"/>
      <c r="D757" s="20"/>
      <c r="E757" s="19"/>
      <c r="F757" s="19"/>
      <c r="G757" s="19"/>
      <c r="H757" s="19"/>
      <c r="I757" s="19"/>
      <c r="J757" s="19"/>
    </row>
    <row r="758" spans="1:10" x14ac:dyDescent="0.2">
      <c r="A758" s="19"/>
      <c r="B758" s="19"/>
      <c r="C758" s="19"/>
      <c r="D758" s="20"/>
      <c r="E758" s="19"/>
      <c r="F758" s="19"/>
      <c r="G758" s="19"/>
      <c r="H758" s="19"/>
      <c r="I758" s="19"/>
      <c r="J758" s="19"/>
    </row>
    <row r="759" spans="1:10" x14ac:dyDescent="0.2">
      <c r="A759" s="19"/>
      <c r="B759" s="19"/>
      <c r="C759" s="19"/>
      <c r="D759" s="20"/>
      <c r="E759" s="19"/>
      <c r="F759" s="19"/>
      <c r="G759" s="19"/>
      <c r="H759" s="19"/>
      <c r="I759" s="19"/>
      <c r="J759" s="19"/>
    </row>
    <row r="760" spans="1:10" x14ac:dyDescent="0.2">
      <c r="A760" s="19"/>
      <c r="B760" s="19"/>
      <c r="C760" s="19"/>
      <c r="D760" s="20"/>
      <c r="E760" s="19"/>
      <c r="F760" s="19"/>
      <c r="G760" s="19"/>
      <c r="H760" s="19"/>
      <c r="I760" s="19"/>
      <c r="J760" s="19"/>
    </row>
    <row r="761" spans="1:10" x14ac:dyDescent="0.2">
      <c r="A761" s="19"/>
      <c r="B761" s="19"/>
      <c r="C761" s="19"/>
      <c r="D761" s="20"/>
      <c r="E761" s="19"/>
      <c r="F761" s="19"/>
      <c r="G761" s="19"/>
      <c r="H761" s="19"/>
      <c r="I761" s="19"/>
      <c r="J761" s="19"/>
    </row>
    <row r="762" spans="1:10" x14ac:dyDescent="0.2">
      <c r="A762" s="19"/>
      <c r="B762" s="19"/>
      <c r="C762" s="19"/>
      <c r="D762" s="20"/>
      <c r="E762" s="19"/>
      <c r="F762" s="19"/>
      <c r="G762" s="19"/>
      <c r="H762" s="19"/>
      <c r="I762" s="19"/>
      <c r="J762" s="19"/>
    </row>
    <row r="763" spans="1:10" x14ac:dyDescent="0.2">
      <c r="A763" s="19"/>
      <c r="B763" s="19"/>
      <c r="C763" s="19"/>
      <c r="D763" s="20"/>
      <c r="E763" s="19"/>
      <c r="F763" s="19"/>
      <c r="G763" s="19"/>
      <c r="H763" s="19"/>
      <c r="I763" s="19"/>
      <c r="J763" s="19"/>
    </row>
    <row r="764" spans="1:10" x14ac:dyDescent="0.2">
      <c r="A764" s="19"/>
      <c r="B764" s="19"/>
      <c r="C764" s="19"/>
      <c r="D764" s="20"/>
      <c r="E764" s="19"/>
      <c r="F764" s="19"/>
      <c r="G764" s="19"/>
      <c r="H764" s="19"/>
      <c r="I764" s="19"/>
      <c r="J764" s="19"/>
    </row>
    <row r="765" spans="1:10" x14ac:dyDescent="0.2">
      <c r="A765" s="19"/>
      <c r="B765" s="19"/>
      <c r="C765" s="19"/>
      <c r="D765" s="20"/>
      <c r="E765" s="19"/>
      <c r="F765" s="19"/>
      <c r="G765" s="19"/>
      <c r="H765" s="19"/>
      <c r="I765" s="19"/>
      <c r="J765" s="19"/>
    </row>
    <row r="766" spans="1:10" x14ac:dyDescent="0.2">
      <c r="A766" s="19"/>
      <c r="B766" s="19"/>
      <c r="C766" s="19"/>
      <c r="D766" s="20"/>
      <c r="E766" s="19"/>
      <c r="F766" s="19"/>
      <c r="G766" s="19"/>
      <c r="H766" s="19"/>
      <c r="I766" s="19"/>
      <c r="J766" s="19"/>
    </row>
    <row r="767" spans="1:10" x14ac:dyDescent="0.2">
      <c r="A767" s="19"/>
      <c r="B767" s="19"/>
      <c r="C767" s="19"/>
      <c r="D767" s="20"/>
      <c r="E767" s="19"/>
      <c r="F767" s="19"/>
      <c r="G767" s="19"/>
      <c r="H767" s="19"/>
      <c r="I767" s="19"/>
      <c r="J767" s="19"/>
    </row>
    <row r="768" spans="1:10" x14ac:dyDescent="0.2">
      <c r="A768" s="19"/>
      <c r="B768" s="19"/>
      <c r="C768" s="19"/>
      <c r="D768" s="20"/>
      <c r="E768" s="19"/>
      <c r="F768" s="19"/>
      <c r="G768" s="19"/>
      <c r="H768" s="19"/>
      <c r="I768" s="19"/>
      <c r="J768" s="19"/>
    </row>
    <row r="769" spans="1:10" x14ac:dyDescent="0.2">
      <c r="A769" s="19"/>
      <c r="B769" s="19"/>
      <c r="C769" s="19"/>
      <c r="D769" s="20"/>
      <c r="E769" s="19"/>
      <c r="F769" s="19"/>
      <c r="G769" s="19"/>
      <c r="H769" s="19"/>
      <c r="I769" s="19"/>
      <c r="J769" s="19"/>
    </row>
    <row r="770" spans="1:10" x14ac:dyDescent="0.2">
      <c r="A770" s="19"/>
      <c r="B770" s="19"/>
      <c r="C770" s="19"/>
      <c r="D770" s="20"/>
      <c r="E770" s="19"/>
      <c r="F770" s="19"/>
      <c r="G770" s="19"/>
      <c r="H770" s="19"/>
      <c r="I770" s="19"/>
      <c r="J770" s="19"/>
    </row>
    <row r="771" spans="1:10" x14ac:dyDescent="0.2">
      <c r="A771" s="19"/>
      <c r="B771" s="19"/>
      <c r="C771" s="19"/>
      <c r="D771" s="20"/>
      <c r="E771" s="19"/>
      <c r="F771" s="19"/>
      <c r="G771" s="19"/>
      <c r="H771" s="19"/>
      <c r="I771" s="19"/>
      <c r="J771" s="19"/>
    </row>
    <row r="772" spans="1:10" x14ac:dyDescent="0.2">
      <c r="A772" s="19"/>
      <c r="B772" s="19"/>
      <c r="C772" s="19"/>
      <c r="D772" s="20"/>
      <c r="E772" s="19"/>
      <c r="F772" s="19"/>
      <c r="G772" s="19"/>
      <c r="H772" s="19"/>
      <c r="I772" s="19"/>
      <c r="J772" s="19"/>
    </row>
    <row r="773" spans="1:10" x14ac:dyDescent="0.2">
      <c r="A773" s="19"/>
      <c r="B773" s="19"/>
      <c r="C773" s="19"/>
      <c r="D773" s="20"/>
      <c r="E773" s="19"/>
      <c r="F773" s="19"/>
      <c r="G773" s="19"/>
      <c r="H773" s="19"/>
      <c r="I773" s="19"/>
      <c r="J773" s="19"/>
    </row>
    <row r="774" spans="1:10" x14ac:dyDescent="0.2">
      <c r="A774" s="19"/>
      <c r="B774" s="19"/>
      <c r="C774" s="19"/>
      <c r="D774" s="20"/>
      <c r="E774" s="19"/>
      <c r="F774" s="19"/>
      <c r="G774" s="19"/>
      <c r="H774" s="19"/>
      <c r="I774" s="19"/>
      <c r="J774" s="19"/>
    </row>
    <row r="775" spans="1:10" x14ac:dyDescent="0.2">
      <c r="A775" s="19"/>
      <c r="B775" s="19"/>
      <c r="C775" s="19"/>
      <c r="D775" s="20"/>
      <c r="E775" s="19"/>
      <c r="F775" s="19"/>
      <c r="G775" s="19"/>
      <c r="H775" s="19"/>
      <c r="I775" s="19"/>
      <c r="J775" s="19"/>
    </row>
    <row r="776" spans="1:10" x14ac:dyDescent="0.2">
      <c r="A776" s="19"/>
      <c r="B776" s="19"/>
      <c r="C776" s="19"/>
      <c r="D776" s="20"/>
      <c r="E776" s="19"/>
      <c r="F776" s="19"/>
      <c r="G776" s="19"/>
      <c r="H776" s="19"/>
      <c r="I776" s="19"/>
      <c r="J776" s="19"/>
    </row>
    <row r="777" spans="1:10" x14ac:dyDescent="0.2">
      <c r="A777" s="19"/>
      <c r="B777" s="19"/>
      <c r="C777" s="19"/>
      <c r="D777" s="20"/>
      <c r="E777" s="19"/>
      <c r="F777" s="19"/>
      <c r="G777" s="19"/>
      <c r="H777" s="19"/>
      <c r="I777" s="19"/>
      <c r="J777" s="19"/>
    </row>
    <row r="778" spans="1:10" x14ac:dyDescent="0.2">
      <c r="A778" s="19"/>
      <c r="B778" s="19"/>
      <c r="C778" s="19"/>
      <c r="D778" s="20"/>
      <c r="E778" s="19"/>
      <c r="F778" s="19"/>
      <c r="G778" s="19"/>
      <c r="H778" s="19"/>
      <c r="I778" s="19"/>
      <c r="J778" s="19"/>
    </row>
    <row r="779" spans="1:10" x14ac:dyDescent="0.2">
      <c r="A779" s="19"/>
      <c r="B779" s="19"/>
      <c r="C779" s="19"/>
      <c r="D779" s="20"/>
      <c r="E779" s="19"/>
      <c r="F779" s="19"/>
      <c r="G779" s="19"/>
      <c r="H779" s="19"/>
      <c r="I779" s="19"/>
      <c r="J779" s="19"/>
    </row>
    <row r="780" spans="1:10" x14ac:dyDescent="0.2">
      <c r="A780" s="19"/>
      <c r="B780" s="19"/>
      <c r="C780" s="19"/>
      <c r="D780" s="20"/>
      <c r="E780" s="19"/>
      <c r="F780" s="19"/>
      <c r="G780" s="19"/>
      <c r="H780" s="19"/>
      <c r="I780" s="19"/>
      <c r="J780" s="19"/>
    </row>
    <row r="781" spans="1:10" x14ac:dyDescent="0.2">
      <c r="A781" s="19"/>
      <c r="B781" s="19"/>
      <c r="C781" s="19"/>
      <c r="D781" s="20"/>
      <c r="E781" s="19"/>
      <c r="F781" s="19"/>
      <c r="G781" s="19"/>
      <c r="H781" s="19"/>
      <c r="I781" s="19"/>
      <c r="J781" s="19"/>
    </row>
    <row r="782" spans="1:10" x14ac:dyDescent="0.2">
      <c r="A782" s="19"/>
      <c r="B782" s="19"/>
      <c r="C782" s="19"/>
      <c r="D782" s="20"/>
      <c r="E782" s="19"/>
      <c r="F782" s="19"/>
      <c r="G782" s="19"/>
      <c r="H782" s="19"/>
      <c r="I782" s="19"/>
      <c r="J782" s="19"/>
    </row>
    <row r="783" spans="1:10" x14ac:dyDescent="0.2">
      <c r="A783" s="19"/>
      <c r="B783" s="19"/>
      <c r="C783" s="19"/>
      <c r="D783" s="20"/>
      <c r="E783" s="19"/>
      <c r="F783" s="19"/>
      <c r="G783" s="19"/>
      <c r="H783" s="19"/>
      <c r="I783" s="19"/>
      <c r="J783" s="19"/>
    </row>
    <row r="784" spans="1:10" x14ac:dyDescent="0.2">
      <c r="A784" s="19"/>
      <c r="B784" s="19"/>
      <c r="C784" s="19"/>
      <c r="D784" s="20"/>
      <c r="E784" s="19"/>
      <c r="F784" s="19"/>
      <c r="G784" s="19"/>
      <c r="H784" s="19"/>
      <c r="I784" s="19"/>
      <c r="J784" s="19"/>
    </row>
    <row r="785" spans="1:10" x14ac:dyDescent="0.2">
      <c r="A785" s="19"/>
      <c r="B785" s="19"/>
      <c r="C785" s="19"/>
      <c r="D785" s="20"/>
      <c r="E785" s="19"/>
      <c r="F785" s="19"/>
      <c r="G785" s="19"/>
      <c r="H785" s="19"/>
      <c r="I785" s="19"/>
      <c r="J785" s="19"/>
    </row>
    <row r="786" spans="1:10" x14ac:dyDescent="0.2">
      <c r="A786" s="19"/>
      <c r="B786" s="19"/>
      <c r="C786" s="19"/>
      <c r="D786" s="20"/>
      <c r="E786" s="19"/>
      <c r="F786" s="19"/>
      <c r="G786" s="19"/>
      <c r="H786" s="19"/>
      <c r="I786" s="19"/>
      <c r="J786" s="19"/>
    </row>
    <row r="787" spans="1:10" x14ac:dyDescent="0.2">
      <c r="A787" s="19"/>
      <c r="B787" s="19"/>
      <c r="C787" s="19"/>
      <c r="D787" s="20"/>
      <c r="E787" s="19"/>
      <c r="F787" s="19"/>
      <c r="G787" s="19"/>
      <c r="H787" s="19"/>
      <c r="I787" s="19"/>
      <c r="J787" s="19"/>
    </row>
    <row r="788" spans="1:10" x14ac:dyDescent="0.2">
      <c r="A788" s="19"/>
      <c r="B788" s="19"/>
      <c r="C788" s="19"/>
      <c r="D788" s="20"/>
      <c r="E788" s="19"/>
      <c r="F788" s="19"/>
      <c r="G788" s="19"/>
      <c r="H788" s="19"/>
      <c r="I788" s="19"/>
      <c r="J788" s="19"/>
    </row>
    <row r="789" spans="1:10" x14ac:dyDescent="0.2">
      <c r="A789" s="19"/>
      <c r="B789" s="19"/>
      <c r="C789" s="19"/>
      <c r="D789" s="20"/>
      <c r="E789" s="19"/>
      <c r="F789" s="19"/>
      <c r="G789" s="19"/>
      <c r="H789" s="19"/>
      <c r="I789" s="19"/>
      <c r="J789" s="19"/>
    </row>
    <row r="790" spans="1:10" x14ac:dyDescent="0.2">
      <c r="A790" s="19"/>
      <c r="B790" s="19"/>
      <c r="C790" s="19"/>
      <c r="D790" s="20"/>
      <c r="E790" s="19"/>
      <c r="F790" s="19"/>
      <c r="G790" s="19"/>
      <c r="H790" s="19"/>
      <c r="I790" s="19"/>
      <c r="J790" s="19"/>
    </row>
    <row r="791" spans="1:10" x14ac:dyDescent="0.2">
      <c r="A791" s="19"/>
      <c r="B791" s="19"/>
      <c r="C791" s="19"/>
      <c r="D791" s="20"/>
      <c r="E791" s="19"/>
      <c r="F791" s="19"/>
      <c r="G791" s="19"/>
      <c r="H791" s="19"/>
      <c r="I791" s="19"/>
      <c r="J791" s="19"/>
    </row>
    <row r="792" spans="1:10" x14ac:dyDescent="0.2">
      <c r="A792" s="19"/>
      <c r="B792" s="19"/>
      <c r="C792" s="19"/>
      <c r="D792" s="20"/>
      <c r="E792" s="19"/>
      <c r="F792" s="19"/>
      <c r="G792" s="19"/>
      <c r="H792" s="19"/>
      <c r="I792" s="19"/>
      <c r="J792" s="19"/>
    </row>
    <row r="793" spans="1:10" x14ac:dyDescent="0.2">
      <c r="A793" s="19"/>
      <c r="B793" s="19"/>
      <c r="C793" s="19"/>
      <c r="D793" s="20"/>
      <c r="E793" s="19"/>
      <c r="F793" s="19"/>
      <c r="G793" s="19"/>
      <c r="H793" s="19"/>
      <c r="I793" s="19"/>
      <c r="J793" s="19"/>
    </row>
    <row r="794" spans="1:10" x14ac:dyDescent="0.2">
      <c r="A794" s="19"/>
      <c r="B794" s="19"/>
      <c r="C794" s="19"/>
      <c r="D794" s="20"/>
      <c r="E794" s="19"/>
      <c r="F794" s="19"/>
      <c r="G794" s="19"/>
      <c r="H794" s="19"/>
      <c r="I794" s="19"/>
      <c r="J794" s="19"/>
    </row>
    <row r="795" spans="1:10" x14ac:dyDescent="0.2">
      <c r="A795" s="19"/>
      <c r="B795" s="19"/>
      <c r="C795" s="19"/>
      <c r="D795" s="20"/>
      <c r="E795" s="19"/>
      <c r="F795" s="19"/>
      <c r="G795" s="19"/>
      <c r="H795" s="19"/>
      <c r="I795" s="19"/>
      <c r="J795" s="19"/>
    </row>
    <row r="796" spans="1:10" x14ac:dyDescent="0.2">
      <c r="A796" s="19"/>
      <c r="B796" s="19"/>
      <c r="C796" s="19"/>
      <c r="D796" s="20"/>
      <c r="E796" s="19"/>
      <c r="F796" s="19"/>
      <c r="G796" s="19"/>
      <c r="H796" s="19"/>
      <c r="I796" s="19"/>
      <c r="J796" s="19"/>
    </row>
    <row r="797" spans="1:10" x14ac:dyDescent="0.2">
      <c r="A797" s="19"/>
      <c r="B797" s="19"/>
      <c r="C797" s="19"/>
      <c r="D797" s="20"/>
      <c r="E797" s="19"/>
      <c r="F797" s="19"/>
      <c r="G797" s="19"/>
      <c r="H797" s="19"/>
      <c r="I797" s="19"/>
      <c r="J797" s="19"/>
    </row>
    <row r="798" spans="1:10" x14ac:dyDescent="0.2">
      <c r="A798" s="19"/>
      <c r="B798" s="19"/>
      <c r="C798" s="19"/>
      <c r="D798" s="20"/>
      <c r="E798" s="19"/>
      <c r="F798" s="19"/>
      <c r="G798" s="19"/>
      <c r="H798" s="19"/>
      <c r="I798" s="19"/>
      <c r="J798" s="19"/>
    </row>
    <row r="799" spans="1:10" x14ac:dyDescent="0.2">
      <c r="A799" s="19"/>
      <c r="B799" s="19"/>
      <c r="C799" s="19"/>
      <c r="D799" s="20"/>
      <c r="E799" s="19"/>
      <c r="F799" s="19"/>
      <c r="G799" s="19"/>
      <c r="H799" s="19"/>
      <c r="I799" s="19"/>
      <c r="J799" s="19"/>
    </row>
    <row r="800" spans="1:10" x14ac:dyDescent="0.2">
      <c r="A800" s="19"/>
      <c r="B800" s="19"/>
      <c r="C800" s="19"/>
      <c r="D800" s="20"/>
      <c r="E800" s="19"/>
      <c r="F800" s="19"/>
      <c r="G800" s="19"/>
      <c r="H800" s="19"/>
      <c r="I800" s="19"/>
      <c r="J800" s="19"/>
    </row>
    <row r="801" spans="1:10" x14ac:dyDescent="0.2">
      <c r="A801" s="19"/>
      <c r="B801" s="19"/>
      <c r="C801" s="19"/>
      <c r="D801" s="20"/>
      <c r="E801" s="19"/>
      <c r="F801" s="19"/>
      <c r="G801" s="19"/>
      <c r="H801" s="19"/>
      <c r="I801" s="19"/>
      <c r="J801" s="19"/>
    </row>
    <row r="802" spans="1:10" x14ac:dyDescent="0.2">
      <c r="A802" s="19"/>
      <c r="B802" s="19"/>
      <c r="C802" s="19"/>
      <c r="D802" s="20"/>
      <c r="E802" s="19"/>
      <c r="F802" s="19"/>
      <c r="G802" s="19"/>
      <c r="H802" s="19"/>
      <c r="I802" s="19"/>
      <c r="J802" s="19"/>
    </row>
    <row r="803" spans="1:10" x14ac:dyDescent="0.2">
      <c r="A803" s="19"/>
      <c r="B803" s="19"/>
      <c r="C803" s="19"/>
      <c r="D803" s="20"/>
      <c r="E803" s="19"/>
      <c r="F803" s="19"/>
      <c r="G803" s="19"/>
      <c r="H803" s="19"/>
      <c r="I803" s="19"/>
      <c r="J803" s="19"/>
    </row>
    <row r="804" spans="1:10" x14ac:dyDescent="0.2">
      <c r="A804" s="19"/>
      <c r="B804" s="19"/>
      <c r="C804" s="19"/>
      <c r="D804" s="20"/>
      <c r="E804" s="19"/>
      <c r="F804" s="19"/>
      <c r="G804" s="19"/>
      <c r="H804" s="19"/>
      <c r="I804" s="19"/>
      <c r="J804" s="19"/>
    </row>
    <row r="805" spans="1:10" x14ac:dyDescent="0.2">
      <c r="A805" s="19"/>
      <c r="B805" s="19"/>
      <c r="C805" s="19"/>
      <c r="D805" s="20"/>
      <c r="E805" s="19"/>
      <c r="F805" s="19"/>
      <c r="G805" s="19"/>
      <c r="H805" s="19"/>
      <c r="I805" s="19"/>
      <c r="J805" s="19"/>
    </row>
    <row r="806" spans="1:10" x14ac:dyDescent="0.2">
      <c r="A806" s="19"/>
      <c r="B806" s="19"/>
      <c r="C806" s="19"/>
      <c r="D806" s="20"/>
      <c r="E806" s="19"/>
      <c r="F806" s="19"/>
      <c r="G806" s="19"/>
      <c r="H806" s="19"/>
      <c r="I806" s="19"/>
      <c r="J806" s="19"/>
    </row>
    <row r="807" spans="1:10" x14ac:dyDescent="0.2">
      <c r="A807" s="19"/>
      <c r="B807" s="19"/>
      <c r="C807" s="19"/>
      <c r="D807" s="20"/>
      <c r="E807" s="19"/>
      <c r="F807" s="19"/>
      <c r="G807" s="19"/>
      <c r="H807" s="19"/>
      <c r="I807" s="19"/>
      <c r="J807" s="19"/>
    </row>
    <row r="808" spans="1:10" x14ac:dyDescent="0.2">
      <c r="A808" s="19"/>
      <c r="B808" s="19"/>
      <c r="C808" s="19"/>
      <c r="D808" s="20"/>
      <c r="E808" s="19"/>
      <c r="F808" s="19"/>
      <c r="G808" s="19"/>
      <c r="H808" s="19"/>
      <c r="I808" s="19"/>
      <c r="J808" s="19"/>
    </row>
    <row r="809" spans="1:10" x14ac:dyDescent="0.2">
      <c r="A809" s="19"/>
      <c r="B809" s="19"/>
      <c r="C809" s="19"/>
      <c r="D809" s="20"/>
      <c r="E809" s="19"/>
      <c r="F809" s="19"/>
      <c r="G809" s="19"/>
      <c r="H809" s="19"/>
      <c r="I809" s="19"/>
      <c r="J809" s="19"/>
    </row>
    <row r="810" spans="1:10" x14ac:dyDescent="0.2">
      <c r="A810" s="19"/>
      <c r="B810" s="19"/>
      <c r="C810" s="19"/>
      <c r="D810" s="20"/>
      <c r="E810" s="19"/>
      <c r="F810" s="19"/>
      <c r="G810" s="19"/>
      <c r="H810" s="19"/>
      <c r="I810" s="19"/>
      <c r="J810" s="19"/>
    </row>
    <row r="811" spans="1:10" x14ac:dyDescent="0.2">
      <c r="A811" s="19"/>
      <c r="B811" s="19"/>
      <c r="C811" s="19"/>
      <c r="D811" s="20"/>
      <c r="E811" s="19"/>
      <c r="F811" s="19"/>
      <c r="G811" s="19"/>
      <c r="H811" s="19"/>
      <c r="I811" s="19"/>
      <c r="J811" s="19"/>
    </row>
    <row r="812" spans="1:10" x14ac:dyDescent="0.2">
      <c r="A812" s="19"/>
      <c r="B812" s="19"/>
      <c r="C812" s="19"/>
      <c r="D812" s="20"/>
      <c r="E812" s="19"/>
      <c r="F812" s="19"/>
      <c r="G812" s="19"/>
      <c r="H812" s="19"/>
      <c r="I812" s="19"/>
      <c r="J812" s="19"/>
    </row>
    <row r="813" spans="1:10" x14ac:dyDescent="0.2">
      <c r="A813" s="19"/>
      <c r="B813" s="19"/>
      <c r="C813" s="19"/>
      <c r="D813" s="20"/>
      <c r="E813" s="19"/>
      <c r="F813" s="19"/>
      <c r="G813" s="19"/>
      <c r="H813" s="19"/>
      <c r="I813" s="19"/>
      <c r="J813" s="19"/>
    </row>
    <row r="814" spans="1:10" x14ac:dyDescent="0.2">
      <c r="A814" s="19"/>
      <c r="B814" s="19"/>
      <c r="C814" s="19"/>
      <c r="D814" s="20"/>
      <c r="E814" s="19"/>
      <c r="F814" s="19"/>
      <c r="G814" s="19"/>
      <c r="H814" s="19"/>
      <c r="I814" s="19"/>
      <c r="J814" s="19"/>
    </row>
    <row r="815" spans="1:10" x14ac:dyDescent="0.2">
      <c r="A815" s="19"/>
      <c r="B815" s="19"/>
      <c r="C815" s="19"/>
      <c r="D815" s="20"/>
      <c r="E815" s="19"/>
      <c r="F815" s="19"/>
      <c r="G815" s="19"/>
      <c r="H815" s="19"/>
      <c r="I815" s="19"/>
      <c r="J815" s="19"/>
    </row>
    <row r="816" spans="1:10" x14ac:dyDescent="0.2">
      <c r="A816" s="19"/>
      <c r="B816" s="19"/>
      <c r="C816" s="19"/>
      <c r="D816" s="20"/>
      <c r="E816" s="19"/>
      <c r="F816" s="19"/>
      <c r="G816" s="19"/>
      <c r="H816" s="19"/>
      <c r="I816" s="19"/>
      <c r="J816" s="19"/>
    </row>
    <row r="817" spans="1:10" x14ac:dyDescent="0.2">
      <c r="A817" s="19"/>
      <c r="B817" s="19"/>
      <c r="C817" s="19"/>
      <c r="D817" s="20"/>
      <c r="E817" s="19"/>
      <c r="F817" s="19"/>
      <c r="G817" s="19"/>
      <c r="H817" s="19"/>
      <c r="I817" s="19"/>
      <c r="J817" s="19"/>
    </row>
    <row r="818" spans="1:10" x14ac:dyDescent="0.2">
      <c r="A818" s="19"/>
      <c r="B818" s="19"/>
      <c r="C818" s="19"/>
      <c r="D818" s="20"/>
      <c r="E818" s="19"/>
      <c r="F818" s="19"/>
      <c r="G818" s="19"/>
      <c r="H818" s="19"/>
      <c r="I818" s="19"/>
      <c r="J818" s="19"/>
    </row>
    <row r="819" spans="1:10" x14ac:dyDescent="0.2">
      <c r="A819" s="19"/>
      <c r="B819" s="19"/>
      <c r="C819" s="19"/>
      <c r="D819" s="20"/>
      <c r="E819" s="19"/>
      <c r="F819" s="19"/>
      <c r="G819" s="19"/>
      <c r="H819" s="19"/>
      <c r="I819" s="19"/>
      <c r="J819" s="19"/>
    </row>
    <row r="820" spans="1:10" x14ac:dyDescent="0.2">
      <c r="A820" s="19"/>
      <c r="B820" s="19"/>
      <c r="C820" s="19"/>
      <c r="D820" s="20"/>
      <c r="E820" s="19"/>
      <c r="F820" s="19"/>
      <c r="G820" s="19"/>
      <c r="H820" s="19"/>
      <c r="I820" s="19"/>
      <c r="J820" s="19"/>
    </row>
    <row r="821" spans="1:10" x14ac:dyDescent="0.2">
      <c r="A821" s="19"/>
      <c r="B821" s="19"/>
      <c r="C821" s="19"/>
      <c r="D821" s="20"/>
      <c r="E821" s="19"/>
      <c r="F821" s="19"/>
      <c r="G821" s="19"/>
      <c r="H821" s="19"/>
      <c r="I821" s="19"/>
      <c r="J821" s="19"/>
    </row>
    <row r="822" spans="1:10" x14ac:dyDescent="0.2">
      <c r="A822" s="19"/>
      <c r="B822" s="19"/>
      <c r="C822" s="19"/>
      <c r="D822" s="20"/>
      <c r="E822" s="19"/>
      <c r="F822" s="19"/>
      <c r="G822" s="19"/>
      <c r="H822" s="19"/>
      <c r="I822" s="19"/>
      <c r="J822" s="19"/>
    </row>
    <row r="823" spans="1:10" x14ac:dyDescent="0.2">
      <c r="A823" s="19"/>
      <c r="B823" s="19"/>
      <c r="C823" s="19"/>
      <c r="D823" s="20"/>
      <c r="E823" s="19"/>
      <c r="F823" s="19"/>
      <c r="G823" s="19"/>
      <c r="H823" s="19"/>
      <c r="I823" s="19"/>
      <c r="J823" s="19"/>
    </row>
    <row r="824" spans="1:10" x14ac:dyDescent="0.2">
      <c r="A824" s="19"/>
      <c r="B824" s="19"/>
      <c r="C824" s="19"/>
      <c r="D824" s="20"/>
      <c r="E824" s="19"/>
      <c r="F824" s="19"/>
      <c r="G824" s="19"/>
      <c r="H824" s="19"/>
      <c r="I824" s="19"/>
      <c r="J824" s="19"/>
    </row>
    <row r="825" spans="1:10" x14ac:dyDescent="0.2">
      <c r="A825" s="19"/>
      <c r="B825" s="19"/>
      <c r="C825" s="19"/>
      <c r="D825" s="20"/>
      <c r="E825" s="19"/>
      <c r="F825" s="19"/>
      <c r="G825" s="19"/>
      <c r="H825" s="19"/>
      <c r="I825" s="19"/>
      <c r="J825" s="19"/>
    </row>
    <row r="826" spans="1:10" x14ac:dyDescent="0.2">
      <c r="A826" s="19"/>
      <c r="B826" s="19"/>
      <c r="C826" s="19"/>
      <c r="D826" s="20"/>
      <c r="E826" s="19"/>
      <c r="F826" s="19"/>
      <c r="G826" s="19"/>
      <c r="H826" s="19"/>
      <c r="I826" s="19"/>
      <c r="J826" s="19"/>
    </row>
    <row r="827" spans="1:10" x14ac:dyDescent="0.2">
      <c r="A827" s="19"/>
      <c r="B827" s="19"/>
      <c r="C827" s="19"/>
      <c r="D827" s="20"/>
      <c r="E827" s="19"/>
      <c r="F827" s="19"/>
      <c r="G827" s="19"/>
      <c r="H827" s="19"/>
      <c r="I827" s="19"/>
      <c r="J827" s="19"/>
    </row>
    <row r="828" spans="1:10" x14ac:dyDescent="0.2">
      <c r="A828" s="19"/>
      <c r="B828" s="19"/>
      <c r="C828" s="19"/>
      <c r="D828" s="20"/>
      <c r="E828" s="19"/>
      <c r="F828" s="19"/>
      <c r="G828" s="19"/>
      <c r="H828" s="19"/>
      <c r="I828" s="19"/>
      <c r="J828" s="19"/>
    </row>
    <row r="829" spans="1:10" x14ac:dyDescent="0.2">
      <c r="A829" s="19"/>
      <c r="B829" s="19"/>
      <c r="C829" s="19"/>
      <c r="D829" s="20"/>
      <c r="E829" s="19"/>
      <c r="F829" s="19"/>
      <c r="G829" s="19"/>
      <c r="H829" s="19"/>
      <c r="I829" s="19"/>
      <c r="J829" s="19"/>
    </row>
    <row r="830" spans="1:10" x14ac:dyDescent="0.2">
      <c r="A830" s="19"/>
      <c r="B830" s="19"/>
      <c r="C830" s="19"/>
      <c r="D830" s="20"/>
      <c r="E830" s="19"/>
      <c r="F830" s="19"/>
      <c r="G830" s="19"/>
      <c r="H830" s="19"/>
      <c r="I830" s="19"/>
      <c r="J830" s="19"/>
    </row>
    <row r="831" spans="1:10" x14ac:dyDescent="0.2">
      <c r="A831" s="19"/>
      <c r="B831" s="19"/>
      <c r="C831" s="19"/>
      <c r="D831" s="20"/>
      <c r="E831" s="19"/>
      <c r="F831" s="19"/>
      <c r="G831" s="19"/>
      <c r="H831" s="19"/>
      <c r="I831" s="19"/>
      <c r="J831" s="19"/>
    </row>
    <row r="832" spans="1:10" x14ac:dyDescent="0.2">
      <c r="A832" s="19"/>
      <c r="B832" s="19"/>
      <c r="C832" s="19"/>
      <c r="D832" s="20"/>
      <c r="E832" s="19"/>
      <c r="F832" s="19"/>
      <c r="G832" s="19"/>
      <c r="H832" s="19"/>
      <c r="I832" s="19"/>
      <c r="J832" s="19"/>
    </row>
    <row r="833" spans="1:10" x14ac:dyDescent="0.2">
      <c r="A833" s="19"/>
      <c r="B833" s="19"/>
      <c r="C833" s="19"/>
      <c r="D833" s="20"/>
      <c r="E833" s="19"/>
      <c r="F833" s="19"/>
      <c r="G833" s="19"/>
      <c r="H833" s="19"/>
      <c r="I833" s="19"/>
      <c r="J833" s="19"/>
    </row>
    <row r="834" spans="1:10" x14ac:dyDescent="0.2">
      <c r="A834" s="19"/>
      <c r="B834" s="19"/>
      <c r="C834" s="19"/>
      <c r="D834" s="20"/>
      <c r="E834" s="19"/>
      <c r="F834" s="19"/>
      <c r="G834" s="19"/>
      <c r="H834" s="19"/>
      <c r="I834" s="19"/>
      <c r="J834" s="19"/>
    </row>
    <row r="835" spans="1:10" x14ac:dyDescent="0.2">
      <c r="A835" s="19"/>
      <c r="B835" s="19"/>
      <c r="C835" s="19"/>
      <c r="D835" s="20"/>
      <c r="E835" s="19"/>
      <c r="F835" s="19"/>
      <c r="G835" s="19"/>
      <c r="H835" s="19"/>
      <c r="I835" s="19"/>
      <c r="J835" s="19"/>
    </row>
    <row r="836" spans="1:10" x14ac:dyDescent="0.2">
      <c r="A836" s="19"/>
      <c r="B836" s="19"/>
      <c r="C836" s="19"/>
      <c r="D836" s="20"/>
      <c r="E836" s="19"/>
      <c r="F836" s="19"/>
      <c r="G836" s="19"/>
      <c r="H836" s="19"/>
      <c r="I836" s="19"/>
      <c r="J836" s="19"/>
    </row>
    <row r="837" spans="1:10" x14ac:dyDescent="0.2">
      <c r="A837" s="19"/>
      <c r="B837" s="19"/>
      <c r="C837" s="19"/>
      <c r="D837" s="20"/>
      <c r="E837" s="19"/>
      <c r="F837" s="19"/>
      <c r="G837" s="19"/>
      <c r="H837" s="19"/>
      <c r="I837" s="19"/>
      <c r="J837" s="19"/>
    </row>
    <row r="838" spans="1:10" x14ac:dyDescent="0.2">
      <c r="A838" s="19"/>
      <c r="B838" s="19"/>
      <c r="C838" s="19"/>
      <c r="D838" s="20"/>
      <c r="E838" s="19"/>
      <c r="F838" s="19"/>
      <c r="G838" s="19"/>
      <c r="H838" s="19"/>
      <c r="I838" s="19"/>
      <c r="J838" s="19"/>
    </row>
    <row r="839" spans="1:10" x14ac:dyDescent="0.2">
      <c r="A839" s="19"/>
      <c r="B839" s="19"/>
      <c r="C839" s="19"/>
      <c r="D839" s="20"/>
      <c r="E839" s="19"/>
      <c r="F839" s="19"/>
      <c r="G839" s="19"/>
      <c r="H839" s="19"/>
      <c r="I839" s="19"/>
      <c r="J839" s="19"/>
    </row>
    <row r="840" spans="1:10" x14ac:dyDescent="0.2">
      <c r="A840" s="19"/>
      <c r="B840" s="19"/>
      <c r="C840" s="19"/>
      <c r="D840" s="20"/>
      <c r="E840" s="19"/>
      <c r="F840" s="19"/>
      <c r="G840" s="19"/>
      <c r="H840" s="19"/>
      <c r="I840" s="19"/>
      <c r="J840" s="19"/>
    </row>
    <row r="841" spans="1:10" x14ac:dyDescent="0.2">
      <c r="A841" s="19"/>
      <c r="B841" s="19"/>
      <c r="C841" s="19"/>
      <c r="D841" s="20"/>
      <c r="E841" s="19"/>
      <c r="F841" s="19"/>
      <c r="G841" s="19"/>
      <c r="H841" s="19"/>
      <c r="I841" s="19"/>
      <c r="J841" s="19"/>
    </row>
    <row r="842" spans="1:10" x14ac:dyDescent="0.2">
      <c r="A842" s="19"/>
      <c r="B842" s="19"/>
      <c r="C842" s="19"/>
      <c r="D842" s="20"/>
      <c r="E842" s="19"/>
      <c r="F842" s="19"/>
      <c r="G842" s="19"/>
      <c r="H842" s="19"/>
      <c r="I842" s="19"/>
      <c r="J842" s="19"/>
    </row>
    <row r="843" spans="1:10" x14ac:dyDescent="0.2">
      <c r="A843" s="19"/>
      <c r="B843" s="19"/>
      <c r="C843" s="19"/>
      <c r="D843" s="20"/>
      <c r="E843" s="19"/>
      <c r="F843" s="19"/>
      <c r="G843" s="19"/>
      <c r="H843" s="19"/>
      <c r="I843" s="19"/>
      <c r="J843" s="19"/>
    </row>
    <row r="844" spans="1:10" x14ac:dyDescent="0.2">
      <c r="A844" s="19"/>
      <c r="B844" s="19"/>
      <c r="C844" s="19"/>
      <c r="D844" s="20"/>
      <c r="E844" s="19"/>
      <c r="F844" s="19"/>
      <c r="G844" s="19"/>
      <c r="H844" s="19"/>
      <c r="I844" s="19"/>
      <c r="J844" s="19"/>
    </row>
    <row r="845" spans="1:10" x14ac:dyDescent="0.2">
      <c r="A845" s="19"/>
      <c r="B845" s="19"/>
      <c r="C845" s="19"/>
      <c r="D845" s="20"/>
      <c r="E845" s="19"/>
      <c r="F845" s="19"/>
      <c r="G845" s="19"/>
      <c r="H845" s="19"/>
      <c r="I845" s="19"/>
      <c r="J845" s="19"/>
    </row>
    <row r="846" spans="1:10" x14ac:dyDescent="0.2">
      <c r="A846" s="19"/>
      <c r="B846" s="19"/>
      <c r="C846" s="19"/>
      <c r="D846" s="20"/>
      <c r="E846" s="19"/>
      <c r="F846" s="19"/>
      <c r="G846" s="19"/>
      <c r="H846" s="19"/>
      <c r="I846" s="19"/>
      <c r="J846" s="19"/>
    </row>
    <row r="847" spans="1:10" x14ac:dyDescent="0.2">
      <c r="A847" s="19"/>
      <c r="B847" s="19"/>
      <c r="C847" s="19"/>
      <c r="D847" s="20"/>
      <c r="E847" s="19"/>
      <c r="F847" s="19"/>
      <c r="G847" s="19"/>
      <c r="H847" s="19"/>
      <c r="I847" s="19"/>
      <c r="J847" s="19"/>
    </row>
    <row r="848" spans="1:10" x14ac:dyDescent="0.2">
      <c r="A848" s="19"/>
      <c r="B848" s="19"/>
      <c r="C848" s="19"/>
      <c r="D848" s="20"/>
      <c r="E848" s="19"/>
      <c r="F848" s="19"/>
      <c r="G848" s="19"/>
      <c r="H848" s="19"/>
      <c r="I848" s="19"/>
      <c r="J848" s="19"/>
    </row>
    <row r="849" spans="1:10" x14ac:dyDescent="0.2">
      <c r="A849" s="19"/>
      <c r="B849" s="19"/>
      <c r="C849" s="19"/>
      <c r="D849" s="20"/>
      <c r="E849" s="19"/>
      <c r="F849" s="19"/>
      <c r="G849" s="19"/>
      <c r="H849" s="19"/>
      <c r="I849" s="19"/>
      <c r="J849" s="19"/>
    </row>
    <row r="850" spans="1:10" x14ac:dyDescent="0.2">
      <c r="A850" s="19"/>
      <c r="B850" s="19"/>
      <c r="C850" s="19"/>
      <c r="D850" s="20"/>
      <c r="E850" s="19"/>
      <c r="F850" s="19"/>
      <c r="G850" s="19"/>
      <c r="H850" s="19"/>
      <c r="I850" s="19"/>
      <c r="J850" s="19"/>
    </row>
    <row r="851" spans="1:10" x14ac:dyDescent="0.2">
      <c r="A851" s="19"/>
      <c r="B851" s="19"/>
      <c r="C851" s="19"/>
      <c r="D851" s="20"/>
      <c r="E851" s="19"/>
      <c r="F851" s="19"/>
      <c r="G851" s="19"/>
      <c r="H851" s="19"/>
      <c r="I851" s="19"/>
      <c r="J851" s="19"/>
    </row>
    <row r="852" spans="1:10" x14ac:dyDescent="0.2">
      <c r="A852" s="19"/>
      <c r="B852" s="19"/>
      <c r="C852" s="19"/>
      <c r="D852" s="20"/>
      <c r="E852" s="19"/>
      <c r="F852" s="19"/>
      <c r="G852" s="19"/>
      <c r="H852" s="19"/>
      <c r="I852" s="19"/>
      <c r="J852" s="19"/>
    </row>
    <row r="853" spans="1:10" x14ac:dyDescent="0.2">
      <c r="A853" s="19"/>
      <c r="B853" s="19"/>
      <c r="C853" s="19"/>
      <c r="D853" s="20"/>
      <c r="E853" s="19"/>
      <c r="F853" s="19"/>
      <c r="G853" s="19"/>
      <c r="H853" s="19"/>
      <c r="I853" s="19"/>
      <c r="J853" s="19"/>
    </row>
    <row r="854" spans="1:10" x14ac:dyDescent="0.2">
      <c r="A854" s="19"/>
      <c r="B854" s="19"/>
      <c r="C854" s="19"/>
      <c r="D854" s="20"/>
      <c r="E854" s="19"/>
      <c r="F854" s="19"/>
      <c r="G854" s="19"/>
      <c r="H854" s="19"/>
      <c r="I854" s="19"/>
      <c r="J854" s="19"/>
    </row>
    <row r="855" spans="1:10" x14ac:dyDescent="0.2">
      <c r="A855" s="19"/>
      <c r="B855" s="19"/>
      <c r="C855" s="19"/>
      <c r="D855" s="20"/>
      <c r="E855" s="19"/>
      <c r="F855" s="19"/>
      <c r="G855" s="19"/>
      <c r="H855" s="19"/>
      <c r="I855" s="19"/>
      <c r="J855" s="19"/>
    </row>
    <row r="856" spans="1:10" x14ac:dyDescent="0.2">
      <c r="A856" s="19"/>
      <c r="B856" s="19"/>
      <c r="C856" s="19"/>
      <c r="D856" s="20"/>
      <c r="E856" s="19"/>
      <c r="F856" s="19"/>
      <c r="G856" s="19"/>
      <c r="H856" s="19"/>
      <c r="I856" s="19"/>
      <c r="J856" s="19"/>
    </row>
    <row r="857" spans="1:10" x14ac:dyDescent="0.2">
      <c r="A857" s="19"/>
      <c r="B857" s="19"/>
      <c r="C857" s="19"/>
      <c r="D857" s="20"/>
      <c r="E857" s="19"/>
      <c r="F857" s="19"/>
      <c r="G857" s="19"/>
      <c r="H857" s="19"/>
      <c r="I857" s="19"/>
      <c r="J857" s="19"/>
    </row>
    <row r="858" spans="1:10" x14ac:dyDescent="0.2">
      <c r="A858" s="19"/>
      <c r="B858" s="19"/>
      <c r="C858" s="19"/>
      <c r="D858" s="20"/>
      <c r="E858" s="19"/>
      <c r="F858" s="19"/>
      <c r="G858" s="19"/>
      <c r="H858" s="19"/>
      <c r="I858" s="19"/>
      <c r="J858" s="19"/>
    </row>
    <row r="859" spans="1:10" x14ac:dyDescent="0.2">
      <c r="A859" s="19"/>
      <c r="B859" s="19"/>
      <c r="C859" s="19"/>
      <c r="D859" s="20"/>
      <c r="E859" s="19"/>
      <c r="F859" s="19"/>
      <c r="G859" s="19"/>
      <c r="H859" s="19"/>
      <c r="I859" s="19"/>
      <c r="J859" s="19"/>
    </row>
    <row r="860" spans="1:10" x14ac:dyDescent="0.2">
      <c r="A860" s="19"/>
      <c r="B860" s="19"/>
      <c r="C860" s="19"/>
      <c r="D860" s="20"/>
      <c r="E860" s="19"/>
      <c r="F860" s="19"/>
      <c r="G860" s="19"/>
      <c r="H860" s="19"/>
      <c r="I860" s="19"/>
      <c r="J860" s="19"/>
    </row>
    <row r="861" spans="1:10" x14ac:dyDescent="0.2">
      <c r="A861" s="19"/>
      <c r="B861" s="19"/>
      <c r="C861" s="19"/>
      <c r="D861" s="20"/>
      <c r="E861" s="19"/>
      <c r="F861" s="19"/>
      <c r="G861" s="19"/>
      <c r="H861" s="19"/>
      <c r="I861" s="19"/>
      <c r="J861" s="19"/>
    </row>
    <row r="862" spans="1:10" x14ac:dyDescent="0.2">
      <c r="A862" s="19"/>
      <c r="B862" s="19"/>
      <c r="C862" s="19"/>
      <c r="D862" s="20"/>
      <c r="E862" s="19"/>
      <c r="F862" s="19"/>
      <c r="G862" s="19"/>
      <c r="H862" s="19"/>
      <c r="I862" s="19"/>
      <c r="J862" s="19"/>
    </row>
    <row r="863" spans="1:10" x14ac:dyDescent="0.2">
      <c r="A863" s="19"/>
      <c r="B863" s="19"/>
      <c r="C863" s="19"/>
      <c r="D863" s="20"/>
      <c r="E863" s="19"/>
      <c r="F863" s="19"/>
      <c r="G863" s="19"/>
      <c r="H863" s="19"/>
      <c r="I863" s="19"/>
      <c r="J863" s="19"/>
    </row>
    <row r="864" spans="1:10" x14ac:dyDescent="0.2">
      <c r="A864" s="19"/>
      <c r="B864" s="19"/>
      <c r="C864" s="19"/>
      <c r="D864" s="20"/>
      <c r="E864" s="19"/>
      <c r="F864" s="19"/>
      <c r="G864" s="19"/>
      <c r="H864" s="19"/>
      <c r="I864" s="19"/>
      <c r="J864" s="19"/>
    </row>
    <row r="865" spans="1:10" x14ac:dyDescent="0.2">
      <c r="A865" s="19"/>
      <c r="B865" s="19"/>
      <c r="C865" s="19"/>
      <c r="D865" s="20"/>
      <c r="E865" s="19"/>
      <c r="F865" s="19"/>
      <c r="G865" s="19"/>
      <c r="H865" s="19"/>
      <c r="I865" s="19"/>
      <c r="J865" s="19"/>
    </row>
    <row r="866" spans="1:10" x14ac:dyDescent="0.2">
      <c r="A866" s="19"/>
      <c r="B866" s="19"/>
      <c r="C866" s="19"/>
      <c r="D866" s="20"/>
      <c r="E866" s="19"/>
      <c r="F866" s="19"/>
      <c r="G866" s="19"/>
      <c r="H866" s="19"/>
      <c r="I866" s="19"/>
      <c r="J866" s="19"/>
    </row>
    <row r="867" spans="1:10" x14ac:dyDescent="0.2">
      <c r="A867" s="19"/>
      <c r="B867" s="19"/>
      <c r="C867" s="19"/>
      <c r="D867" s="20"/>
      <c r="E867" s="19"/>
      <c r="F867" s="19"/>
      <c r="G867" s="19"/>
      <c r="H867" s="19"/>
      <c r="I867" s="19"/>
      <c r="J867" s="19"/>
    </row>
    <row r="868" spans="1:10" x14ac:dyDescent="0.2">
      <c r="A868" s="19"/>
      <c r="B868" s="19"/>
      <c r="C868" s="19"/>
      <c r="D868" s="20"/>
      <c r="E868" s="19"/>
      <c r="F868" s="19"/>
      <c r="G868" s="19"/>
      <c r="H868" s="19"/>
      <c r="I868" s="19"/>
      <c r="J868" s="19"/>
    </row>
    <row r="869" spans="1:10" x14ac:dyDescent="0.2">
      <c r="A869" s="19"/>
      <c r="B869" s="19"/>
      <c r="C869" s="19"/>
      <c r="D869" s="20"/>
      <c r="E869" s="19"/>
      <c r="F869" s="19"/>
      <c r="G869" s="19"/>
      <c r="H869" s="19"/>
      <c r="I869" s="19"/>
      <c r="J869" s="19"/>
    </row>
    <row r="870" spans="1:10" x14ac:dyDescent="0.2">
      <c r="A870" s="19"/>
      <c r="B870" s="19"/>
      <c r="C870" s="19"/>
      <c r="D870" s="20"/>
      <c r="E870" s="19"/>
      <c r="F870" s="19"/>
      <c r="G870" s="19"/>
      <c r="H870" s="19"/>
      <c r="I870" s="19"/>
      <c r="J870" s="19"/>
    </row>
    <row r="871" spans="1:10" x14ac:dyDescent="0.2">
      <c r="A871" s="19"/>
      <c r="B871" s="19"/>
      <c r="C871" s="19"/>
      <c r="D871" s="20"/>
      <c r="E871" s="19"/>
      <c r="F871" s="19"/>
      <c r="G871" s="19"/>
      <c r="H871" s="19"/>
      <c r="I871" s="19"/>
      <c r="J871" s="19"/>
    </row>
    <row r="872" spans="1:10" x14ac:dyDescent="0.2">
      <c r="A872" s="19"/>
      <c r="B872" s="19"/>
      <c r="C872" s="19"/>
      <c r="D872" s="20"/>
      <c r="E872" s="19"/>
      <c r="F872" s="19"/>
      <c r="G872" s="19"/>
      <c r="H872" s="19"/>
      <c r="I872" s="19"/>
      <c r="J872" s="19"/>
    </row>
    <row r="873" spans="1:10" x14ac:dyDescent="0.2">
      <c r="A873" s="19"/>
      <c r="B873" s="19"/>
      <c r="C873" s="19"/>
      <c r="D873" s="20"/>
      <c r="E873" s="19"/>
      <c r="F873" s="19"/>
      <c r="G873" s="19"/>
      <c r="H873" s="19"/>
      <c r="I873" s="19"/>
      <c r="J873" s="19"/>
    </row>
    <row r="874" spans="1:10" x14ac:dyDescent="0.2">
      <c r="A874" s="19"/>
      <c r="B874" s="19"/>
      <c r="C874" s="19"/>
      <c r="D874" s="20"/>
      <c r="E874" s="19"/>
      <c r="F874" s="19"/>
      <c r="G874" s="19"/>
      <c r="H874" s="19"/>
      <c r="I874" s="19"/>
      <c r="J874" s="19"/>
    </row>
    <row r="875" spans="1:10" x14ac:dyDescent="0.2">
      <c r="A875" s="19"/>
      <c r="B875" s="19"/>
      <c r="C875" s="19"/>
      <c r="D875" s="20"/>
      <c r="E875" s="19"/>
      <c r="F875" s="19"/>
      <c r="G875" s="19"/>
      <c r="H875" s="19"/>
      <c r="I875" s="19"/>
      <c r="J875" s="19"/>
    </row>
    <row r="876" spans="1:10" x14ac:dyDescent="0.2">
      <c r="A876" s="19"/>
      <c r="B876" s="19"/>
      <c r="C876" s="19"/>
      <c r="D876" s="20"/>
      <c r="E876" s="19"/>
      <c r="F876" s="19"/>
      <c r="G876" s="19"/>
      <c r="H876" s="19"/>
      <c r="I876" s="19"/>
      <c r="J876" s="19"/>
    </row>
    <row r="877" spans="1:10" x14ac:dyDescent="0.2">
      <c r="A877" s="19"/>
      <c r="B877" s="19"/>
      <c r="C877" s="19"/>
      <c r="D877" s="20"/>
      <c r="E877" s="19"/>
      <c r="F877" s="19"/>
      <c r="G877" s="19"/>
      <c r="H877" s="19"/>
      <c r="I877" s="19"/>
      <c r="J877" s="19"/>
    </row>
    <row r="878" spans="1:10" x14ac:dyDescent="0.2">
      <c r="A878" s="19"/>
      <c r="B878" s="19"/>
      <c r="C878" s="19"/>
      <c r="D878" s="20"/>
      <c r="E878" s="19"/>
      <c r="F878" s="19"/>
      <c r="G878" s="19"/>
      <c r="H878" s="19"/>
      <c r="I878" s="19"/>
      <c r="J878" s="19"/>
    </row>
    <row r="879" spans="1:10" x14ac:dyDescent="0.2">
      <c r="A879" s="19"/>
      <c r="B879" s="19"/>
      <c r="C879" s="19"/>
      <c r="D879" s="20"/>
      <c r="E879" s="19"/>
      <c r="F879" s="19"/>
      <c r="G879" s="19"/>
      <c r="H879" s="19"/>
      <c r="I879" s="19"/>
      <c r="J879" s="19"/>
    </row>
    <row r="880" spans="1:10" x14ac:dyDescent="0.2">
      <c r="A880" s="19"/>
      <c r="B880" s="19"/>
      <c r="C880" s="19"/>
      <c r="D880" s="20"/>
      <c r="E880" s="19"/>
      <c r="F880" s="19"/>
      <c r="G880" s="19"/>
      <c r="H880" s="19"/>
      <c r="I880" s="19"/>
      <c r="J880" s="19"/>
    </row>
    <row r="881" spans="1:10" x14ac:dyDescent="0.2">
      <c r="A881" s="19"/>
      <c r="B881" s="19"/>
      <c r="C881" s="19"/>
      <c r="D881" s="20"/>
      <c r="E881" s="19"/>
      <c r="F881" s="19"/>
      <c r="G881" s="19"/>
      <c r="H881" s="19"/>
      <c r="I881" s="19"/>
      <c r="J881" s="19"/>
    </row>
    <row r="882" spans="1:10" x14ac:dyDescent="0.2">
      <c r="A882" s="19"/>
      <c r="B882" s="19"/>
      <c r="C882" s="19"/>
      <c r="D882" s="20"/>
      <c r="E882" s="19"/>
      <c r="F882" s="19"/>
      <c r="G882" s="19"/>
      <c r="H882" s="19"/>
      <c r="I882" s="19"/>
      <c r="J882" s="19"/>
    </row>
    <row r="883" spans="1:10" x14ac:dyDescent="0.2">
      <c r="A883" s="19"/>
      <c r="B883" s="19"/>
      <c r="C883" s="19"/>
      <c r="D883" s="20"/>
      <c r="E883" s="19"/>
      <c r="F883" s="19"/>
      <c r="G883" s="19"/>
      <c r="H883" s="19"/>
      <c r="I883" s="19"/>
      <c r="J883" s="19"/>
    </row>
    <row r="884" spans="1:10" x14ac:dyDescent="0.2">
      <c r="A884" s="19"/>
      <c r="B884" s="19"/>
      <c r="C884" s="19"/>
      <c r="D884" s="20"/>
      <c r="E884" s="19"/>
      <c r="F884" s="19"/>
      <c r="G884" s="19"/>
      <c r="H884" s="19"/>
      <c r="I884" s="19"/>
      <c r="J884" s="19"/>
    </row>
    <row r="885" spans="1:10" x14ac:dyDescent="0.2">
      <c r="A885" s="19"/>
      <c r="B885" s="19"/>
      <c r="C885" s="19"/>
      <c r="D885" s="20"/>
      <c r="E885" s="19"/>
      <c r="F885" s="19"/>
      <c r="G885" s="19"/>
      <c r="H885" s="19"/>
      <c r="I885" s="19"/>
      <c r="J885" s="19"/>
    </row>
    <row r="886" spans="1:10" x14ac:dyDescent="0.2">
      <c r="A886" s="19"/>
      <c r="B886" s="19"/>
      <c r="C886" s="19"/>
      <c r="D886" s="20"/>
      <c r="E886" s="19"/>
      <c r="F886" s="19"/>
      <c r="G886" s="19"/>
      <c r="H886" s="19"/>
      <c r="I886" s="19"/>
      <c r="J886" s="19"/>
    </row>
    <row r="887" spans="1:10" x14ac:dyDescent="0.2">
      <c r="A887" s="19"/>
      <c r="B887" s="19"/>
      <c r="C887" s="19"/>
      <c r="D887" s="20"/>
      <c r="E887" s="19"/>
      <c r="F887" s="19"/>
      <c r="G887" s="19"/>
      <c r="H887" s="19"/>
      <c r="I887" s="19"/>
      <c r="J887" s="19"/>
    </row>
    <row r="888" spans="1:10" x14ac:dyDescent="0.2">
      <c r="A888" s="19"/>
      <c r="B888" s="19"/>
      <c r="C888" s="19"/>
      <c r="D888" s="20"/>
      <c r="E888" s="19"/>
      <c r="F888" s="19"/>
      <c r="G888" s="19"/>
      <c r="H888" s="19"/>
      <c r="I888" s="19"/>
      <c r="J888" s="19"/>
    </row>
    <row r="889" spans="1:10" x14ac:dyDescent="0.2">
      <c r="A889" s="19"/>
      <c r="B889" s="19"/>
      <c r="C889" s="19"/>
      <c r="D889" s="20"/>
      <c r="E889" s="19"/>
      <c r="F889" s="19"/>
      <c r="G889" s="19"/>
      <c r="H889" s="19"/>
      <c r="I889" s="19"/>
      <c r="J889" s="19"/>
    </row>
    <row r="890" spans="1:10" x14ac:dyDescent="0.2">
      <c r="A890" s="19"/>
      <c r="B890" s="19"/>
      <c r="C890" s="19"/>
      <c r="D890" s="20"/>
      <c r="E890" s="19"/>
      <c r="F890" s="19"/>
      <c r="G890" s="19"/>
      <c r="H890" s="19"/>
      <c r="I890" s="19"/>
      <c r="J890" s="19"/>
    </row>
    <row r="891" spans="1:10" x14ac:dyDescent="0.2">
      <c r="A891" s="19"/>
      <c r="B891" s="19"/>
      <c r="C891" s="19"/>
      <c r="D891" s="20"/>
      <c r="E891" s="19"/>
      <c r="F891" s="19"/>
      <c r="G891" s="19"/>
      <c r="H891" s="19"/>
      <c r="I891" s="19"/>
      <c r="J891" s="19"/>
    </row>
    <row r="892" spans="1:10" x14ac:dyDescent="0.2">
      <c r="A892" s="19"/>
      <c r="B892" s="19"/>
      <c r="C892" s="19"/>
      <c r="D892" s="20"/>
      <c r="E892" s="19"/>
      <c r="F892" s="19"/>
      <c r="G892" s="19"/>
      <c r="H892" s="19"/>
      <c r="I892" s="19"/>
      <c r="J892" s="19"/>
    </row>
    <row r="893" spans="1:10" x14ac:dyDescent="0.2">
      <c r="A893" s="19"/>
      <c r="B893" s="19"/>
      <c r="C893" s="19"/>
      <c r="D893" s="20"/>
      <c r="E893" s="19"/>
      <c r="F893" s="19"/>
      <c r="G893" s="19"/>
      <c r="H893" s="19"/>
      <c r="I893" s="19"/>
      <c r="J893" s="19"/>
    </row>
    <row r="894" spans="1:10" x14ac:dyDescent="0.2">
      <c r="A894" s="19"/>
      <c r="B894" s="19"/>
      <c r="C894" s="19"/>
      <c r="D894" s="20"/>
      <c r="E894" s="19"/>
      <c r="F894" s="19"/>
      <c r="G894" s="19"/>
      <c r="H894" s="19"/>
      <c r="I894" s="19"/>
      <c r="J894" s="19"/>
    </row>
    <row r="895" spans="1:10" x14ac:dyDescent="0.2">
      <c r="A895" s="19"/>
      <c r="B895" s="19"/>
      <c r="C895" s="19"/>
      <c r="D895" s="20"/>
      <c r="E895" s="19"/>
      <c r="F895" s="19"/>
      <c r="G895" s="19"/>
      <c r="H895" s="19"/>
      <c r="I895" s="19"/>
      <c r="J895" s="19"/>
    </row>
    <row r="896" spans="1:10" x14ac:dyDescent="0.2">
      <c r="A896" s="19"/>
      <c r="B896" s="19"/>
      <c r="C896" s="19"/>
      <c r="D896" s="20"/>
      <c r="E896" s="19"/>
      <c r="F896" s="19"/>
      <c r="G896" s="19"/>
      <c r="H896" s="19"/>
      <c r="I896" s="19"/>
      <c r="J896" s="19"/>
    </row>
    <row r="897" spans="1:10" x14ac:dyDescent="0.2">
      <c r="A897" s="19"/>
      <c r="B897" s="19"/>
      <c r="C897" s="19"/>
      <c r="D897" s="20"/>
      <c r="E897" s="19"/>
      <c r="F897" s="19"/>
      <c r="G897" s="19"/>
      <c r="H897" s="19"/>
      <c r="I897" s="19"/>
      <c r="J897" s="19"/>
    </row>
    <row r="898" spans="1:10" x14ac:dyDescent="0.2">
      <c r="A898" s="19"/>
      <c r="B898" s="19"/>
      <c r="C898" s="19"/>
      <c r="D898" s="20"/>
      <c r="E898" s="19"/>
      <c r="F898" s="19"/>
      <c r="G898" s="19"/>
      <c r="H898" s="19"/>
      <c r="I898" s="19"/>
      <c r="J898" s="19"/>
    </row>
    <row r="899" spans="1:10" x14ac:dyDescent="0.2">
      <c r="A899" s="19"/>
      <c r="B899" s="19"/>
      <c r="C899" s="19"/>
      <c r="D899" s="20"/>
      <c r="E899" s="19"/>
      <c r="F899" s="19"/>
      <c r="G899" s="19"/>
      <c r="H899" s="19"/>
      <c r="I899" s="19"/>
      <c r="J899" s="19"/>
    </row>
    <row r="900" spans="1:10" x14ac:dyDescent="0.2">
      <c r="A900" s="19"/>
      <c r="B900" s="19"/>
      <c r="C900" s="19"/>
      <c r="D900" s="20"/>
      <c r="E900" s="19"/>
      <c r="F900" s="19"/>
      <c r="G900" s="19"/>
      <c r="H900" s="19"/>
      <c r="I900" s="19"/>
      <c r="J900" s="19"/>
    </row>
    <row r="901" spans="1:10" x14ac:dyDescent="0.2">
      <c r="A901" s="19"/>
      <c r="B901" s="19"/>
      <c r="C901" s="19"/>
      <c r="D901" s="20"/>
      <c r="E901" s="19"/>
      <c r="F901" s="19"/>
      <c r="G901" s="19"/>
      <c r="H901" s="19"/>
      <c r="I901" s="19"/>
      <c r="J901" s="19"/>
    </row>
    <row r="902" spans="1:10" x14ac:dyDescent="0.2">
      <c r="A902" s="19"/>
      <c r="B902" s="19"/>
      <c r="C902" s="19"/>
      <c r="D902" s="20"/>
      <c r="E902" s="19"/>
      <c r="F902" s="19"/>
      <c r="G902" s="19"/>
      <c r="H902" s="19"/>
      <c r="I902" s="19"/>
      <c r="J902" s="19"/>
    </row>
    <row r="903" spans="1:10" x14ac:dyDescent="0.2">
      <c r="A903" s="19"/>
      <c r="B903" s="19"/>
      <c r="C903" s="19"/>
      <c r="D903" s="20"/>
      <c r="E903" s="19"/>
      <c r="F903" s="19"/>
      <c r="G903" s="19"/>
      <c r="H903" s="19"/>
      <c r="I903" s="19"/>
      <c r="J903" s="19"/>
    </row>
    <row r="904" spans="1:10" x14ac:dyDescent="0.2">
      <c r="A904" s="19"/>
      <c r="B904" s="19"/>
      <c r="C904" s="19"/>
      <c r="D904" s="20"/>
      <c r="E904" s="19"/>
      <c r="F904" s="19"/>
      <c r="G904" s="19"/>
      <c r="H904" s="19"/>
      <c r="I904" s="19"/>
      <c r="J904" s="19"/>
    </row>
    <row r="905" spans="1:10" x14ac:dyDescent="0.2">
      <c r="A905" s="19"/>
      <c r="B905" s="19"/>
      <c r="C905" s="19"/>
      <c r="D905" s="20"/>
      <c r="E905" s="19"/>
      <c r="F905" s="19"/>
      <c r="G905" s="19"/>
      <c r="H905" s="19"/>
      <c r="I905" s="19"/>
      <c r="J905" s="19"/>
    </row>
    <row r="906" spans="1:10" x14ac:dyDescent="0.2">
      <c r="A906" s="19"/>
      <c r="B906" s="19"/>
      <c r="C906" s="19"/>
      <c r="D906" s="20"/>
      <c r="E906" s="19"/>
      <c r="F906" s="19"/>
      <c r="G906" s="19"/>
      <c r="H906" s="19"/>
      <c r="I906" s="19"/>
      <c r="J906" s="19"/>
    </row>
    <row r="907" spans="1:10" x14ac:dyDescent="0.2">
      <c r="A907" s="19"/>
      <c r="B907" s="19"/>
      <c r="C907" s="19"/>
      <c r="D907" s="20"/>
      <c r="E907" s="19"/>
      <c r="F907" s="19"/>
      <c r="G907" s="19"/>
      <c r="H907" s="19"/>
      <c r="I907" s="19"/>
      <c r="J907" s="19"/>
    </row>
    <row r="908" spans="1:10" x14ac:dyDescent="0.2">
      <c r="A908" s="19"/>
      <c r="B908" s="19"/>
      <c r="C908" s="19"/>
      <c r="D908" s="20"/>
      <c r="E908" s="19"/>
      <c r="F908" s="19"/>
      <c r="G908" s="19"/>
      <c r="H908" s="19"/>
      <c r="I908" s="19"/>
      <c r="J908" s="19"/>
    </row>
    <row r="909" spans="1:10" x14ac:dyDescent="0.2">
      <c r="A909" s="19"/>
      <c r="B909" s="19"/>
      <c r="C909" s="19"/>
      <c r="D909" s="20"/>
      <c r="E909" s="19"/>
      <c r="F909" s="19"/>
      <c r="G909" s="19"/>
      <c r="H909" s="19"/>
      <c r="I909" s="19"/>
      <c r="J909" s="19"/>
    </row>
    <row r="910" spans="1:10" x14ac:dyDescent="0.2">
      <c r="A910" s="19"/>
      <c r="B910" s="19"/>
      <c r="C910" s="19"/>
      <c r="D910" s="20"/>
      <c r="E910" s="19"/>
      <c r="F910" s="19"/>
      <c r="G910" s="19"/>
      <c r="H910" s="19"/>
      <c r="I910" s="19"/>
      <c r="J910" s="19"/>
    </row>
    <row r="911" spans="1:10" x14ac:dyDescent="0.2">
      <c r="A911" s="19"/>
      <c r="B911" s="19"/>
      <c r="C911" s="19"/>
      <c r="D911" s="20"/>
      <c r="E911" s="19"/>
      <c r="F911" s="19"/>
      <c r="G911" s="19"/>
      <c r="H911" s="19"/>
      <c r="I911" s="19"/>
      <c r="J911" s="19"/>
    </row>
    <row r="912" spans="1:10" x14ac:dyDescent="0.2">
      <c r="A912" s="19"/>
      <c r="B912" s="19"/>
      <c r="C912" s="19"/>
      <c r="D912" s="20"/>
      <c r="E912" s="19"/>
      <c r="F912" s="19"/>
      <c r="G912" s="19"/>
      <c r="H912" s="19"/>
      <c r="I912" s="19"/>
      <c r="J912" s="19"/>
    </row>
    <row r="913" spans="1:10" x14ac:dyDescent="0.2">
      <c r="A913" s="19"/>
      <c r="B913" s="19"/>
      <c r="C913" s="19"/>
      <c r="D913" s="20"/>
      <c r="E913" s="19"/>
      <c r="F913" s="19"/>
      <c r="G913" s="19"/>
      <c r="H913" s="19"/>
      <c r="I913" s="19"/>
      <c r="J913" s="19"/>
    </row>
    <row r="914" spans="1:10" x14ac:dyDescent="0.2">
      <c r="A914" s="19"/>
      <c r="B914" s="19"/>
      <c r="C914" s="19"/>
      <c r="D914" s="20"/>
      <c r="E914" s="19"/>
      <c r="F914" s="19"/>
      <c r="G914" s="19"/>
      <c r="H914" s="19"/>
      <c r="I914" s="19"/>
      <c r="J914" s="19"/>
    </row>
    <row r="915" spans="1:10" x14ac:dyDescent="0.2">
      <c r="A915" s="19"/>
      <c r="B915" s="19"/>
      <c r="C915" s="19"/>
      <c r="D915" s="20"/>
      <c r="E915" s="19"/>
      <c r="F915" s="19"/>
      <c r="G915" s="19"/>
      <c r="H915" s="19"/>
      <c r="I915" s="19"/>
      <c r="J915" s="19"/>
    </row>
    <row r="916" spans="1:10" x14ac:dyDescent="0.2">
      <c r="A916" s="19"/>
      <c r="B916" s="19"/>
      <c r="C916" s="19"/>
      <c r="D916" s="20"/>
      <c r="E916" s="19"/>
      <c r="F916" s="19"/>
      <c r="G916" s="19"/>
      <c r="H916" s="19"/>
      <c r="I916" s="19"/>
      <c r="J916" s="19"/>
    </row>
    <row r="917" spans="1:10" x14ac:dyDescent="0.2">
      <c r="A917" s="19"/>
      <c r="B917" s="19"/>
      <c r="C917" s="19"/>
      <c r="D917" s="20"/>
      <c r="E917" s="19"/>
      <c r="F917" s="19"/>
      <c r="G917" s="19"/>
      <c r="H917" s="19"/>
      <c r="I917" s="19"/>
      <c r="J917" s="19"/>
    </row>
    <row r="918" spans="1:10" x14ac:dyDescent="0.2">
      <c r="A918" s="19"/>
      <c r="B918" s="19"/>
      <c r="C918" s="19"/>
      <c r="D918" s="20"/>
      <c r="E918" s="19"/>
      <c r="F918" s="19"/>
      <c r="G918" s="19"/>
      <c r="H918" s="19"/>
      <c r="I918" s="19"/>
      <c r="J918" s="19"/>
    </row>
    <row r="919" spans="1:10" x14ac:dyDescent="0.2">
      <c r="A919" s="19"/>
      <c r="B919" s="19"/>
      <c r="C919" s="19"/>
      <c r="D919" s="20"/>
      <c r="E919" s="19"/>
      <c r="F919" s="19"/>
      <c r="G919" s="19"/>
      <c r="H919" s="19"/>
      <c r="I919" s="19"/>
      <c r="J919" s="19"/>
    </row>
    <row r="920" spans="1:10" x14ac:dyDescent="0.2">
      <c r="A920" s="19"/>
      <c r="B920" s="19"/>
      <c r="C920" s="19"/>
      <c r="D920" s="20"/>
      <c r="E920" s="19"/>
      <c r="F920" s="19"/>
      <c r="G920" s="19"/>
      <c r="H920" s="19"/>
      <c r="I920" s="19"/>
      <c r="J920" s="19"/>
    </row>
    <row r="921" spans="1:10" x14ac:dyDescent="0.2">
      <c r="A921" s="19"/>
      <c r="B921" s="19"/>
      <c r="C921" s="19"/>
      <c r="D921" s="20"/>
      <c r="E921" s="19"/>
      <c r="F921" s="19"/>
      <c r="G921" s="19"/>
      <c r="H921" s="19"/>
      <c r="I921" s="19"/>
      <c r="J921" s="19"/>
    </row>
    <row r="922" spans="1:10" x14ac:dyDescent="0.2">
      <c r="A922" s="19"/>
      <c r="B922" s="19"/>
      <c r="C922" s="19"/>
      <c r="D922" s="20"/>
      <c r="E922" s="19"/>
      <c r="F922" s="19"/>
      <c r="G922" s="19"/>
      <c r="H922" s="19"/>
      <c r="I922" s="19"/>
      <c r="J922" s="19"/>
    </row>
    <row r="923" spans="1:10" x14ac:dyDescent="0.2">
      <c r="A923" s="19"/>
      <c r="B923" s="19"/>
      <c r="C923" s="19"/>
      <c r="D923" s="20"/>
      <c r="E923" s="19"/>
      <c r="F923" s="19"/>
      <c r="G923" s="19"/>
      <c r="H923" s="19"/>
      <c r="I923" s="19"/>
      <c r="J923" s="19"/>
    </row>
    <row r="924" spans="1:10" x14ac:dyDescent="0.2">
      <c r="A924" s="19"/>
      <c r="B924" s="19"/>
      <c r="C924" s="19"/>
      <c r="D924" s="20"/>
      <c r="E924" s="19"/>
      <c r="F924" s="19"/>
      <c r="G924" s="19"/>
      <c r="H924" s="19"/>
      <c r="I924" s="19"/>
      <c r="J924" s="19"/>
    </row>
    <row r="925" spans="1:10" x14ac:dyDescent="0.2">
      <c r="A925" s="19"/>
      <c r="B925" s="19"/>
      <c r="C925" s="19"/>
      <c r="D925" s="20"/>
      <c r="E925" s="19"/>
      <c r="F925" s="19"/>
      <c r="G925" s="19"/>
      <c r="H925" s="19"/>
      <c r="I925" s="19"/>
      <c r="J925" s="19"/>
    </row>
    <row r="926" spans="1:10" x14ac:dyDescent="0.2">
      <c r="A926" s="19"/>
      <c r="B926" s="19"/>
      <c r="C926" s="19"/>
      <c r="D926" s="20"/>
      <c r="E926" s="19"/>
      <c r="F926" s="19"/>
      <c r="G926" s="19"/>
      <c r="H926" s="19"/>
      <c r="I926" s="19"/>
      <c r="J926" s="19"/>
    </row>
    <row r="927" spans="1:10" x14ac:dyDescent="0.2">
      <c r="A927" s="19"/>
      <c r="B927" s="19"/>
      <c r="C927" s="19"/>
      <c r="D927" s="20"/>
      <c r="E927" s="19"/>
      <c r="F927" s="19"/>
      <c r="G927" s="19"/>
      <c r="H927" s="19"/>
      <c r="I927" s="19"/>
      <c r="J927" s="19"/>
    </row>
    <row r="928" spans="1:10" x14ac:dyDescent="0.2">
      <c r="A928" s="19"/>
      <c r="B928" s="19"/>
      <c r="C928" s="19"/>
      <c r="D928" s="20"/>
      <c r="E928" s="19"/>
      <c r="F928" s="19"/>
      <c r="G928" s="19"/>
      <c r="H928" s="19"/>
      <c r="I928" s="19"/>
      <c r="J928" s="19"/>
    </row>
    <row r="929" spans="1:10" x14ac:dyDescent="0.2">
      <c r="A929" s="19"/>
      <c r="B929" s="19"/>
      <c r="C929" s="19"/>
      <c r="D929" s="20"/>
      <c r="E929" s="19"/>
      <c r="F929" s="19"/>
      <c r="G929" s="19"/>
      <c r="H929" s="19"/>
      <c r="I929" s="19"/>
      <c r="J929" s="19"/>
    </row>
    <row r="930" spans="1:10" x14ac:dyDescent="0.2">
      <c r="A930" s="19"/>
      <c r="B930" s="19"/>
      <c r="C930" s="19"/>
      <c r="D930" s="20"/>
      <c r="E930" s="19"/>
      <c r="F930" s="19"/>
      <c r="G930" s="19"/>
      <c r="H930" s="19"/>
      <c r="I930" s="19"/>
      <c r="J930" s="19"/>
    </row>
    <row r="931" spans="1:10" x14ac:dyDescent="0.2">
      <c r="A931" s="19"/>
      <c r="B931" s="19"/>
      <c r="C931" s="19"/>
      <c r="D931" s="20"/>
      <c r="E931" s="19"/>
      <c r="F931" s="19"/>
      <c r="G931" s="19"/>
      <c r="H931" s="19"/>
      <c r="I931" s="19"/>
      <c r="J931" s="19"/>
    </row>
    <row r="932" spans="1:10" x14ac:dyDescent="0.2">
      <c r="A932" s="19"/>
      <c r="B932" s="19"/>
      <c r="C932" s="19"/>
      <c r="D932" s="20"/>
      <c r="E932" s="19"/>
      <c r="F932" s="19"/>
      <c r="G932" s="19"/>
      <c r="H932" s="19"/>
      <c r="I932" s="19"/>
      <c r="J932" s="19"/>
    </row>
    <row r="933" spans="1:10" x14ac:dyDescent="0.2">
      <c r="A933" s="19"/>
      <c r="B933" s="19"/>
      <c r="C933" s="19"/>
      <c r="D933" s="20"/>
      <c r="E933" s="19"/>
      <c r="F933" s="19"/>
      <c r="G933" s="19"/>
      <c r="H933" s="19"/>
      <c r="I933" s="19"/>
      <c r="J933" s="19"/>
    </row>
    <row r="934" spans="1:10" x14ac:dyDescent="0.2">
      <c r="A934" s="19"/>
      <c r="B934" s="19"/>
      <c r="C934" s="19"/>
      <c r="D934" s="20"/>
      <c r="E934" s="19"/>
      <c r="F934" s="19"/>
      <c r="G934" s="19"/>
      <c r="H934" s="19"/>
      <c r="I934" s="19"/>
      <c r="J934" s="19"/>
    </row>
    <row r="935" spans="1:10" x14ac:dyDescent="0.2">
      <c r="A935" s="19"/>
      <c r="B935" s="19"/>
      <c r="C935" s="19"/>
      <c r="D935" s="20"/>
      <c r="E935" s="19"/>
      <c r="F935" s="19"/>
      <c r="G935" s="19"/>
      <c r="H935" s="19"/>
      <c r="I935" s="19"/>
      <c r="J935" s="19"/>
    </row>
    <row r="936" spans="1:10" x14ac:dyDescent="0.2">
      <c r="A936" s="19"/>
      <c r="B936" s="19"/>
      <c r="C936" s="19"/>
      <c r="D936" s="20"/>
      <c r="E936" s="19"/>
      <c r="F936" s="19"/>
      <c r="G936" s="19"/>
      <c r="H936" s="19"/>
      <c r="I936" s="19"/>
      <c r="J936" s="19"/>
    </row>
    <row r="937" spans="1:10" x14ac:dyDescent="0.2">
      <c r="A937" s="19"/>
      <c r="B937" s="19"/>
      <c r="C937" s="19"/>
      <c r="D937" s="20"/>
      <c r="E937" s="19"/>
      <c r="F937" s="19"/>
      <c r="G937" s="19"/>
      <c r="H937" s="19"/>
      <c r="I937" s="19"/>
      <c r="J937" s="19"/>
    </row>
    <row r="938" spans="1:10" x14ac:dyDescent="0.2">
      <c r="A938" s="19"/>
      <c r="B938" s="19"/>
      <c r="C938" s="19"/>
      <c r="D938" s="20"/>
      <c r="E938" s="19"/>
      <c r="F938" s="19"/>
      <c r="G938" s="19"/>
      <c r="H938" s="19"/>
      <c r="I938" s="19"/>
      <c r="J938" s="19"/>
    </row>
    <row r="939" spans="1:10" x14ac:dyDescent="0.2">
      <c r="A939" s="19"/>
      <c r="B939" s="19"/>
      <c r="C939" s="19"/>
      <c r="D939" s="20"/>
      <c r="E939" s="19"/>
      <c r="F939" s="19"/>
      <c r="G939" s="19"/>
      <c r="H939" s="19"/>
      <c r="I939" s="19"/>
      <c r="J939" s="19"/>
    </row>
    <row r="940" spans="1:10" x14ac:dyDescent="0.2">
      <c r="A940" s="19"/>
      <c r="B940" s="19"/>
      <c r="C940" s="19"/>
      <c r="D940" s="20"/>
      <c r="E940" s="19"/>
      <c r="F940" s="19"/>
      <c r="G940" s="19"/>
      <c r="H940" s="19"/>
      <c r="I940" s="19"/>
      <c r="J940" s="19"/>
    </row>
    <row r="941" spans="1:10" x14ac:dyDescent="0.2">
      <c r="A941" s="19"/>
      <c r="B941" s="19"/>
      <c r="C941" s="19"/>
      <c r="D941" s="20"/>
      <c r="E941" s="19"/>
      <c r="F941" s="19"/>
      <c r="G941" s="19"/>
      <c r="H941" s="19"/>
      <c r="I941" s="19"/>
      <c r="J941" s="19"/>
    </row>
    <row r="942" spans="1:10" x14ac:dyDescent="0.2">
      <c r="A942" s="19"/>
      <c r="B942" s="19"/>
      <c r="C942" s="19"/>
      <c r="D942" s="20"/>
      <c r="E942" s="19"/>
      <c r="F942" s="19"/>
      <c r="G942" s="19"/>
      <c r="H942" s="19"/>
      <c r="I942" s="19"/>
      <c r="J942" s="19"/>
    </row>
    <row r="943" spans="1:10" x14ac:dyDescent="0.2">
      <c r="A943" s="19"/>
      <c r="B943" s="19"/>
      <c r="C943" s="19"/>
      <c r="D943" s="20"/>
      <c r="E943" s="19"/>
      <c r="F943" s="19"/>
      <c r="G943" s="19"/>
      <c r="H943" s="19"/>
      <c r="I943" s="19"/>
      <c r="J943" s="19"/>
    </row>
    <row r="944" spans="1:10" x14ac:dyDescent="0.2">
      <c r="A944" s="19"/>
      <c r="B944" s="19"/>
      <c r="C944" s="19"/>
      <c r="D944" s="20"/>
      <c r="E944" s="19"/>
      <c r="F944" s="19"/>
      <c r="G944" s="19"/>
      <c r="H944" s="19"/>
      <c r="I944" s="19"/>
      <c r="J944" s="19"/>
    </row>
    <row r="945" spans="1:10" x14ac:dyDescent="0.2">
      <c r="A945" s="19"/>
      <c r="B945" s="19"/>
      <c r="C945" s="19"/>
      <c r="D945" s="20"/>
      <c r="E945" s="19"/>
      <c r="F945" s="19"/>
      <c r="G945" s="19"/>
      <c r="H945" s="19"/>
      <c r="I945" s="19"/>
      <c r="J945" s="19"/>
    </row>
    <row r="946" spans="1:10" x14ac:dyDescent="0.2">
      <c r="A946" s="19"/>
      <c r="B946" s="19"/>
      <c r="C946" s="19"/>
      <c r="D946" s="20"/>
      <c r="E946" s="19"/>
      <c r="F946" s="19"/>
      <c r="G946" s="19"/>
      <c r="H946" s="19"/>
      <c r="I946" s="19"/>
      <c r="J946" s="19"/>
    </row>
    <row r="947" spans="1:10" x14ac:dyDescent="0.2">
      <c r="A947" s="19"/>
      <c r="B947" s="19"/>
      <c r="C947" s="19"/>
      <c r="D947" s="20"/>
      <c r="E947" s="19"/>
      <c r="F947" s="19"/>
      <c r="G947" s="19"/>
      <c r="H947" s="19"/>
      <c r="I947" s="19"/>
      <c r="J947" s="19"/>
    </row>
    <row r="948" spans="1:10" x14ac:dyDescent="0.2">
      <c r="A948" s="19"/>
      <c r="B948" s="19"/>
      <c r="C948" s="19"/>
      <c r="D948" s="20"/>
      <c r="E948" s="19"/>
      <c r="F948" s="19"/>
      <c r="G948" s="19"/>
      <c r="H948" s="19"/>
      <c r="I948" s="19"/>
      <c r="J948" s="19"/>
    </row>
    <row r="949" spans="1:10" x14ac:dyDescent="0.2">
      <c r="A949" s="19"/>
      <c r="B949" s="19"/>
      <c r="C949" s="19"/>
      <c r="D949" s="20"/>
      <c r="E949" s="19"/>
      <c r="F949" s="19"/>
      <c r="G949" s="19"/>
      <c r="H949" s="19"/>
      <c r="I949" s="19"/>
      <c r="J949" s="19"/>
    </row>
    <row r="950" spans="1:10" x14ac:dyDescent="0.2">
      <c r="A950" s="19"/>
      <c r="B950" s="19"/>
      <c r="C950" s="19"/>
      <c r="D950" s="20"/>
      <c r="E950" s="19"/>
      <c r="F950" s="19"/>
      <c r="G950" s="19"/>
      <c r="H950" s="19"/>
      <c r="I950" s="19"/>
      <c r="J950" s="19"/>
    </row>
    <row r="951" spans="1:10" x14ac:dyDescent="0.2">
      <c r="A951" s="19"/>
      <c r="B951" s="19"/>
      <c r="C951" s="19"/>
      <c r="D951" s="20"/>
      <c r="E951" s="19"/>
      <c r="F951" s="19"/>
      <c r="G951" s="19"/>
      <c r="H951" s="19"/>
      <c r="I951" s="19"/>
      <c r="J951" s="19"/>
    </row>
    <row r="952" spans="1:10" x14ac:dyDescent="0.2">
      <c r="A952" s="19"/>
      <c r="B952" s="19"/>
      <c r="C952" s="19"/>
      <c r="D952" s="20"/>
      <c r="E952" s="19"/>
      <c r="F952" s="19"/>
      <c r="G952" s="19"/>
      <c r="H952" s="19"/>
      <c r="I952" s="19"/>
      <c r="J952" s="19"/>
    </row>
    <row r="953" spans="1:10" x14ac:dyDescent="0.2">
      <c r="A953" s="19"/>
      <c r="B953" s="19"/>
      <c r="C953" s="19"/>
      <c r="D953" s="20"/>
      <c r="E953" s="19"/>
      <c r="F953" s="19"/>
      <c r="G953" s="19"/>
      <c r="H953" s="19"/>
      <c r="I953" s="19"/>
      <c r="J953" s="19"/>
    </row>
    <row r="954" spans="1:10" x14ac:dyDescent="0.2">
      <c r="A954" s="19"/>
      <c r="B954" s="19"/>
      <c r="C954" s="19"/>
      <c r="D954" s="20"/>
      <c r="E954" s="19"/>
      <c r="F954" s="19"/>
      <c r="G954" s="19"/>
      <c r="H954" s="19"/>
      <c r="I954" s="19"/>
      <c r="J954" s="19"/>
    </row>
    <row r="955" spans="1:10" x14ac:dyDescent="0.2">
      <c r="A955" s="19"/>
      <c r="B955" s="19"/>
      <c r="C955" s="19"/>
      <c r="D955" s="20"/>
      <c r="E955" s="19"/>
      <c r="F955" s="19"/>
      <c r="G955" s="19"/>
      <c r="H955" s="19"/>
      <c r="I955" s="19"/>
      <c r="J955" s="19"/>
    </row>
    <row r="956" spans="1:10" x14ac:dyDescent="0.2">
      <c r="A956" s="19"/>
      <c r="B956" s="19"/>
      <c r="C956" s="19"/>
      <c r="D956" s="20"/>
      <c r="E956" s="19"/>
      <c r="F956" s="19"/>
      <c r="G956" s="19"/>
      <c r="H956" s="19"/>
      <c r="I956" s="19"/>
      <c r="J956" s="19"/>
    </row>
    <row r="957" spans="1:10" x14ac:dyDescent="0.2">
      <c r="A957" s="19"/>
      <c r="B957" s="19"/>
      <c r="C957" s="19"/>
      <c r="D957" s="20"/>
      <c r="E957" s="19"/>
      <c r="F957" s="19"/>
      <c r="G957" s="19"/>
      <c r="H957" s="19"/>
      <c r="I957" s="19"/>
      <c r="J957" s="19"/>
    </row>
    <row r="958" spans="1:10" x14ac:dyDescent="0.2">
      <c r="A958" s="19"/>
      <c r="B958" s="19"/>
      <c r="C958" s="19"/>
      <c r="D958" s="20"/>
      <c r="E958" s="19"/>
      <c r="F958" s="19"/>
      <c r="G958" s="19"/>
      <c r="H958" s="19"/>
      <c r="I958" s="19"/>
      <c r="J958" s="19"/>
    </row>
    <row r="959" spans="1:10" x14ac:dyDescent="0.2">
      <c r="A959" s="19"/>
      <c r="B959" s="19"/>
      <c r="C959" s="19"/>
      <c r="D959" s="20"/>
      <c r="E959" s="19"/>
      <c r="F959" s="19"/>
      <c r="G959" s="19"/>
      <c r="H959" s="19"/>
      <c r="I959" s="19"/>
      <c r="J959" s="19"/>
    </row>
    <row r="960" spans="1:10" x14ac:dyDescent="0.2">
      <c r="A960" s="19"/>
      <c r="B960" s="19"/>
      <c r="C960" s="19"/>
      <c r="D960" s="20"/>
      <c r="E960" s="19"/>
      <c r="F960" s="19"/>
      <c r="G960" s="19"/>
      <c r="H960" s="19"/>
      <c r="I960" s="19"/>
      <c r="J960" s="19"/>
    </row>
    <row r="961" spans="1:10" x14ac:dyDescent="0.2">
      <c r="A961" s="19"/>
      <c r="B961" s="19"/>
      <c r="C961" s="19"/>
      <c r="D961" s="20"/>
      <c r="E961" s="19"/>
      <c r="F961" s="19"/>
      <c r="G961" s="19"/>
      <c r="H961" s="19"/>
      <c r="I961" s="19"/>
      <c r="J961" s="19"/>
    </row>
    <row r="962" spans="1:10" x14ac:dyDescent="0.2">
      <c r="A962" s="19"/>
      <c r="B962" s="19"/>
      <c r="C962" s="19"/>
      <c r="D962" s="20"/>
      <c r="E962" s="19"/>
      <c r="F962" s="19"/>
      <c r="G962" s="19"/>
      <c r="H962" s="19"/>
      <c r="I962" s="19"/>
      <c r="J962" s="19"/>
    </row>
    <row r="963" spans="1:10" x14ac:dyDescent="0.2">
      <c r="A963" s="19"/>
      <c r="B963" s="19"/>
      <c r="C963" s="19"/>
      <c r="D963" s="20"/>
      <c r="E963" s="19"/>
      <c r="F963" s="19"/>
      <c r="G963" s="19"/>
      <c r="H963" s="19"/>
      <c r="I963" s="19"/>
      <c r="J963" s="19"/>
    </row>
    <row r="964" spans="1:10" x14ac:dyDescent="0.2">
      <c r="A964" s="19"/>
      <c r="B964" s="19"/>
      <c r="C964" s="19"/>
      <c r="D964" s="20"/>
      <c r="E964" s="19"/>
      <c r="F964" s="19"/>
      <c r="G964" s="19"/>
      <c r="H964" s="19"/>
      <c r="I964" s="19"/>
      <c r="J964" s="19"/>
    </row>
    <row r="965" spans="1:10" x14ac:dyDescent="0.2">
      <c r="A965" s="19"/>
      <c r="B965" s="19"/>
      <c r="C965" s="19"/>
      <c r="D965" s="20"/>
      <c r="E965" s="19"/>
      <c r="F965" s="19"/>
      <c r="G965" s="19"/>
      <c r="H965" s="19"/>
      <c r="I965" s="19"/>
      <c r="J965" s="19"/>
    </row>
    <row r="966" spans="1:10" x14ac:dyDescent="0.2">
      <c r="A966" s="19"/>
      <c r="B966" s="19"/>
      <c r="C966" s="19"/>
      <c r="D966" s="20"/>
      <c r="E966" s="19"/>
      <c r="F966" s="19"/>
      <c r="G966" s="19"/>
      <c r="H966" s="19"/>
      <c r="I966" s="19"/>
      <c r="J966" s="19"/>
    </row>
    <row r="967" spans="1:10" x14ac:dyDescent="0.2">
      <c r="A967" s="19"/>
      <c r="B967" s="19"/>
      <c r="C967" s="19"/>
      <c r="D967" s="20"/>
      <c r="E967" s="19"/>
      <c r="F967" s="19"/>
      <c r="G967" s="19"/>
      <c r="H967" s="19"/>
      <c r="I967" s="19"/>
      <c r="J967" s="19"/>
    </row>
    <row r="968" spans="1:10" x14ac:dyDescent="0.2">
      <c r="A968" s="19"/>
      <c r="B968" s="19"/>
      <c r="C968" s="19"/>
      <c r="D968" s="20"/>
      <c r="E968" s="19"/>
      <c r="F968" s="19"/>
      <c r="G968" s="19"/>
      <c r="H968" s="19"/>
      <c r="I968" s="19"/>
      <c r="J968" s="19"/>
    </row>
    <row r="969" spans="1:10" x14ac:dyDescent="0.2">
      <c r="A969" s="19"/>
      <c r="B969" s="19"/>
      <c r="C969" s="19"/>
      <c r="D969" s="20"/>
      <c r="E969" s="19"/>
      <c r="F969" s="19"/>
      <c r="G969" s="19"/>
      <c r="H969" s="19"/>
      <c r="I969" s="19"/>
      <c r="J969" s="19"/>
    </row>
    <row r="970" spans="1:10" x14ac:dyDescent="0.2">
      <c r="A970" s="19"/>
      <c r="B970" s="19"/>
      <c r="C970" s="19"/>
      <c r="D970" s="20"/>
      <c r="E970" s="19"/>
      <c r="F970" s="19"/>
      <c r="G970" s="19"/>
      <c r="H970" s="19"/>
      <c r="I970" s="19"/>
      <c r="J970" s="19"/>
    </row>
    <row r="971" spans="1:10" x14ac:dyDescent="0.2">
      <c r="A971" s="19"/>
      <c r="B971" s="19"/>
      <c r="C971" s="19"/>
      <c r="D971" s="20"/>
      <c r="E971" s="19"/>
      <c r="F971" s="19"/>
      <c r="G971" s="19"/>
      <c r="H971" s="19"/>
      <c r="I971" s="19"/>
      <c r="J971" s="19"/>
    </row>
    <row r="972" spans="1:10" x14ac:dyDescent="0.2">
      <c r="A972" s="19"/>
      <c r="B972" s="19"/>
      <c r="C972" s="19"/>
      <c r="D972" s="20"/>
      <c r="E972" s="19"/>
      <c r="F972" s="19"/>
      <c r="G972" s="19"/>
      <c r="H972" s="19"/>
      <c r="I972" s="19"/>
      <c r="J972" s="19"/>
    </row>
    <row r="973" spans="1:10" x14ac:dyDescent="0.2">
      <c r="A973" s="19"/>
      <c r="B973" s="19"/>
      <c r="C973" s="19"/>
      <c r="D973" s="20"/>
      <c r="E973" s="19"/>
      <c r="F973" s="19"/>
      <c r="G973" s="19"/>
      <c r="H973" s="19"/>
      <c r="I973" s="19"/>
      <c r="J973" s="19"/>
    </row>
    <row r="974" spans="1:10" x14ac:dyDescent="0.2">
      <c r="A974" s="19"/>
      <c r="B974" s="19"/>
      <c r="C974" s="19"/>
      <c r="D974" s="20"/>
      <c r="E974" s="19"/>
      <c r="F974" s="19"/>
      <c r="G974" s="19"/>
      <c r="H974" s="19"/>
      <c r="I974" s="19"/>
      <c r="J974" s="19"/>
    </row>
    <row r="975" spans="1:10" x14ac:dyDescent="0.2">
      <c r="A975" s="19"/>
      <c r="B975" s="19"/>
      <c r="C975" s="19"/>
      <c r="D975" s="20"/>
      <c r="E975" s="19"/>
      <c r="F975" s="19"/>
      <c r="G975" s="19"/>
      <c r="H975" s="19"/>
      <c r="I975" s="19"/>
      <c r="J975" s="19"/>
    </row>
    <row r="976" spans="1:10" x14ac:dyDescent="0.2">
      <c r="A976" s="19"/>
      <c r="B976" s="19"/>
      <c r="C976" s="19"/>
      <c r="D976" s="20"/>
      <c r="E976" s="19"/>
      <c r="F976" s="19"/>
      <c r="G976" s="19"/>
      <c r="H976" s="19"/>
      <c r="I976" s="19"/>
      <c r="J976" s="19"/>
    </row>
    <row r="977" spans="1:10" x14ac:dyDescent="0.2">
      <c r="A977" s="19"/>
      <c r="B977" s="19"/>
      <c r="C977" s="19"/>
      <c r="D977" s="20"/>
      <c r="E977" s="19"/>
      <c r="F977" s="19"/>
      <c r="G977" s="19"/>
      <c r="H977" s="19"/>
      <c r="I977" s="19"/>
      <c r="J977" s="19"/>
    </row>
    <row r="978" spans="1:10" x14ac:dyDescent="0.2">
      <c r="A978" s="19"/>
      <c r="B978" s="19"/>
      <c r="C978" s="19"/>
      <c r="D978" s="20"/>
      <c r="E978" s="19"/>
      <c r="F978" s="19"/>
      <c r="G978" s="19"/>
      <c r="H978" s="19"/>
      <c r="I978" s="19"/>
      <c r="J978" s="19"/>
    </row>
    <row r="979" spans="1:10" x14ac:dyDescent="0.2">
      <c r="A979" s="19"/>
      <c r="B979" s="19"/>
      <c r="C979" s="19"/>
      <c r="D979" s="20"/>
      <c r="E979" s="19"/>
      <c r="F979" s="19"/>
      <c r="G979" s="19"/>
      <c r="H979" s="19"/>
      <c r="I979" s="19"/>
      <c r="J979" s="19"/>
    </row>
    <row r="980" spans="1:10" x14ac:dyDescent="0.2">
      <c r="A980" s="19"/>
      <c r="B980" s="19"/>
      <c r="C980" s="19"/>
      <c r="D980" s="20"/>
      <c r="E980" s="19"/>
      <c r="F980" s="19"/>
      <c r="G980" s="19"/>
      <c r="H980" s="19"/>
      <c r="I980" s="19"/>
      <c r="J980" s="19"/>
    </row>
    <row r="981" spans="1:10" x14ac:dyDescent="0.2">
      <c r="A981" s="19"/>
      <c r="B981" s="19"/>
      <c r="C981" s="19"/>
      <c r="D981" s="20"/>
      <c r="E981" s="19"/>
      <c r="F981" s="19"/>
      <c r="G981" s="19"/>
      <c r="H981" s="19"/>
      <c r="I981" s="19"/>
      <c r="J981" s="19"/>
    </row>
    <row r="982" spans="1:10" x14ac:dyDescent="0.2">
      <c r="A982" s="19"/>
      <c r="B982" s="19"/>
      <c r="C982" s="19"/>
      <c r="D982" s="20"/>
      <c r="E982" s="19"/>
      <c r="F982" s="19"/>
      <c r="G982" s="19"/>
      <c r="H982" s="19"/>
      <c r="I982" s="19"/>
      <c r="J982" s="19"/>
    </row>
    <row r="983" spans="1:10" x14ac:dyDescent="0.2">
      <c r="A983" s="19"/>
      <c r="B983" s="19"/>
      <c r="C983" s="19"/>
      <c r="D983" s="20"/>
      <c r="E983" s="19"/>
      <c r="F983" s="19"/>
      <c r="G983" s="19"/>
      <c r="H983" s="19"/>
      <c r="I983" s="19"/>
      <c r="J983" s="19"/>
    </row>
    <row r="984" spans="1:10" x14ac:dyDescent="0.2">
      <c r="A984" s="19"/>
      <c r="B984" s="19"/>
      <c r="C984" s="19"/>
      <c r="D984" s="20"/>
      <c r="E984" s="19"/>
      <c r="F984" s="19"/>
      <c r="G984" s="19"/>
      <c r="H984" s="19"/>
      <c r="I984" s="19"/>
      <c r="J984" s="19"/>
    </row>
    <row r="985" spans="1:10" x14ac:dyDescent="0.2">
      <c r="A985" s="19"/>
      <c r="B985" s="19"/>
      <c r="C985" s="19"/>
      <c r="D985" s="20"/>
      <c r="E985" s="19"/>
      <c r="F985" s="19"/>
      <c r="G985" s="19"/>
      <c r="H985" s="19"/>
      <c r="I985" s="19"/>
      <c r="J985" s="19"/>
    </row>
    <row r="986" spans="1:10" x14ac:dyDescent="0.2">
      <c r="A986" s="19"/>
      <c r="B986" s="19"/>
      <c r="C986" s="19"/>
      <c r="D986" s="20"/>
      <c r="E986" s="19"/>
      <c r="F986" s="19"/>
      <c r="G986" s="19"/>
      <c r="H986" s="19"/>
      <c r="I986" s="19"/>
      <c r="J986" s="19"/>
    </row>
    <row r="987" spans="1:10" x14ac:dyDescent="0.2">
      <c r="A987" s="19"/>
      <c r="B987" s="19"/>
      <c r="C987" s="19"/>
      <c r="D987" s="20"/>
      <c r="E987" s="19"/>
      <c r="F987" s="19"/>
      <c r="G987" s="19"/>
      <c r="H987" s="19"/>
      <c r="I987" s="19"/>
      <c r="J987" s="19"/>
    </row>
    <row r="988" spans="1:10" x14ac:dyDescent="0.2">
      <c r="A988" s="19"/>
      <c r="B988" s="19"/>
      <c r="C988" s="19"/>
      <c r="D988" s="20"/>
      <c r="E988" s="19"/>
      <c r="F988" s="19"/>
      <c r="G988" s="19"/>
      <c r="H988" s="19"/>
      <c r="I988" s="19"/>
      <c r="J988" s="19"/>
    </row>
    <row r="989" spans="1:10" x14ac:dyDescent="0.2">
      <c r="A989" s="19"/>
      <c r="B989" s="19"/>
      <c r="C989" s="19"/>
      <c r="D989" s="20"/>
      <c r="E989" s="19"/>
      <c r="F989" s="19"/>
      <c r="G989" s="19"/>
      <c r="H989" s="19"/>
      <c r="I989" s="19"/>
      <c r="J989" s="19"/>
    </row>
    <row r="990" spans="1:10" x14ac:dyDescent="0.2">
      <c r="A990" s="19"/>
      <c r="B990" s="19"/>
      <c r="C990" s="19"/>
      <c r="D990" s="20"/>
      <c r="E990" s="19"/>
      <c r="F990" s="19"/>
      <c r="G990" s="19"/>
      <c r="H990" s="19"/>
      <c r="I990" s="19"/>
      <c r="J990" s="19"/>
    </row>
    <row r="991" spans="1:10" x14ac:dyDescent="0.2">
      <c r="A991" s="19"/>
      <c r="B991" s="19"/>
      <c r="C991" s="19"/>
      <c r="D991" s="20"/>
      <c r="E991" s="19"/>
      <c r="F991" s="19"/>
      <c r="G991" s="19"/>
      <c r="H991" s="19"/>
      <c r="I991" s="19"/>
      <c r="J991" s="19"/>
    </row>
    <row r="992" spans="1:10" x14ac:dyDescent="0.2">
      <c r="A992" s="19"/>
      <c r="B992" s="19"/>
      <c r="C992" s="19"/>
      <c r="D992" s="20"/>
      <c r="E992" s="19"/>
      <c r="F992" s="19"/>
      <c r="G992" s="19"/>
      <c r="H992" s="19"/>
      <c r="I992" s="19"/>
      <c r="J992" s="19"/>
    </row>
    <row r="993" spans="1:10" x14ac:dyDescent="0.2">
      <c r="A993" s="19"/>
      <c r="B993" s="19"/>
      <c r="C993" s="19"/>
      <c r="D993" s="20"/>
      <c r="E993" s="19"/>
      <c r="F993" s="19"/>
      <c r="G993" s="19"/>
      <c r="H993" s="19"/>
      <c r="I993" s="19"/>
      <c r="J993" s="19"/>
    </row>
    <row r="994" spans="1:10" x14ac:dyDescent="0.2">
      <c r="A994" s="19"/>
      <c r="B994" s="19"/>
      <c r="C994" s="19"/>
      <c r="D994" s="20"/>
      <c r="E994" s="19"/>
      <c r="F994" s="19"/>
      <c r="G994" s="19"/>
      <c r="H994" s="19"/>
      <c r="I994" s="19"/>
      <c r="J994" s="19"/>
    </row>
    <row r="995" spans="1:10" x14ac:dyDescent="0.2">
      <c r="A995" s="19"/>
      <c r="B995" s="19"/>
      <c r="C995" s="19"/>
      <c r="D995" s="20"/>
      <c r="E995" s="19"/>
      <c r="F995" s="19"/>
      <c r="G995" s="19"/>
      <c r="H995" s="19"/>
      <c r="I995" s="19"/>
      <c r="J995" s="19"/>
    </row>
    <row r="996" spans="1:10" x14ac:dyDescent="0.2">
      <c r="A996" s="19"/>
      <c r="B996" s="19"/>
      <c r="C996" s="19"/>
      <c r="D996" s="20"/>
      <c r="E996" s="19"/>
      <c r="F996" s="19"/>
      <c r="G996" s="19"/>
      <c r="H996" s="19"/>
      <c r="I996" s="19"/>
      <c r="J996" s="19"/>
    </row>
    <row r="997" spans="1:10" x14ac:dyDescent="0.2">
      <c r="A997" s="19"/>
      <c r="B997" s="19"/>
      <c r="C997" s="19"/>
      <c r="D997" s="20"/>
      <c r="E997" s="19"/>
      <c r="F997" s="19"/>
      <c r="G997" s="19"/>
      <c r="H997" s="19"/>
      <c r="I997" s="19"/>
      <c r="J997" s="19"/>
    </row>
    <row r="998" spans="1:10" x14ac:dyDescent="0.2">
      <c r="A998" s="19"/>
      <c r="B998" s="19"/>
      <c r="C998" s="19"/>
      <c r="D998" s="20"/>
      <c r="E998" s="19"/>
      <c r="F998" s="19"/>
      <c r="G998" s="19"/>
      <c r="H998" s="19"/>
      <c r="I998" s="19"/>
      <c r="J998" s="19"/>
    </row>
  </sheetData>
  <hyperlinks>
    <hyperlink ref="J2" r:id="rId1" xr:uid="{00000000-0004-0000-0000-000000000000}"/>
    <hyperlink ref="F3" r:id="rId2" xr:uid="{00000000-0004-0000-0000-000001000000}"/>
    <hyperlink ref="J3" r:id="rId3" xr:uid="{00000000-0004-0000-0000-000002000000}"/>
    <hyperlink ref="F4" r:id="rId4" xr:uid="{00000000-0004-0000-0000-000003000000}"/>
    <hyperlink ref="J4" r:id="rId5" xr:uid="{00000000-0004-0000-0000-000004000000}"/>
    <hyperlink ref="J5" r:id="rId6" xr:uid="{00000000-0004-0000-0000-000005000000}"/>
    <hyperlink ref="J6" r:id="rId7" xr:uid="{00000000-0004-0000-0000-000006000000}"/>
    <hyperlink ref="J7" r:id="rId8" xr:uid="{00000000-0004-0000-0000-000007000000}"/>
    <hyperlink ref="F8" r:id="rId9" xr:uid="{00000000-0004-0000-0000-000008000000}"/>
    <hyperlink ref="J8" r:id="rId10" xr:uid="{00000000-0004-0000-0000-000009000000}"/>
    <hyperlink ref="J9" r:id="rId11" xr:uid="{00000000-0004-0000-0000-00000A000000}"/>
    <hyperlink ref="J10" r:id="rId12" xr:uid="{00000000-0004-0000-0000-00000B000000}"/>
    <hyperlink ref="J11" r:id="rId13" xr:uid="{00000000-0004-0000-0000-00000C000000}"/>
    <hyperlink ref="J12" r:id="rId14" xr:uid="{00000000-0004-0000-0000-00000D000000}"/>
    <hyperlink ref="J13" r:id="rId15" xr:uid="{00000000-0004-0000-0000-00000E000000}"/>
    <hyperlink ref="F14" r:id="rId16" xr:uid="{00000000-0004-0000-0000-00000F000000}"/>
    <hyperlink ref="J14" r:id="rId17" xr:uid="{00000000-0004-0000-0000-000010000000}"/>
    <hyperlink ref="F15" r:id="rId18" xr:uid="{00000000-0004-0000-0000-000011000000}"/>
    <hyperlink ref="J15" r:id="rId19" xr:uid="{00000000-0004-0000-0000-000012000000}"/>
    <hyperlink ref="J16" r:id="rId20" xr:uid="{00000000-0004-0000-0000-000013000000}"/>
    <hyperlink ref="J17" r:id="rId21" xr:uid="{00000000-0004-0000-0000-000014000000}"/>
    <hyperlink ref="J18" r:id="rId22" xr:uid="{00000000-0004-0000-0000-000015000000}"/>
    <hyperlink ref="J19" r:id="rId23" xr:uid="{00000000-0004-0000-0000-000016000000}"/>
    <hyperlink ref="J20" r:id="rId24" xr:uid="{00000000-0004-0000-0000-000017000000}"/>
    <hyperlink ref="J21" r:id="rId25" xr:uid="{00000000-0004-0000-0000-000018000000}"/>
    <hyperlink ref="F22" r:id="rId26" xr:uid="{00000000-0004-0000-0000-000019000000}"/>
    <hyperlink ref="J22" r:id="rId27" xr:uid="{00000000-0004-0000-0000-00001A000000}"/>
    <hyperlink ref="F23" r:id="rId28" xr:uid="{00000000-0004-0000-0000-00001B000000}"/>
    <hyperlink ref="J23" r:id="rId29" xr:uid="{00000000-0004-0000-0000-00001C000000}"/>
    <hyperlink ref="F24" r:id="rId30" xr:uid="{00000000-0004-0000-0000-00001D000000}"/>
    <hyperlink ref="J24" r:id="rId31" xr:uid="{00000000-0004-0000-0000-00001E000000}"/>
    <hyperlink ref="F25" r:id="rId32" xr:uid="{00000000-0004-0000-0000-00001F000000}"/>
    <hyperlink ref="J25" r:id="rId33" xr:uid="{00000000-0004-0000-0000-000020000000}"/>
    <hyperlink ref="F26" r:id="rId34" xr:uid="{00000000-0004-0000-0000-000021000000}"/>
    <hyperlink ref="J26" r:id="rId35" xr:uid="{00000000-0004-0000-0000-000022000000}"/>
    <hyperlink ref="F27" r:id="rId36" xr:uid="{00000000-0004-0000-0000-000023000000}"/>
    <hyperlink ref="J27" r:id="rId37" xr:uid="{00000000-0004-0000-0000-000024000000}"/>
    <hyperlink ref="F28" r:id="rId38" xr:uid="{00000000-0004-0000-0000-000025000000}"/>
    <hyperlink ref="J28" r:id="rId39" xr:uid="{00000000-0004-0000-0000-000026000000}"/>
    <hyperlink ref="F29" r:id="rId40" xr:uid="{00000000-0004-0000-0000-000027000000}"/>
    <hyperlink ref="J29" r:id="rId41" xr:uid="{00000000-0004-0000-0000-000028000000}"/>
    <hyperlink ref="F30" r:id="rId42" xr:uid="{00000000-0004-0000-0000-000029000000}"/>
    <hyperlink ref="J30" r:id="rId43" xr:uid="{00000000-0004-0000-0000-00002A000000}"/>
    <hyperlink ref="J31" r:id="rId44" xr:uid="{00000000-0004-0000-0000-00002B000000}"/>
    <hyperlink ref="F32" r:id="rId45" xr:uid="{00000000-0004-0000-0000-00002C000000}"/>
    <hyperlink ref="J32" r:id="rId46" xr:uid="{00000000-0004-0000-0000-00002D000000}"/>
    <hyperlink ref="F33" r:id="rId47" xr:uid="{00000000-0004-0000-0000-00002E000000}"/>
    <hyperlink ref="J33" r:id="rId48" xr:uid="{00000000-0004-0000-0000-00002F000000}"/>
    <hyperlink ref="F34" r:id="rId49" xr:uid="{00000000-0004-0000-0000-000030000000}"/>
    <hyperlink ref="J34" r:id="rId50" xr:uid="{00000000-0004-0000-0000-000031000000}"/>
    <hyperlink ref="F35" r:id="rId51" xr:uid="{00000000-0004-0000-0000-000032000000}"/>
    <hyperlink ref="J35" r:id="rId52" xr:uid="{00000000-0004-0000-0000-000033000000}"/>
    <hyperlink ref="J36" r:id="rId53" xr:uid="{00000000-0004-0000-0000-000034000000}"/>
    <hyperlink ref="F37" r:id="rId54" xr:uid="{00000000-0004-0000-0000-000035000000}"/>
    <hyperlink ref="J37" r:id="rId55" xr:uid="{00000000-0004-0000-0000-000036000000}"/>
    <hyperlink ref="F38" r:id="rId56" xr:uid="{00000000-0004-0000-0000-000037000000}"/>
    <hyperlink ref="J38" r:id="rId57" xr:uid="{00000000-0004-0000-0000-000038000000}"/>
    <hyperlink ref="J39" r:id="rId58" xr:uid="{00000000-0004-0000-0000-000039000000}"/>
    <hyperlink ref="J40" r:id="rId59" xr:uid="{00000000-0004-0000-0000-00003A000000}"/>
    <hyperlink ref="J41" r:id="rId60" xr:uid="{00000000-0004-0000-0000-00003B000000}"/>
    <hyperlink ref="F42" r:id="rId61" xr:uid="{00000000-0004-0000-0000-00003C000000}"/>
    <hyperlink ref="J42" r:id="rId62" xr:uid="{00000000-0004-0000-0000-00003D000000}"/>
    <hyperlink ref="F43" r:id="rId63" xr:uid="{00000000-0004-0000-0000-00003E000000}"/>
    <hyperlink ref="J43" r:id="rId64" xr:uid="{00000000-0004-0000-0000-00003F000000}"/>
    <hyperlink ref="F44" r:id="rId65" xr:uid="{00000000-0004-0000-0000-000040000000}"/>
    <hyperlink ref="J44" r:id="rId66" xr:uid="{00000000-0004-0000-0000-000041000000}"/>
    <hyperlink ref="J45" r:id="rId67" xr:uid="{00000000-0004-0000-0000-000042000000}"/>
    <hyperlink ref="J46" r:id="rId68" xr:uid="{00000000-0004-0000-0000-000043000000}"/>
    <hyperlink ref="J47" r:id="rId69" xr:uid="{00000000-0004-0000-0000-000044000000}"/>
    <hyperlink ref="J48" r:id="rId70" xr:uid="{00000000-0004-0000-0000-000045000000}"/>
    <hyperlink ref="J49" r:id="rId71" xr:uid="{00000000-0004-0000-0000-000046000000}"/>
    <hyperlink ref="F50" r:id="rId72" xr:uid="{00000000-0004-0000-0000-000047000000}"/>
    <hyperlink ref="J50" r:id="rId73" xr:uid="{00000000-0004-0000-0000-000048000000}"/>
    <hyperlink ref="F51" r:id="rId74" xr:uid="{00000000-0004-0000-0000-000049000000}"/>
    <hyperlink ref="J51" r:id="rId75" xr:uid="{00000000-0004-0000-0000-00004A000000}"/>
    <hyperlink ref="F52" r:id="rId76" xr:uid="{00000000-0004-0000-0000-00004B000000}"/>
    <hyperlink ref="J52" r:id="rId77" xr:uid="{00000000-0004-0000-0000-00004C000000}"/>
    <hyperlink ref="J53" r:id="rId78" xr:uid="{00000000-0004-0000-0000-00004D000000}"/>
    <hyperlink ref="F54" r:id="rId79" xr:uid="{00000000-0004-0000-0000-00004E000000}"/>
    <hyperlink ref="J54" r:id="rId80" xr:uid="{00000000-0004-0000-0000-00004F000000}"/>
    <hyperlink ref="J55" r:id="rId81" xr:uid="{00000000-0004-0000-0000-000050000000}"/>
    <hyperlink ref="F56" r:id="rId82" xr:uid="{00000000-0004-0000-0000-000051000000}"/>
    <hyperlink ref="J56" r:id="rId83" xr:uid="{00000000-0004-0000-0000-000052000000}"/>
    <hyperlink ref="J57" r:id="rId84" xr:uid="{00000000-0004-0000-0000-000053000000}"/>
    <hyperlink ref="F58" r:id="rId85" xr:uid="{00000000-0004-0000-0000-000054000000}"/>
    <hyperlink ref="J58" r:id="rId86" xr:uid="{00000000-0004-0000-0000-000055000000}"/>
    <hyperlink ref="F59" r:id="rId87" xr:uid="{00000000-0004-0000-0000-000056000000}"/>
    <hyperlink ref="J59" r:id="rId88" xr:uid="{00000000-0004-0000-0000-000057000000}"/>
    <hyperlink ref="F60" r:id="rId89" xr:uid="{00000000-0004-0000-0000-000058000000}"/>
    <hyperlink ref="J60" r:id="rId90" xr:uid="{00000000-0004-0000-0000-000059000000}"/>
    <hyperlink ref="F61" r:id="rId91" xr:uid="{00000000-0004-0000-0000-00005A000000}"/>
    <hyperlink ref="J61" r:id="rId92" xr:uid="{00000000-0004-0000-0000-00005B000000}"/>
    <hyperlink ref="F62" r:id="rId93" xr:uid="{00000000-0004-0000-0000-00005C000000}"/>
    <hyperlink ref="J62" r:id="rId94" xr:uid="{00000000-0004-0000-0000-00005D000000}"/>
    <hyperlink ref="F63" r:id="rId95" xr:uid="{00000000-0004-0000-0000-00005E000000}"/>
    <hyperlink ref="J63" r:id="rId96" xr:uid="{00000000-0004-0000-0000-00005F000000}"/>
    <hyperlink ref="F64" r:id="rId97" xr:uid="{00000000-0004-0000-0000-000060000000}"/>
    <hyperlink ref="J64" r:id="rId98" xr:uid="{00000000-0004-0000-0000-000061000000}"/>
    <hyperlink ref="F65" r:id="rId99" xr:uid="{00000000-0004-0000-0000-000062000000}"/>
    <hyperlink ref="G65" r:id="rId100" xr:uid="{00000000-0004-0000-0000-000063000000}"/>
    <hyperlink ref="J65" r:id="rId101" xr:uid="{00000000-0004-0000-0000-000064000000}"/>
    <hyperlink ref="G66" r:id="rId102" xr:uid="{00000000-0004-0000-0000-000065000000}"/>
    <hyperlink ref="J66" r:id="rId103" xr:uid="{00000000-0004-0000-0000-000066000000}"/>
    <hyperlink ref="G67" r:id="rId104" xr:uid="{00000000-0004-0000-0000-000067000000}"/>
    <hyperlink ref="J67" r:id="rId105" xr:uid="{00000000-0004-0000-0000-000068000000}"/>
    <hyperlink ref="J68" r:id="rId106" xr:uid="{00000000-0004-0000-0000-000069000000}"/>
    <hyperlink ref="G69" r:id="rId107" xr:uid="{00000000-0004-0000-0000-00006A000000}"/>
    <hyperlink ref="J69" r:id="rId108" xr:uid="{00000000-0004-0000-0000-00006B000000}"/>
    <hyperlink ref="J70" r:id="rId109" xr:uid="{00000000-0004-0000-0000-00006C000000}"/>
    <hyperlink ref="G71" r:id="rId110" xr:uid="{00000000-0004-0000-0000-00006D000000}"/>
    <hyperlink ref="J71" r:id="rId111" xr:uid="{00000000-0004-0000-0000-00006E000000}"/>
    <hyperlink ref="J72" r:id="rId112" xr:uid="{00000000-0004-0000-0000-00006F000000}"/>
    <hyperlink ref="G73" r:id="rId113" xr:uid="{00000000-0004-0000-0000-000070000000}"/>
    <hyperlink ref="J73" r:id="rId114" xr:uid="{00000000-0004-0000-0000-000071000000}"/>
    <hyperlink ref="J74" r:id="rId115" xr:uid="{00000000-0004-0000-0000-000072000000}"/>
    <hyperlink ref="G75" r:id="rId116" xr:uid="{00000000-0004-0000-0000-000073000000}"/>
    <hyperlink ref="J75" r:id="rId117" xr:uid="{00000000-0004-0000-0000-000074000000}"/>
    <hyperlink ref="J76" r:id="rId118" xr:uid="{00000000-0004-0000-0000-000075000000}"/>
    <hyperlink ref="G77" r:id="rId119" xr:uid="{00000000-0004-0000-0000-000076000000}"/>
    <hyperlink ref="J77" r:id="rId120" xr:uid="{00000000-0004-0000-0000-000077000000}"/>
    <hyperlink ref="J78" r:id="rId121" xr:uid="{00000000-0004-0000-0000-000078000000}"/>
    <hyperlink ref="J79" r:id="rId122" xr:uid="{00000000-0004-0000-0000-000079000000}"/>
    <hyperlink ref="F80" r:id="rId123" xr:uid="{00000000-0004-0000-0000-00007A000000}"/>
    <hyperlink ref="J80" r:id="rId124" xr:uid="{00000000-0004-0000-0000-00007B000000}"/>
    <hyperlink ref="J81" r:id="rId125" xr:uid="{00000000-0004-0000-0000-00007C000000}"/>
    <hyperlink ref="J84" r:id="rId126" xr:uid="{00000000-0004-0000-0000-00007D000000}"/>
    <hyperlink ref="F85" r:id="rId127" xr:uid="{00000000-0004-0000-0000-00007E000000}"/>
    <hyperlink ref="J85" r:id="rId128" xr:uid="{00000000-0004-0000-0000-00007F000000}"/>
    <hyperlink ref="F86" r:id="rId129" xr:uid="{00000000-0004-0000-0000-000080000000}"/>
    <hyperlink ref="J86" r:id="rId130" xr:uid="{00000000-0004-0000-0000-000081000000}"/>
    <hyperlink ref="F87" r:id="rId131" xr:uid="{00000000-0004-0000-0000-000082000000}"/>
    <hyperlink ref="J87" r:id="rId132" xr:uid="{00000000-0004-0000-0000-000083000000}"/>
    <hyperlink ref="F88" r:id="rId133" xr:uid="{00000000-0004-0000-0000-000084000000}"/>
    <hyperlink ref="J88" r:id="rId134" xr:uid="{00000000-0004-0000-0000-000085000000}"/>
    <hyperlink ref="J89" r:id="rId135" xr:uid="{00000000-0004-0000-0000-000086000000}"/>
    <hyperlink ref="J90" r:id="rId136" xr:uid="{00000000-0004-0000-0000-000087000000}"/>
    <hyperlink ref="J91" r:id="rId137" xr:uid="{00000000-0004-0000-0000-000088000000}"/>
    <hyperlink ref="J92" r:id="rId138" xr:uid="{00000000-0004-0000-0000-000089000000}"/>
    <hyperlink ref="F93" r:id="rId139" xr:uid="{00000000-0004-0000-0000-00008A000000}"/>
    <hyperlink ref="J93" r:id="rId140" xr:uid="{00000000-0004-0000-0000-00008B000000}"/>
    <hyperlink ref="F94" r:id="rId141" xr:uid="{00000000-0004-0000-0000-00008C000000}"/>
    <hyperlink ref="J94" r:id="rId142" xr:uid="{00000000-0004-0000-0000-00008D000000}"/>
    <hyperlink ref="J95" r:id="rId143" xr:uid="{00000000-0004-0000-0000-00008E000000}"/>
    <hyperlink ref="J96" r:id="rId144" xr:uid="{00000000-0004-0000-0000-00008F000000}"/>
    <hyperlink ref="J97" r:id="rId145" xr:uid="{00000000-0004-0000-0000-000090000000}"/>
    <hyperlink ref="J98" r:id="rId146" xr:uid="{00000000-0004-0000-0000-000091000000}"/>
    <hyperlink ref="J99" r:id="rId147" xr:uid="{00000000-0004-0000-0000-000092000000}"/>
    <hyperlink ref="J100" r:id="rId148" xr:uid="{00000000-0004-0000-0000-000093000000}"/>
    <hyperlink ref="J101" r:id="rId149" xr:uid="{00000000-0004-0000-0000-000094000000}"/>
    <hyperlink ref="J102" r:id="rId150" xr:uid="{00000000-0004-0000-0000-000095000000}"/>
    <hyperlink ref="J103" r:id="rId151" xr:uid="{00000000-0004-0000-0000-000096000000}"/>
    <hyperlink ref="F104" r:id="rId152" xr:uid="{00000000-0004-0000-0000-000097000000}"/>
    <hyperlink ref="J104" r:id="rId153" xr:uid="{00000000-0004-0000-0000-000098000000}"/>
    <hyperlink ref="F105" r:id="rId154" xr:uid="{00000000-0004-0000-0000-000099000000}"/>
    <hyperlink ref="J105" r:id="rId155" xr:uid="{00000000-0004-0000-0000-00009A000000}"/>
    <hyperlink ref="J106" r:id="rId156" xr:uid="{00000000-0004-0000-0000-00009B000000}"/>
    <hyperlink ref="J107" r:id="rId157" xr:uid="{00000000-0004-0000-0000-00009C000000}"/>
    <hyperlink ref="J108" r:id="rId158" xr:uid="{00000000-0004-0000-0000-00009D000000}"/>
    <hyperlink ref="J109" r:id="rId159" xr:uid="{00000000-0004-0000-0000-00009E000000}"/>
    <hyperlink ref="J110" r:id="rId160" xr:uid="{00000000-0004-0000-0000-00009F000000}"/>
    <hyperlink ref="F111" r:id="rId161" xr:uid="{00000000-0004-0000-0000-0000A0000000}"/>
    <hyperlink ref="J111" r:id="rId162" xr:uid="{00000000-0004-0000-0000-0000A1000000}"/>
    <hyperlink ref="J112" r:id="rId163" xr:uid="{00000000-0004-0000-0000-0000A2000000}"/>
    <hyperlink ref="F113" r:id="rId164" xr:uid="{00000000-0004-0000-0000-0000A3000000}"/>
    <hyperlink ref="J113" r:id="rId165" xr:uid="{00000000-0004-0000-0000-0000A4000000}"/>
    <hyperlink ref="A114" r:id="rId166" xr:uid="{00000000-0004-0000-0000-0000A5000000}"/>
    <hyperlink ref="J116" r:id="rId167" xr:uid="{00000000-0004-0000-0000-0000A6000000}"/>
    <hyperlink ref="J117" r:id="rId168" xr:uid="{00000000-0004-0000-0000-0000A7000000}"/>
    <hyperlink ref="J118" r:id="rId169" xr:uid="{00000000-0004-0000-0000-0000A8000000}"/>
    <hyperlink ref="J119" r:id="rId170" xr:uid="{00000000-0004-0000-0000-0000A9000000}"/>
    <hyperlink ref="J120" r:id="rId171" xr:uid="{00000000-0004-0000-0000-0000AA000000}"/>
    <hyperlink ref="J121" r:id="rId172" xr:uid="{00000000-0004-0000-0000-0000AB000000}"/>
    <hyperlink ref="J122" r:id="rId173" xr:uid="{00000000-0004-0000-0000-0000AC000000}"/>
    <hyperlink ref="J123" r:id="rId174" xr:uid="{00000000-0004-0000-0000-0000AD000000}"/>
    <hyperlink ref="J124" r:id="rId175" xr:uid="{00000000-0004-0000-0000-0000AE000000}"/>
    <hyperlink ref="J125" r:id="rId176" xr:uid="{00000000-0004-0000-0000-0000AF000000}"/>
    <hyperlink ref="J126" r:id="rId177" xr:uid="{00000000-0004-0000-0000-0000B0000000}"/>
    <hyperlink ref="J127" r:id="rId178" xr:uid="{00000000-0004-0000-0000-0000B1000000}"/>
    <hyperlink ref="J128" r:id="rId179" xr:uid="{00000000-0004-0000-0000-0000B2000000}"/>
    <hyperlink ref="J129" r:id="rId180" xr:uid="{00000000-0004-0000-0000-0000B3000000}"/>
    <hyperlink ref="J130" r:id="rId181" xr:uid="{00000000-0004-0000-0000-0000B4000000}"/>
    <hyperlink ref="J131" r:id="rId182" xr:uid="{00000000-0004-0000-0000-0000B5000000}"/>
    <hyperlink ref="J132" r:id="rId183" xr:uid="{00000000-0004-0000-0000-0000B6000000}"/>
    <hyperlink ref="J133" r:id="rId184" xr:uid="{00000000-0004-0000-0000-0000B7000000}"/>
    <hyperlink ref="J134" r:id="rId185" xr:uid="{00000000-0004-0000-0000-0000B8000000}"/>
    <hyperlink ref="J135" r:id="rId186" xr:uid="{00000000-0004-0000-0000-0000B9000000}"/>
    <hyperlink ref="J136" r:id="rId187" xr:uid="{00000000-0004-0000-0000-0000BA000000}"/>
    <hyperlink ref="J137" r:id="rId188" xr:uid="{00000000-0004-0000-0000-0000BB000000}"/>
    <hyperlink ref="J138" r:id="rId189" xr:uid="{00000000-0004-0000-0000-0000BC000000}"/>
    <hyperlink ref="J139" r:id="rId190" xr:uid="{00000000-0004-0000-0000-0000BD000000}"/>
    <hyperlink ref="J140" r:id="rId191" xr:uid="{00000000-0004-0000-0000-0000BE000000}"/>
    <hyperlink ref="J141" r:id="rId192" xr:uid="{00000000-0004-0000-0000-0000BF000000}"/>
    <hyperlink ref="J142" r:id="rId193" xr:uid="{00000000-0004-0000-0000-0000C0000000}"/>
    <hyperlink ref="J143" r:id="rId194" xr:uid="{00000000-0004-0000-0000-0000C1000000}"/>
    <hyperlink ref="J144" r:id="rId195" xr:uid="{00000000-0004-0000-0000-0000C2000000}"/>
    <hyperlink ref="J145" r:id="rId196" xr:uid="{00000000-0004-0000-0000-0000C3000000}"/>
    <hyperlink ref="J146" r:id="rId197" xr:uid="{00000000-0004-0000-0000-0000C4000000}"/>
    <hyperlink ref="J147" r:id="rId198" xr:uid="{00000000-0004-0000-0000-0000C5000000}"/>
    <hyperlink ref="J148" r:id="rId199" xr:uid="{00000000-0004-0000-0000-0000C6000000}"/>
    <hyperlink ref="J149" r:id="rId200" xr:uid="{00000000-0004-0000-0000-0000C7000000}"/>
    <hyperlink ref="J150" r:id="rId201" xr:uid="{00000000-0004-0000-0000-0000C8000000}"/>
    <hyperlink ref="J151" r:id="rId202" xr:uid="{00000000-0004-0000-0000-0000C9000000}"/>
    <hyperlink ref="J152" r:id="rId203" xr:uid="{00000000-0004-0000-0000-0000CA000000}"/>
    <hyperlink ref="J153" r:id="rId204" xr:uid="{00000000-0004-0000-0000-0000CB000000}"/>
    <hyperlink ref="J154" r:id="rId205" xr:uid="{00000000-0004-0000-0000-0000CC000000}"/>
    <hyperlink ref="J155" r:id="rId206" xr:uid="{00000000-0004-0000-0000-0000CD000000}"/>
    <hyperlink ref="J156" r:id="rId207" xr:uid="{00000000-0004-0000-0000-0000CE000000}"/>
    <hyperlink ref="J157" r:id="rId208" xr:uid="{00000000-0004-0000-0000-0000CF000000}"/>
    <hyperlink ref="J158" r:id="rId209" xr:uid="{00000000-0004-0000-0000-0000D0000000}"/>
    <hyperlink ref="J159" r:id="rId210" xr:uid="{00000000-0004-0000-0000-0000D1000000}"/>
    <hyperlink ref="J160" r:id="rId211" xr:uid="{00000000-0004-0000-0000-0000D2000000}"/>
    <hyperlink ref="J161" r:id="rId212" xr:uid="{00000000-0004-0000-0000-0000D3000000}"/>
    <hyperlink ref="J162" r:id="rId213" xr:uid="{00000000-0004-0000-0000-0000D4000000}"/>
    <hyperlink ref="J163" r:id="rId214" xr:uid="{00000000-0004-0000-0000-0000D5000000}"/>
    <hyperlink ref="J164" r:id="rId215" xr:uid="{00000000-0004-0000-0000-0000D6000000}"/>
    <hyperlink ref="J165" r:id="rId216" xr:uid="{00000000-0004-0000-0000-0000D7000000}"/>
    <hyperlink ref="J166" r:id="rId217" xr:uid="{00000000-0004-0000-0000-0000D8000000}"/>
    <hyperlink ref="J167" r:id="rId218" xr:uid="{00000000-0004-0000-0000-0000D9000000}"/>
    <hyperlink ref="J168" r:id="rId219" xr:uid="{00000000-0004-0000-0000-0000DA000000}"/>
    <hyperlink ref="J169" r:id="rId220" xr:uid="{00000000-0004-0000-0000-0000DB000000}"/>
    <hyperlink ref="J170" r:id="rId221" xr:uid="{00000000-0004-0000-0000-0000DC000000}"/>
    <hyperlink ref="J171" r:id="rId222" xr:uid="{00000000-0004-0000-0000-0000DD000000}"/>
    <hyperlink ref="J172" r:id="rId223" xr:uid="{00000000-0004-0000-0000-0000DE000000}"/>
    <hyperlink ref="J173" r:id="rId224" xr:uid="{00000000-0004-0000-0000-0000DF000000}"/>
    <hyperlink ref="J174" r:id="rId225" xr:uid="{00000000-0004-0000-0000-0000E0000000}"/>
    <hyperlink ref="J175" r:id="rId226" xr:uid="{00000000-0004-0000-0000-0000E1000000}"/>
    <hyperlink ref="J176" r:id="rId227" xr:uid="{00000000-0004-0000-0000-0000E2000000}"/>
    <hyperlink ref="J177" r:id="rId228" xr:uid="{00000000-0004-0000-0000-0000E3000000}"/>
    <hyperlink ref="J178" r:id="rId229" xr:uid="{00000000-0004-0000-0000-0000E4000000}"/>
    <hyperlink ref="J179" r:id="rId230" xr:uid="{00000000-0004-0000-0000-0000E5000000}"/>
    <hyperlink ref="J180" r:id="rId231" xr:uid="{00000000-0004-0000-0000-0000E6000000}"/>
    <hyperlink ref="J181" r:id="rId232" xr:uid="{00000000-0004-0000-0000-0000E7000000}"/>
    <hyperlink ref="J182" r:id="rId233" xr:uid="{00000000-0004-0000-0000-0000E8000000}"/>
    <hyperlink ref="J183" r:id="rId234" xr:uid="{00000000-0004-0000-0000-0000E9000000}"/>
    <hyperlink ref="J184" r:id="rId235" xr:uid="{00000000-0004-0000-0000-0000EA000000}"/>
    <hyperlink ref="J185" r:id="rId236" xr:uid="{00000000-0004-0000-0000-0000EB000000}"/>
    <hyperlink ref="J186" r:id="rId237" xr:uid="{00000000-0004-0000-0000-0000EC000000}"/>
    <hyperlink ref="J187" r:id="rId238" xr:uid="{00000000-0004-0000-0000-0000ED000000}"/>
    <hyperlink ref="J188" r:id="rId239" xr:uid="{00000000-0004-0000-0000-0000EE000000}"/>
    <hyperlink ref="J189" r:id="rId240" xr:uid="{00000000-0004-0000-0000-0000EF000000}"/>
    <hyperlink ref="J190" r:id="rId241" xr:uid="{00000000-0004-0000-0000-0000F0000000}"/>
    <hyperlink ref="J191" r:id="rId242" xr:uid="{00000000-0004-0000-0000-0000F1000000}"/>
    <hyperlink ref="J192" r:id="rId243" xr:uid="{00000000-0004-0000-0000-0000F2000000}"/>
    <hyperlink ref="J193" r:id="rId244" xr:uid="{00000000-0004-0000-0000-0000F3000000}"/>
    <hyperlink ref="J194" r:id="rId245" xr:uid="{00000000-0004-0000-0000-0000F4000000}"/>
    <hyperlink ref="J195" r:id="rId246" xr:uid="{00000000-0004-0000-0000-0000F5000000}"/>
    <hyperlink ref="J196" r:id="rId247" xr:uid="{00000000-0004-0000-0000-0000F6000000}"/>
    <hyperlink ref="J197" r:id="rId248" xr:uid="{00000000-0004-0000-0000-0000F7000000}"/>
    <hyperlink ref="J198" r:id="rId249" xr:uid="{00000000-0004-0000-0000-0000F8000000}"/>
    <hyperlink ref="J199" r:id="rId250" xr:uid="{00000000-0004-0000-0000-0000F9000000}"/>
    <hyperlink ref="J200" r:id="rId251" xr:uid="{00000000-0004-0000-0000-0000FA000000}"/>
    <hyperlink ref="J201" r:id="rId252" xr:uid="{00000000-0004-0000-0000-0000FB000000}"/>
    <hyperlink ref="J202" r:id="rId253" xr:uid="{00000000-0004-0000-0000-0000FC000000}"/>
    <hyperlink ref="J203" r:id="rId254" xr:uid="{00000000-0004-0000-0000-0000FD000000}"/>
    <hyperlink ref="J204" r:id="rId255" xr:uid="{00000000-0004-0000-0000-0000FE000000}"/>
    <hyperlink ref="J205" r:id="rId256" xr:uid="{00000000-0004-0000-0000-0000FF000000}"/>
    <hyperlink ref="J206" r:id="rId257" xr:uid="{00000000-0004-0000-0000-000000010000}"/>
    <hyperlink ref="J207" r:id="rId258" xr:uid="{00000000-0004-0000-0000-000001010000}"/>
    <hyperlink ref="J208" r:id="rId259" xr:uid="{00000000-0004-0000-0000-000002010000}"/>
    <hyperlink ref="J209" r:id="rId260" xr:uid="{00000000-0004-0000-0000-000003010000}"/>
    <hyperlink ref="J210" r:id="rId261" xr:uid="{00000000-0004-0000-0000-000004010000}"/>
    <hyperlink ref="J211" r:id="rId262" xr:uid="{00000000-0004-0000-0000-000005010000}"/>
    <hyperlink ref="J212" r:id="rId263" xr:uid="{00000000-0004-0000-0000-000006010000}"/>
    <hyperlink ref="J213" r:id="rId264" xr:uid="{00000000-0004-0000-0000-000007010000}"/>
    <hyperlink ref="J214" r:id="rId265" xr:uid="{00000000-0004-0000-0000-000008010000}"/>
    <hyperlink ref="J215" r:id="rId266" xr:uid="{00000000-0004-0000-0000-000009010000}"/>
    <hyperlink ref="J216" r:id="rId267" xr:uid="{00000000-0004-0000-0000-00000A010000}"/>
    <hyperlink ref="J217" r:id="rId268" xr:uid="{00000000-0004-0000-0000-00000B010000}"/>
    <hyperlink ref="J218" r:id="rId269" xr:uid="{00000000-0004-0000-0000-00000C010000}"/>
    <hyperlink ref="J219" r:id="rId270" xr:uid="{00000000-0004-0000-0000-00000D010000}"/>
    <hyperlink ref="J220" r:id="rId271" xr:uid="{00000000-0004-0000-0000-00000E010000}"/>
    <hyperlink ref="J221" r:id="rId272" xr:uid="{00000000-0004-0000-0000-00000F010000}"/>
    <hyperlink ref="J222" r:id="rId273" xr:uid="{00000000-0004-0000-0000-000010010000}"/>
    <hyperlink ref="J223" r:id="rId274" xr:uid="{00000000-0004-0000-0000-000011010000}"/>
    <hyperlink ref="J224" r:id="rId275" xr:uid="{00000000-0004-0000-0000-000012010000}"/>
    <hyperlink ref="J225" r:id="rId276" xr:uid="{00000000-0004-0000-0000-000013010000}"/>
    <hyperlink ref="J226" r:id="rId277" xr:uid="{00000000-0004-0000-0000-000014010000}"/>
    <hyperlink ref="J227" r:id="rId278" xr:uid="{00000000-0004-0000-0000-000015010000}"/>
    <hyperlink ref="J228" r:id="rId279" xr:uid="{00000000-0004-0000-0000-000016010000}"/>
    <hyperlink ref="J229" r:id="rId280" xr:uid="{00000000-0004-0000-0000-000017010000}"/>
    <hyperlink ref="J230" r:id="rId281" xr:uid="{00000000-0004-0000-0000-000018010000}"/>
    <hyperlink ref="J231" r:id="rId282" xr:uid="{00000000-0004-0000-0000-000019010000}"/>
    <hyperlink ref="J232" r:id="rId283" xr:uid="{00000000-0004-0000-0000-00001A010000}"/>
    <hyperlink ref="J233" r:id="rId284" xr:uid="{00000000-0004-0000-0000-00001B010000}"/>
    <hyperlink ref="J234" r:id="rId285" xr:uid="{00000000-0004-0000-0000-00001C010000}"/>
    <hyperlink ref="J235" r:id="rId286" xr:uid="{00000000-0004-0000-0000-00001D010000}"/>
    <hyperlink ref="J236" r:id="rId287" xr:uid="{00000000-0004-0000-0000-00001E010000}"/>
    <hyperlink ref="J237" r:id="rId288" xr:uid="{00000000-0004-0000-0000-00001F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clinics_full_scraped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modified xsi:type="dcterms:W3CDTF">2025-10-26T12:11:55Z</dcterms:modified>
</cp:coreProperties>
</file>