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manan\Documents\Ucalgary\Winter-2023\Milestone 1\Lighting Calculations\"/>
    </mc:Choice>
  </mc:AlternateContent>
  <xr:revisionPtr revIDLastSave="0" documentId="13_ncr:1_{E410D2A8-83CF-4B36-B25E-DF5429D4564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ighting Calculation" sheetId="1" r:id="rId1"/>
  </sheets>
  <definedNames>
    <definedName name="_xlnm._FilterDatabase" localSheetId="0" hidden="1">'Lighting Calculation'!$A$1:$AE$33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3" i="1" l="1"/>
  <c r="AD33" i="1"/>
  <c r="AE32" i="1"/>
  <c r="AD32" i="1"/>
  <c r="AE31" i="1"/>
  <c r="AD31" i="1"/>
  <c r="F33" i="1"/>
  <c r="F32" i="1"/>
  <c r="F31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" i="1"/>
  <c r="AE5" i="1"/>
  <c r="T5" i="1"/>
  <c r="E5" i="1"/>
  <c r="D5" i="1"/>
  <c r="AE3" i="1"/>
  <c r="T3" i="1"/>
  <c r="I3" i="1"/>
  <c r="E3" i="1"/>
  <c r="D30" i="1"/>
  <c r="E30" i="1" s="1"/>
  <c r="AE29" i="1"/>
  <c r="E29" i="1"/>
  <c r="D29" i="1"/>
  <c r="AE28" i="1"/>
  <c r="T28" i="1"/>
  <c r="I28" i="1"/>
  <c r="E28" i="1"/>
  <c r="D28" i="1" s="1"/>
  <c r="E27" i="1"/>
  <c r="D27" i="1" s="1"/>
  <c r="AE26" i="1"/>
  <c r="F26" i="1"/>
  <c r="E26" i="1"/>
  <c r="AE25" i="1"/>
  <c r="E25" i="1"/>
  <c r="D25" i="1"/>
  <c r="AE24" i="1"/>
  <c r="E24" i="1"/>
  <c r="D24" i="1"/>
  <c r="AE23" i="1"/>
  <c r="E23" i="1"/>
  <c r="D23" i="1"/>
  <c r="E22" i="1"/>
  <c r="D22" i="1"/>
  <c r="AE21" i="1"/>
  <c r="E21" i="1"/>
  <c r="D21" i="1"/>
  <c r="E20" i="1"/>
  <c r="D20" i="1"/>
  <c r="F19" i="1"/>
  <c r="Z18" i="1"/>
  <c r="E18" i="1"/>
  <c r="D18" i="1"/>
  <c r="AE17" i="1"/>
  <c r="E17" i="1"/>
  <c r="D17" i="1"/>
  <c r="F16" i="1"/>
  <c r="D16" i="1"/>
  <c r="AE16" i="1"/>
  <c r="T16" i="1"/>
  <c r="I16" i="1"/>
  <c r="AE15" i="1"/>
  <c r="E15" i="1"/>
  <c r="D15" i="1"/>
  <c r="D14" i="1"/>
  <c r="E14" i="1"/>
  <c r="T13" i="1"/>
  <c r="E13" i="1"/>
  <c r="D13" i="1" s="1"/>
  <c r="T12" i="1"/>
  <c r="E12" i="1"/>
  <c r="D12" i="1"/>
  <c r="Z11" i="1"/>
  <c r="AE11" i="1"/>
  <c r="T11" i="1"/>
  <c r="E11" i="1"/>
  <c r="D11" i="1" s="1"/>
  <c r="AE10" i="1"/>
  <c r="T10" i="1"/>
  <c r="D10" i="1"/>
  <c r="AE9" i="1"/>
  <c r="T9" i="1"/>
  <c r="D9" i="1"/>
  <c r="I9" i="1"/>
  <c r="D8" i="1"/>
  <c r="AE8" i="1"/>
  <c r="T8" i="1"/>
  <c r="I8" i="1"/>
  <c r="AE12" i="1"/>
  <c r="AE13" i="1"/>
  <c r="AE14" i="1"/>
  <c r="AE18" i="1"/>
  <c r="AE19" i="1"/>
  <c r="AE20" i="1"/>
  <c r="AE22" i="1"/>
  <c r="AE27" i="1"/>
  <c r="AE30" i="1"/>
  <c r="AE7" i="1"/>
  <c r="F6" i="1"/>
  <c r="I6" i="1"/>
  <c r="T6" i="1"/>
  <c r="AE6" i="1"/>
  <c r="AE4" i="1"/>
  <c r="T7" i="1"/>
  <c r="T14" i="1"/>
  <c r="T15" i="1"/>
  <c r="T17" i="1"/>
  <c r="T18" i="1"/>
  <c r="T19" i="1"/>
  <c r="T20" i="1"/>
  <c r="T21" i="1"/>
  <c r="T22" i="1"/>
  <c r="T23" i="1"/>
  <c r="T24" i="1"/>
  <c r="T25" i="1"/>
  <c r="T26" i="1"/>
  <c r="T27" i="1"/>
  <c r="T29" i="1"/>
  <c r="T30" i="1"/>
  <c r="T31" i="1"/>
  <c r="T32" i="1"/>
  <c r="T33" i="1"/>
  <c r="I7" i="1"/>
  <c r="I10" i="1"/>
  <c r="I11" i="1"/>
  <c r="I12" i="1"/>
  <c r="I13" i="1"/>
  <c r="I14" i="1"/>
  <c r="I15" i="1"/>
  <c r="I17" i="1"/>
  <c r="I18" i="1"/>
  <c r="I19" i="1"/>
  <c r="I20" i="1"/>
  <c r="I21" i="1"/>
  <c r="I22" i="1"/>
  <c r="I23" i="1"/>
  <c r="I24" i="1"/>
  <c r="I25" i="1"/>
  <c r="I26" i="1"/>
  <c r="I27" i="1"/>
  <c r="I29" i="1"/>
  <c r="I30" i="1"/>
  <c r="I31" i="1"/>
  <c r="I32" i="1"/>
  <c r="I33" i="1"/>
  <c r="F7" i="1"/>
  <c r="T4" i="1"/>
  <c r="I4" i="1"/>
  <c r="F4" i="1"/>
  <c r="F20" i="1" l="1"/>
  <c r="K5" i="1"/>
  <c r="R5" i="1" s="1"/>
  <c r="U5" i="1" s="1"/>
  <c r="F21" i="1"/>
  <c r="K21" i="1" s="1"/>
  <c r="L21" i="1" s="1"/>
  <c r="R21" i="1" s="1"/>
  <c r="U21" i="1" s="1"/>
  <c r="E16" i="1"/>
  <c r="K16" i="1" s="1"/>
  <c r="F23" i="1"/>
  <c r="K23" i="1" s="1"/>
  <c r="L23" i="1" s="1"/>
  <c r="R23" i="1" s="1"/>
  <c r="U23" i="1" s="1"/>
  <c r="K33" i="1"/>
  <c r="L33" i="1" s="1"/>
  <c r="K3" i="1"/>
  <c r="L3" i="1" s="1"/>
  <c r="R3" i="1" s="1"/>
  <c r="U3" i="1" s="1"/>
  <c r="K28" i="1"/>
  <c r="L28" i="1" s="1"/>
  <c r="R28" i="1" s="1"/>
  <c r="U28" i="1" s="1"/>
  <c r="F22" i="1"/>
  <c r="K22" i="1" s="1"/>
  <c r="L22" i="1" s="1"/>
  <c r="K8" i="1"/>
  <c r="R8" i="1" s="1"/>
  <c r="U8" i="1" s="1"/>
  <c r="F25" i="1"/>
  <c r="K25" i="1" s="1"/>
  <c r="L25" i="1" s="1"/>
  <c r="F29" i="1"/>
  <c r="K29" i="1" s="1"/>
  <c r="L29" i="1" s="1"/>
  <c r="R29" i="1" s="1"/>
  <c r="U29" i="1" s="1"/>
  <c r="F24" i="1"/>
  <c r="K24" i="1" s="1"/>
  <c r="L24" i="1" s="1"/>
  <c r="F12" i="1"/>
  <c r="K12" i="1" s="1"/>
  <c r="L12" i="1" s="1"/>
  <c r="R12" i="1" s="1"/>
  <c r="U12" i="1" s="1"/>
  <c r="D26" i="1"/>
  <c r="K26" i="1" s="1"/>
  <c r="L26" i="1" s="1"/>
  <c r="K6" i="1"/>
  <c r="L6" i="1" s="1"/>
  <c r="R6" i="1" s="1"/>
  <c r="U6" i="1" s="1"/>
  <c r="F15" i="1"/>
  <c r="K15" i="1" s="1"/>
  <c r="K31" i="1"/>
  <c r="L31" i="1" s="1"/>
  <c r="R31" i="1" s="1"/>
  <c r="U31" i="1" s="1"/>
  <c r="F17" i="1"/>
  <c r="K17" i="1" s="1"/>
  <c r="F18" i="1"/>
  <c r="K18" i="1" s="1"/>
  <c r="F14" i="1"/>
  <c r="K14" i="1" s="1"/>
  <c r="L14" i="1" s="1"/>
  <c r="R14" i="1" s="1"/>
  <c r="U14" i="1" s="1"/>
  <c r="K30" i="1"/>
  <c r="L30" i="1" s="1"/>
  <c r="K32" i="1"/>
  <c r="L32" i="1" s="1"/>
  <c r="R32" i="1" s="1"/>
  <c r="U32" i="1" s="1"/>
  <c r="K27" i="1"/>
  <c r="L27" i="1" s="1"/>
  <c r="R27" i="1" s="1"/>
  <c r="U27" i="1" s="1"/>
  <c r="K9" i="1"/>
  <c r="R9" i="1" s="1"/>
  <c r="U9" i="1" s="1"/>
  <c r="K4" i="1"/>
  <c r="K11" i="1"/>
  <c r="L11" i="1" s="1"/>
  <c r="R11" i="1" s="1"/>
  <c r="U11" i="1" s="1"/>
  <c r="K10" i="1"/>
  <c r="L10" i="1" s="1"/>
  <c r="R10" i="1" s="1"/>
  <c r="U10" i="1" s="1"/>
  <c r="K7" i="1"/>
  <c r="L7" i="1" s="1"/>
  <c r="K13" i="1"/>
  <c r="K20" i="1"/>
  <c r="L20" i="1" s="1"/>
  <c r="R20" i="1" s="1"/>
  <c r="U20" i="1" s="1"/>
  <c r="K19" i="1"/>
  <c r="R30" i="1" l="1"/>
  <c r="U30" i="1" s="1"/>
  <c r="R33" i="1"/>
  <c r="U33" i="1" s="1"/>
  <c r="R25" i="1"/>
  <c r="U25" i="1" s="1"/>
  <c r="R26" i="1"/>
  <c r="U26" i="1" s="1"/>
  <c r="L15" i="1"/>
  <c r="R15" i="1" s="1"/>
  <c r="U15" i="1" s="1"/>
  <c r="L16" i="1"/>
  <c r="R16" i="1" s="1"/>
  <c r="U16" i="1" s="1"/>
  <c r="R7" i="1"/>
  <c r="U7" i="1" s="1"/>
  <c r="R24" i="1"/>
  <c r="U24" i="1" s="1"/>
  <c r="L13" i="1"/>
  <c r="R13" i="1" s="1"/>
  <c r="U13" i="1" s="1"/>
  <c r="R22" i="1"/>
  <c r="U22" i="1" s="1"/>
  <c r="L17" i="1"/>
  <c r="R17" i="1" s="1"/>
  <c r="U17" i="1" s="1"/>
  <c r="L19" i="1"/>
  <c r="R19" i="1" s="1"/>
  <c r="U19" i="1" s="1"/>
  <c r="L18" i="1"/>
  <c r="R18" i="1" s="1"/>
  <c r="U18" i="1" s="1"/>
  <c r="L4" i="1"/>
  <c r="R4" i="1" s="1"/>
  <c r="U4" i="1" s="1"/>
</calcChain>
</file>

<file path=xl/sharedStrings.xml><?xml version="1.0" encoding="utf-8"?>
<sst xmlns="http://schemas.openxmlformats.org/spreadsheetml/2006/main" count="190" uniqueCount="102">
  <si>
    <t>SR Number</t>
  </si>
  <si>
    <t>ROOM Number</t>
  </si>
  <si>
    <t>Length (Feet)</t>
  </si>
  <si>
    <t>Width (Feet)</t>
  </si>
  <si>
    <t>Area (Feet^2)</t>
  </si>
  <si>
    <t>Ceiling Height (Feet)</t>
  </si>
  <si>
    <t>Work space height</t>
  </si>
  <si>
    <t>Cavity Height</t>
  </si>
  <si>
    <t>LLF</t>
  </si>
  <si>
    <t>RCR</t>
  </si>
  <si>
    <t>Reflenctance</t>
  </si>
  <si>
    <t>Wall</t>
  </si>
  <si>
    <t>Ceiling</t>
  </si>
  <si>
    <t>Floor</t>
  </si>
  <si>
    <t>CU</t>
  </si>
  <si>
    <t>UL</t>
  </si>
  <si>
    <t>LL</t>
  </si>
  <si>
    <t>Co-efficient of utilization calculation</t>
  </si>
  <si>
    <t>2SBP3040L8CS-2-UNV-DIM</t>
  </si>
  <si>
    <t>Tag Number</t>
  </si>
  <si>
    <t>Watt</t>
  </si>
  <si>
    <t>CCT</t>
  </si>
  <si>
    <t>5000K</t>
  </si>
  <si>
    <t>Efficacy</t>
  </si>
  <si>
    <t>Lumens per luminaires</t>
  </si>
  <si>
    <t>Name</t>
  </si>
  <si>
    <t>Classroom</t>
  </si>
  <si>
    <t>Common</t>
  </si>
  <si>
    <t>1TG8232-01-UNV-1/2-EBLHE-LPT835HL</t>
  </si>
  <si>
    <t>4100K</t>
  </si>
  <si>
    <t>Women Washroom</t>
  </si>
  <si>
    <t>LPLS2L31-40K-UNV-F1</t>
  </si>
  <si>
    <t>4000K</t>
  </si>
  <si>
    <t>Men Washroom</t>
  </si>
  <si>
    <t>Corridore</t>
  </si>
  <si>
    <t>Jenitor</t>
  </si>
  <si>
    <t>2921L95015WN</t>
  </si>
  <si>
    <t>Water Meter</t>
  </si>
  <si>
    <t>SDS21224L8CST-UNV-DIM 10W</t>
  </si>
  <si>
    <t>Kitchen</t>
  </si>
  <si>
    <t>LBX70L850-UNV</t>
  </si>
  <si>
    <t>Cultural Activity Room</t>
  </si>
  <si>
    <t>RGB</t>
  </si>
  <si>
    <t>RGBA, 100 to 277 VAC, High Power, 30° x 60°, 1219
mm (4 ft)</t>
  </si>
  <si>
    <t>Storage Room</t>
  </si>
  <si>
    <t>Storage Room(Outside Area)</t>
  </si>
  <si>
    <t>Snack Preparation Room</t>
  </si>
  <si>
    <t>FSX440L840-UNV-DIM</t>
  </si>
  <si>
    <t>ELxSL95068QJ04D</t>
  </si>
  <si>
    <t>ELxSL95034QJ04D</t>
  </si>
  <si>
    <t>CRI</t>
  </si>
  <si>
    <t>YUKATA Storage</t>
  </si>
  <si>
    <t>ED office</t>
  </si>
  <si>
    <t>MESO 4000LM DOWN 6000LM UP 950</t>
  </si>
  <si>
    <t>Tunable White</t>
  </si>
  <si>
    <t>Admin Office</t>
  </si>
  <si>
    <t>Mechanical Room</t>
  </si>
  <si>
    <t>1SDL47L850-4-D-UNV-DIM</t>
  </si>
  <si>
    <t>Vestibule</t>
  </si>
  <si>
    <t>Foyer</t>
  </si>
  <si>
    <t>7608LAGQN</t>
  </si>
  <si>
    <t>Exhibit Gallary</t>
  </si>
  <si>
    <t>3500K</t>
  </si>
  <si>
    <t>Premium white</t>
  </si>
  <si>
    <t>LCx20935BK</t>
  </si>
  <si>
    <t>LCx20PW30BK</t>
  </si>
  <si>
    <t>Tea ceremony</t>
  </si>
  <si>
    <t>Stairwell</t>
  </si>
  <si>
    <t>FSS330L840-UNV-DIM</t>
  </si>
  <si>
    <t>Electrical Room</t>
  </si>
  <si>
    <t xml:space="preserve">Telecom </t>
  </si>
  <si>
    <t>Closet</t>
  </si>
  <si>
    <t>Staff lockers</t>
  </si>
  <si>
    <t>80+</t>
  </si>
  <si>
    <t>Information/Gift Shop(Outside area)</t>
  </si>
  <si>
    <t>Information/Gift Shop(Inside area)</t>
  </si>
  <si>
    <t>Storage Room(Inside Area)</t>
  </si>
  <si>
    <t>Required Lux</t>
  </si>
  <si>
    <t>Required FootCandle</t>
  </si>
  <si>
    <t>Dimension of luminaire</t>
  </si>
  <si>
    <t># of luminaires required</t>
  </si>
  <si>
    <t>Total wattage</t>
  </si>
  <si>
    <t>Total Illuminance</t>
  </si>
  <si>
    <t>2' * 2.05"</t>
  </si>
  <si>
    <t>2' * 3'</t>
  </si>
  <si>
    <t>1' * 4'</t>
  </si>
  <si>
    <t>2' * 10.87"</t>
  </si>
  <si>
    <t>4' * 3.23"</t>
  </si>
  <si>
    <t>4' * 3.5"</t>
  </si>
  <si>
    <t>4' * 2.15"</t>
  </si>
  <si>
    <t>64" * 12"</t>
  </si>
  <si>
    <t>4' * 4"</t>
  </si>
  <si>
    <t>50" * 14"</t>
  </si>
  <si>
    <t>3' * 1'</t>
  </si>
  <si>
    <t>4' * 1'</t>
  </si>
  <si>
    <t>2 3⁄4"</t>
  </si>
  <si>
    <t>Inner Diameter of 2 3⁄4"</t>
  </si>
  <si>
    <t>4' * 3.25"</t>
  </si>
  <si>
    <t>-</t>
  </si>
  <si>
    <t>Required Lumens in room</t>
  </si>
  <si>
    <t>Specification Sheet</t>
  </si>
  <si>
    <t>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</si>
</sst>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12" xfId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ignify.com/api/assets/v1/file/PhilipsLighting/content/7cb6354db13a4c238afea87f011c97d2/lpl_led_series_linear.pdf" TargetMode="External"/><Relationship Id="rId13" Type="http://schemas.openxmlformats.org/officeDocument/2006/relationships/hyperlink" Target="https://www.signify.com/api/assets/v1/file/Signify/content/a5178484faa14b8ca60fad89017b951b/SDS_Selectable_Strip_SpecSheet_US_ENG_FINAL.pdf" TargetMode="External"/><Relationship Id="rId18" Type="http://schemas.openxmlformats.org/officeDocument/2006/relationships/hyperlink" Target="https://www.signify.com/api/assets/v1/file/Signify/content/027a4383aa9d4dcaa1afaa63007e7584/EyeLine_Suspended_SpecSheet.pdf" TargetMode="External"/><Relationship Id="rId26" Type="http://schemas.openxmlformats.org/officeDocument/2006/relationships/hyperlink" Target="https://www.signify.com/api/assets/v1/file/Signify/content/2ae0aa4b96164ab69257ab1001454df7/OmniSpotLED-LC.pdf" TargetMode="External"/><Relationship Id="rId3" Type="http://schemas.openxmlformats.org/officeDocument/2006/relationships/hyperlink" Target="https://www.signify.com/api/assets/v1/file/Signify/content/a5178484faa14b8ca60fad89017b951b/SDS_Selectable_Strip_SpecSheet_US_ENG_FINAL.pdf" TargetMode="External"/><Relationship Id="rId21" Type="http://schemas.openxmlformats.org/officeDocument/2006/relationships/hyperlink" Target="http://docs.ledalite.com/download/ies/TMxxL950WNNNN40W60.pdf" TargetMode="External"/><Relationship Id="rId7" Type="http://schemas.openxmlformats.org/officeDocument/2006/relationships/hyperlink" Target="https://www.signify.com/api/assets/v1/file/PhilipsLighting/content/7cb6354db13a4c238afea87f011c97d2/lpl_led_series_linear.pdf" TargetMode="External"/><Relationship Id="rId12" Type="http://schemas.openxmlformats.org/officeDocument/2006/relationships/hyperlink" Target="https://www.docs.colorkinetics.com/specsheets/GrazeCompact_Color/Graze_Compact_Powercore_RGBA_100-277VAC_High_Power_30x60_1219mm_4ft.pdf" TargetMode="External"/><Relationship Id="rId17" Type="http://schemas.openxmlformats.org/officeDocument/2006/relationships/hyperlink" Target="https://www.signify.com/api/assets/v1/file/Signify/content/027a4383aa9d4dcaa1afaa63007e7584/EyeLine_Suspended_SpecSheet.pdf" TargetMode="External"/><Relationship Id="rId25" Type="http://schemas.openxmlformats.org/officeDocument/2006/relationships/hyperlink" Target="https://www.signify.com/api/assets/v1/file/Signify/content/2ae0aa4b96164ab69257ab1001454df7/OmniSpotLED-LC.pdf" TargetMode="External"/><Relationship Id="rId2" Type="http://schemas.openxmlformats.org/officeDocument/2006/relationships/hyperlink" Target="https://www.signify.com/api/assets/v1/file/Signify/content/ebaff842b3464df3b95aac0e00da0e58/Selectable_backlit_panel.pdf" TargetMode="External"/><Relationship Id="rId16" Type="http://schemas.openxmlformats.org/officeDocument/2006/relationships/hyperlink" Target="https://www.signify.com/api/assets/v1/file/Signify/content/e8cc8ff8c6584a9087f3aa3e00d4cff0/FluxStream_LED_sealed_strip.pdf" TargetMode="External"/><Relationship Id="rId20" Type="http://schemas.openxmlformats.org/officeDocument/2006/relationships/hyperlink" Target="http://docs.ledalite.com/download/ies/TMxxL950WNNNN40W60.pdf" TargetMode="External"/><Relationship Id="rId29" Type="http://schemas.openxmlformats.org/officeDocument/2006/relationships/hyperlink" Target="https://www.signify.com/api/assets/v1/file/PhilipsLighting/content/89d85dddb82147648efaa87f01127706/dualed_surface_1x4.pdf" TargetMode="External"/><Relationship Id="rId1" Type="http://schemas.openxmlformats.org/officeDocument/2006/relationships/hyperlink" Target="http://docs.ledalite.com/download/ies/7608LAGQN.pdf" TargetMode="External"/><Relationship Id="rId6" Type="http://schemas.openxmlformats.org/officeDocument/2006/relationships/hyperlink" Target="https://www.signify.com/api/assets/v1/file/PhilipsLighting/content/7cb6354db13a4c238afea87f011c97d2/lpl_led_series_linear.pdf" TargetMode="External"/><Relationship Id="rId11" Type="http://schemas.openxmlformats.org/officeDocument/2006/relationships/hyperlink" Target="https://www.signify.com/api/assets/v1/file/Signify/content/9fdc5d62b525443a874ba8820081e151/LBX_LED_linear_suspended.pdf" TargetMode="External"/><Relationship Id="rId24" Type="http://schemas.openxmlformats.org/officeDocument/2006/relationships/hyperlink" Target="https://www.signify.com/api/assets/v1/file/PhilipsLighting/content/7cb6354db13a4c238afea87f011c97d2/lpl_led_series_linear.pdf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www.signify.com/api/assets/v1/file/PhilipsLighting/content/fc4bb69890d145d8a8cea87f0113805f/tg8_1x4.pdf" TargetMode="External"/><Relationship Id="rId15" Type="http://schemas.openxmlformats.org/officeDocument/2006/relationships/hyperlink" Target="https://www.signify.com/api/assets/v1/file/Signify/content/a5178484faa14b8ca60fad89017b951b/SDS_Selectable_Strip_SpecSheet_US_ENG_FINAL.pdf" TargetMode="External"/><Relationship Id="rId23" Type="http://schemas.openxmlformats.org/officeDocument/2006/relationships/hyperlink" Target="https://www.signify.com/api/assets/v1/file/PhilipsLighting/content/89d85dddb82147648efaa87f01127706/dualed_surface_1x4.pdf" TargetMode="External"/><Relationship Id="rId28" Type="http://schemas.openxmlformats.org/officeDocument/2006/relationships/hyperlink" Target="https://www.signify.com/api/assets/v1/file/Signify/content/e8a51ab6b4524f0bb340a88200816465/FluxStream_LED_Strip.pdf" TargetMode="External"/><Relationship Id="rId10" Type="http://schemas.openxmlformats.org/officeDocument/2006/relationships/hyperlink" Target="https://www.signify.com/api/assets/v1/file/Signify/content/a5178484faa14b8ca60fad89017b951b/SDS_Selectable_Strip_SpecSheet_US_ENG_FINAL.pdf" TargetMode="External"/><Relationship Id="rId19" Type="http://schemas.openxmlformats.org/officeDocument/2006/relationships/hyperlink" Target="https://www.signify.com/api/assets/v1/file/Signify/content/a5178484faa14b8ca60fad89017b951b/SDS_Selectable_Strip_SpecSheet_US_ENG_FINAL.pdf" TargetMode="External"/><Relationship Id="rId31" Type="http://schemas.openxmlformats.org/officeDocument/2006/relationships/hyperlink" Target="https://www.signify.com/api/assets/v1/file/PhilipsLighting/content/fc4bb69890d145d8a8cea87f0113805f/tg8_1x4.pdf" TargetMode="External"/><Relationship Id="rId4" Type="http://schemas.openxmlformats.org/officeDocument/2006/relationships/hyperlink" Target="https://www.signify.com/api/assets/v1/file/Signify/content/ebaff842b3464df3b95aac0e00da0e58/Selectable_backlit_panel.pdf" TargetMode="External"/><Relationship Id="rId9" Type="http://schemas.openxmlformats.org/officeDocument/2006/relationships/hyperlink" Target="https://www.signify.com/api/assets/v1/file/Signify/content/a3133b8fd312434eb37baa63007e1631/TruGroove_Wall_SpecSheet.pdf" TargetMode="External"/><Relationship Id="rId14" Type="http://schemas.openxmlformats.org/officeDocument/2006/relationships/hyperlink" Target="https://www.signify.com/api/assets/v1/file/Signify/content/a5178484faa14b8ca60fad89017b951b/SDS_Selectable_Strip_SpecSheet_US_ENG_FINAL.pdf" TargetMode="External"/><Relationship Id="rId22" Type="http://schemas.openxmlformats.org/officeDocument/2006/relationships/hyperlink" Target="https://www.signify.com/api/assets/v1/file/Signify/content/a5178484faa14b8ca60fad89017b951b/SDS_Selectable_Strip_SpecSheet_US_ENG_FINAL.pdf" TargetMode="External"/><Relationship Id="rId27" Type="http://schemas.openxmlformats.org/officeDocument/2006/relationships/hyperlink" Target="https://www.signify.com/api/assets/v1/file/PhilipsLighting/content/7cb6354db13a4c238afea87f011c97d2/lpl_led_series_linear.pdf" TargetMode="External"/><Relationship Id="rId30" Type="http://schemas.openxmlformats.org/officeDocument/2006/relationships/hyperlink" Target="https://www.signify.com/api/assets/v1/file/PhilipsLighting/content/fc4bb69890d145d8a8cea87f0113805f/tg8_1x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3"/>
  <sheetViews>
    <sheetView tabSelected="1" zoomScale="85" zoomScaleNormal="85" workbookViewId="0">
      <pane xSplit="2" ySplit="2" topLeftCell="AA9" activePane="bottomRight" state="frozen"/>
      <selection pane="topRight" activeCell="C1" sqref="C1"/>
      <selection pane="bottomLeft" activeCell="A3" sqref="A3"/>
      <selection pane="bottomRight" activeCell="AF33" sqref="AF33"/>
    </sheetView>
  </sheetViews>
  <sheetFormatPr defaultRowHeight="14.4" x14ac:dyDescent="0.3"/>
  <cols>
    <col min="1" max="1" width="10" style="4" customWidth="1"/>
    <col min="2" max="2" width="31" style="4" bestFit="1" customWidth="1"/>
    <col min="3" max="3" width="14.6640625" style="4" bestFit="1" customWidth="1"/>
    <col min="4" max="4" width="12.77734375" style="4" bestFit="1" customWidth="1"/>
    <col min="5" max="5" width="12.21875" style="4" bestFit="1" customWidth="1"/>
    <col min="6" max="6" width="13" style="4" bestFit="1" customWidth="1"/>
    <col min="7" max="7" width="18.88671875" style="4" bestFit="1" customWidth="1"/>
    <col min="8" max="8" width="17.21875" style="4" bestFit="1" customWidth="1"/>
    <col min="9" max="9" width="11.6640625" style="4" bestFit="1" customWidth="1"/>
    <col min="10" max="11" width="8.88671875" style="4"/>
    <col min="12" max="12" width="0" style="4" hidden="1" customWidth="1"/>
    <col min="13" max="15" width="8.88671875" style="4"/>
    <col min="16" max="16" width="12.6640625" style="4" hidden="1" customWidth="1"/>
    <col min="17" max="17" width="11.6640625" style="4" hidden="1" customWidth="1"/>
    <col min="18" max="18" width="35.88671875" style="4" customWidth="1"/>
    <col min="19" max="19" width="17.88671875" style="4" customWidth="1"/>
    <col min="20" max="20" width="12" style="4" bestFit="1" customWidth="1"/>
    <col min="21" max="21" width="16.44140625" style="4" bestFit="1" customWidth="1"/>
    <col min="22" max="23" width="45.6640625" style="4" hidden="1" customWidth="1"/>
    <col min="24" max="26" width="14.5546875" style="4" hidden="1" customWidth="1"/>
    <col min="27" max="27" width="25.109375" style="4" bestFit="1" customWidth="1"/>
    <col min="28" max="28" width="21.33203125" style="4" bestFit="1" customWidth="1"/>
    <col min="29" max="29" width="25.5546875" style="4" bestFit="1" customWidth="1"/>
    <col min="30" max="32" width="18.77734375" style="4" customWidth="1"/>
    <col min="33" max="16384" width="8.88671875" style="4"/>
  </cols>
  <sheetData>
    <row r="1" spans="1:32" s="2" customFormat="1" x14ac:dyDescent="0.3">
      <c r="A1" s="31" t="s">
        <v>0</v>
      </c>
      <c r="B1" s="27" t="s">
        <v>25</v>
      </c>
      <c r="C1" s="27" t="s">
        <v>1</v>
      </c>
      <c r="D1" s="27" t="s">
        <v>2</v>
      </c>
      <c r="E1" s="27" t="s">
        <v>3</v>
      </c>
      <c r="F1" s="27" t="s">
        <v>4</v>
      </c>
      <c r="G1" s="27" t="s">
        <v>5</v>
      </c>
      <c r="H1" s="27" t="s">
        <v>6</v>
      </c>
      <c r="I1" s="27" t="s">
        <v>7</v>
      </c>
      <c r="J1" s="27" t="s">
        <v>8</v>
      </c>
      <c r="K1" s="27" t="s">
        <v>9</v>
      </c>
      <c r="L1" s="1"/>
      <c r="M1" s="33" t="s">
        <v>10</v>
      </c>
      <c r="N1" s="33"/>
      <c r="O1" s="33"/>
      <c r="P1" s="33" t="s">
        <v>17</v>
      </c>
      <c r="Q1" s="33"/>
      <c r="R1" s="33"/>
      <c r="S1" s="1" t="s">
        <v>77</v>
      </c>
      <c r="T1" s="25" t="s">
        <v>78</v>
      </c>
      <c r="U1" s="25" t="s">
        <v>99</v>
      </c>
      <c r="V1" s="27" t="s">
        <v>19</v>
      </c>
      <c r="W1" s="27" t="s">
        <v>50</v>
      </c>
      <c r="X1" s="27" t="s">
        <v>20</v>
      </c>
      <c r="Y1" s="27" t="s">
        <v>21</v>
      </c>
      <c r="Z1" s="27" t="s">
        <v>23</v>
      </c>
      <c r="AA1" s="27" t="s">
        <v>79</v>
      </c>
      <c r="AB1" s="27" t="s">
        <v>24</v>
      </c>
      <c r="AC1" s="27" t="s">
        <v>80</v>
      </c>
      <c r="AD1" s="27" t="s">
        <v>81</v>
      </c>
      <c r="AE1" s="29" t="s">
        <v>82</v>
      </c>
      <c r="AF1" s="29" t="s">
        <v>100</v>
      </c>
    </row>
    <row r="2" spans="1:32" s="2" customFormat="1" ht="15" thickBot="1" x14ac:dyDescent="0.35">
      <c r="A2" s="32"/>
      <c r="B2" s="28"/>
      <c r="C2" s="28"/>
      <c r="D2" s="28"/>
      <c r="E2" s="28"/>
      <c r="F2" s="28"/>
      <c r="G2" s="28"/>
      <c r="H2" s="28"/>
      <c r="I2" s="28"/>
      <c r="J2" s="28"/>
      <c r="K2" s="28"/>
      <c r="L2" s="3"/>
      <c r="M2" s="3" t="s">
        <v>12</v>
      </c>
      <c r="N2" s="3" t="s">
        <v>11</v>
      </c>
      <c r="O2" s="3" t="s">
        <v>13</v>
      </c>
      <c r="P2" s="3" t="s">
        <v>15</v>
      </c>
      <c r="Q2" s="3" t="s">
        <v>16</v>
      </c>
      <c r="R2" s="3" t="s">
        <v>14</v>
      </c>
      <c r="S2" s="5">
        <v>10.7639</v>
      </c>
      <c r="T2" s="26"/>
      <c r="U2" s="26"/>
      <c r="V2" s="28"/>
      <c r="W2" s="28"/>
      <c r="X2" s="28"/>
      <c r="Y2" s="28"/>
      <c r="Z2" s="28"/>
      <c r="AA2" s="28"/>
      <c r="AB2" s="28"/>
      <c r="AC2" s="28"/>
      <c r="AD2" s="28"/>
      <c r="AE2" s="30"/>
      <c r="AF2" s="30"/>
    </row>
    <row r="3" spans="1:32" s="2" customFormat="1" ht="15" customHeight="1" x14ac:dyDescent="0.3">
      <c r="A3" s="6">
        <v>1</v>
      </c>
      <c r="B3" s="7" t="s">
        <v>59</v>
      </c>
      <c r="C3" s="7">
        <v>100</v>
      </c>
      <c r="D3" s="8">
        <v>9.84</v>
      </c>
      <c r="E3" s="8">
        <f>F3/D3</f>
        <v>6.2439024390243905</v>
      </c>
      <c r="F3" s="8">
        <v>61.44</v>
      </c>
      <c r="G3" s="7">
        <v>10</v>
      </c>
      <c r="H3" s="7">
        <v>0</v>
      </c>
      <c r="I3" s="7">
        <f t="shared" ref="I3" si="0">G3-H3</f>
        <v>10</v>
      </c>
      <c r="J3" s="7">
        <v>0.85</v>
      </c>
      <c r="K3" s="8">
        <f t="shared" ref="K3" si="1">IF((5*I3*(D3+E3))/(F3) &gt; 10,10,(5*I3*(D3+E3))/(F3))</f>
        <v>10</v>
      </c>
      <c r="L3" s="7">
        <f t="shared" ref="L3" si="2">ROUNDDOWN(K3,0)</f>
        <v>10</v>
      </c>
      <c r="M3" s="7">
        <v>70</v>
      </c>
      <c r="N3" s="7">
        <v>50</v>
      </c>
      <c r="O3" s="7">
        <v>20</v>
      </c>
      <c r="P3" s="7">
        <v>31</v>
      </c>
      <c r="Q3" s="7">
        <v>31</v>
      </c>
      <c r="R3" s="9">
        <f t="shared" ref="R3" si="3">P3 - (P3-Q3)*(K3-L3)</f>
        <v>31</v>
      </c>
      <c r="S3" s="7">
        <v>200</v>
      </c>
      <c r="T3" s="9">
        <f t="shared" ref="T3:T33" si="4">S3/$S$2</f>
        <v>18.580625981289309</v>
      </c>
      <c r="U3" s="9">
        <f t="shared" ref="U3" si="5">(T3*F3*100)/(R3*J3)</f>
        <v>4332.4237582178948</v>
      </c>
      <c r="V3" s="10" t="s">
        <v>60</v>
      </c>
      <c r="W3" s="7">
        <v>83</v>
      </c>
      <c r="X3" s="7">
        <v>21.7</v>
      </c>
      <c r="Y3" s="7" t="s">
        <v>32</v>
      </c>
      <c r="Z3" s="7">
        <v>105.3</v>
      </c>
      <c r="AA3" s="7" t="s">
        <v>98</v>
      </c>
      <c r="AB3" s="7">
        <v>2286</v>
      </c>
      <c r="AC3" s="7">
        <v>2</v>
      </c>
      <c r="AD3" s="7">
        <f>AC3*X3</f>
        <v>43.4</v>
      </c>
      <c r="AE3" s="11">
        <f>AB3*AC3</f>
        <v>4572</v>
      </c>
      <c r="AF3" s="34" t="s">
        <v>101</v>
      </c>
    </row>
    <row r="4" spans="1:32" ht="15" customHeight="1" x14ac:dyDescent="0.3">
      <c r="A4" s="12">
        <v>2</v>
      </c>
      <c r="B4" s="13" t="s">
        <v>26</v>
      </c>
      <c r="C4" s="13">
        <v>101</v>
      </c>
      <c r="D4" s="14">
        <v>21</v>
      </c>
      <c r="E4" s="14">
        <v>16.48</v>
      </c>
      <c r="F4" s="14">
        <f>D4*E4</f>
        <v>346.08</v>
      </c>
      <c r="G4" s="13">
        <v>10</v>
      </c>
      <c r="H4" s="13">
        <v>3</v>
      </c>
      <c r="I4" s="13">
        <f>G4-H4</f>
        <v>7</v>
      </c>
      <c r="J4" s="13">
        <v>0.85</v>
      </c>
      <c r="K4" s="14">
        <f>IF((5*I4*(D4+E4))/(F4) &gt; 10,10,(5*I4*(D4+E4))/(F4))</f>
        <v>3.7904530744336578</v>
      </c>
      <c r="L4" s="13">
        <f>ROUNDDOWN(K4,0)</f>
        <v>3</v>
      </c>
      <c r="M4" s="13">
        <v>80</v>
      </c>
      <c r="N4" s="13">
        <v>70</v>
      </c>
      <c r="O4" s="13">
        <v>20</v>
      </c>
      <c r="P4" s="13">
        <v>90</v>
      </c>
      <c r="Q4" s="13">
        <v>82</v>
      </c>
      <c r="R4" s="15">
        <f>P4 - (P4-Q4)*(K4-L4)</f>
        <v>83.676375404530745</v>
      </c>
      <c r="S4" s="13">
        <v>500</v>
      </c>
      <c r="T4" s="15">
        <f t="shared" si="4"/>
        <v>46.451564953223276</v>
      </c>
      <c r="U4" s="15">
        <f>(T4*F4*100)/(R4*J4)</f>
        <v>22602.426552920049</v>
      </c>
      <c r="V4" s="13" t="s">
        <v>18</v>
      </c>
      <c r="W4" s="13" t="s">
        <v>73</v>
      </c>
      <c r="X4" s="13">
        <v>37</v>
      </c>
      <c r="Y4" s="13" t="s">
        <v>22</v>
      </c>
      <c r="Z4" s="13">
        <v>107</v>
      </c>
      <c r="AA4" s="13" t="s">
        <v>84</v>
      </c>
      <c r="AB4" s="13">
        <v>4006</v>
      </c>
      <c r="AC4" s="13">
        <v>6</v>
      </c>
      <c r="AD4" s="7">
        <f t="shared" ref="AD4:AD30" si="6">AC4*X4</f>
        <v>222</v>
      </c>
      <c r="AE4" s="16">
        <f>AB4*AC4</f>
        <v>24036</v>
      </c>
      <c r="AF4" s="34" t="s">
        <v>101</v>
      </c>
    </row>
    <row r="5" spans="1:32" ht="15" customHeight="1" x14ac:dyDescent="0.3">
      <c r="A5" s="6">
        <v>3</v>
      </c>
      <c r="B5" s="13" t="s">
        <v>71</v>
      </c>
      <c r="C5" s="13">
        <v>102</v>
      </c>
      <c r="D5" s="14">
        <f>5</f>
        <v>5</v>
      </c>
      <c r="E5" s="14">
        <f>F5/5</f>
        <v>5.5039999999999996</v>
      </c>
      <c r="F5" s="14">
        <v>27.52</v>
      </c>
      <c r="G5" s="13">
        <v>8</v>
      </c>
      <c r="H5" s="13">
        <v>0</v>
      </c>
      <c r="I5" s="13">
        <v>8</v>
      </c>
      <c r="J5" s="13">
        <v>0.85</v>
      </c>
      <c r="K5" s="14">
        <f>IF((5*I5*(D5+E5))/(F5) &gt; 10,10,(5*I5*(D5+E5))/(F5))</f>
        <v>10</v>
      </c>
      <c r="L5" s="13"/>
      <c r="M5" s="13">
        <v>50</v>
      </c>
      <c r="N5" s="13">
        <v>50</v>
      </c>
      <c r="O5" s="13">
        <v>20</v>
      </c>
      <c r="P5" s="13">
        <v>35</v>
      </c>
      <c r="Q5" s="13">
        <v>35</v>
      </c>
      <c r="R5" s="15">
        <f>P5 - (P5-Q5)*(K5-L5)</f>
        <v>35</v>
      </c>
      <c r="S5" s="13">
        <v>108</v>
      </c>
      <c r="T5" s="15">
        <f t="shared" si="4"/>
        <v>10.033538029896228</v>
      </c>
      <c r="U5" s="15">
        <f>(T5*F5*100)/(R5*J5)</f>
        <v>928.1444254882158</v>
      </c>
      <c r="V5" s="13" t="s">
        <v>38</v>
      </c>
      <c r="W5" s="13">
        <v>80</v>
      </c>
      <c r="X5" s="13">
        <v>11</v>
      </c>
      <c r="Y5" s="13" t="s">
        <v>22</v>
      </c>
      <c r="Z5" s="13">
        <v>119.1</v>
      </c>
      <c r="AA5" s="13" t="s">
        <v>83</v>
      </c>
      <c r="AB5" s="13">
        <v>1310</v>
      </c>
      <c r="AC5" s="13">
        <v>1</v>
      </c>
      <c r="AD5" s="7">
        <f t="shared" si="6"/>
        <v>11</v>
      </c>
      <c r="AE5" s="16">
        <f>AB5*AC5</f>
        <v>1310</v>
      </c>
      <c r="AF5" s="34" t="s">
        <v>101</v>
      </c>
    </row>
    <row r="6" spans="1:32" ht="15" customHeight="1" x14ac:dyDescent="0.3">
      <c r="A6" s="12">
        <v>4</v>
      </c>
      <c r="B6" s="13" t="s">
        <v>26</v>
      </c>
      <c r="C6" s="13">
        <v>121</v>
      </c>
      <c r="D6" s="14">
        <v>21</v>
      </c>
      <c r="E6" s="14">
        <v>16.48</v>
      </c>
      <c r="F6" s="14">
        <f>D6*E6</f>
        <v>346.08</v>
      </c>
      <c r="G6" s="13">
        <v>10</v>
      </c>
      <c r="H6" s="13">
        <v>3</v>
      </c>
      <c r="I6" s="13">
        <f>G6-H6</f>
        <v>7</v>
      </c>
      <c r="J6" s="13">
        <v>0.85</v>
      </c>
      <c r="K6" s="14">
        <f>IF((5*I6*(D6+E6))/(F6) &gt; 10,10,(5*I6*(D6+E6))/(F6))</f>
        <v>3.7904530744336578</v>
      </c>
      <c r="L6" s="13">
        <f>ROUNDDOWN(K6,0)</f>
        <v>3</v>
      </c>
      <c r="M6" s="13">
        <v>80</v>
      </c>
      <c r="N6" s="13">
        <v>70</v>
      </c>
      <c r="O6" s="13">
        <v>20</v>
      </c>
      <c r="P6" s="13">
        <v>90</v>
      </c>
      <c r="Q6" s="13">
        <v>82</v>
      </c>
      <c r="R6" s="15">
        <f>P6 - (P6-Q6)*(K6-L6)</f>
        <v>83.676375404530745</v>
      </c>
      <c r="S6" s="13">
        <v>500</v>
      </c>
      <c r="T6" s="15">
        <f t="shared" si="4"/>
        <v>46.451564953223276</v>
      </c>
      <c r="U6" s="15">
        <f>(T6*F6*100)/(R6*J6)</f>
        <v>22602.426552920049</v>
      </c>
      <c r="V6" s="13" t="s">
        <v>18</v>
      </c>
      <c r="W6" s="13" t="s">
        <v>73</v>
      </c>
      <c r="X6" s="13">
        <v>37</v>
      </c>
      <c r="Y6" s="13" t="s">
        <v>22</v>
      </c>
      <c r="Z6" s="13">
        <v>108</v>
      </c>
      <c r="AA6" s="13" t="s">
        <v>84</v>
      </c>
      <c r="AB6" s="13">
        <v>4006</v>
      </c>
      <c r="AC6" s="13">
        <v>6</v>
      </c>
      <c r="AD6" s="7">
        <f t="shared" si="6"/>
        <v>222</v>
      </c>
      <c r="AE6" s="16">
        <f>AB6*AC6</f>
        <v>24036</v>
      </c>
      <c r="AF6" s="34" t="s">
        <v>101</v>
      </c>
    </row>
    <row r="7" spans="1:32" ht="15" customHeight="1" x14ac:dyDescent="0.3">
      <c r="A7" s="6">
        <v>5</v>
      </c>
      <c r="B7" s="13" t="s">
        <v>27</v>
      </c>
      <c r="C7" s="13">
        <v>109</v>
      </c>
      <c r="D7" s="14">
        <v>100.8</v>
      </c>
      <c r="E7" s="14">
        <v>11.11</v>
      </c>
      <c r="F7" s="14">
        <f t="shared" ref="F7" si="7">D7*E7</f>
        <v>1119.8879999999999</v>
      </c>
      <c r="G7" s="13">
        <v>12</v>
      </c>
      <c r="H7" s="13">
        <v>0</v>
      </c>
      <c r="I7" s="13">
        <f t="shared" ref="I7:I33" si="8">G7-H7</f>
        <v>12</v>
      </c>
      <c r="J7" s="13">
        <v>0.85</v>
      </c>
      <c r="K7" s="14">
        <f t="shared" ref="K7:K33" si="9">IF((5*I7*(D7+E7))/(F7) &gt; 10,10,(5*I7*(D7+E7))/(F7))</f>
        <v>5.9957781492434954</v>
      </c>
      <c r="L7" s="13">
        <f t="shared" ref="L7:L33" si="10">ROUNDDOWN(K7,0)</f>
        <v>5</v>
      </c>
      <c r="M7" s="13">
        <v>80</v>
      </c>
      <c r="N7" s="13">
        <v>70</v>
      </c>
      <c r="O7" s="13">
        <v>20</v>
      </c>
      <c r="P7" s="13">
        <v>58</v>
      </c>
      <c r="Q7" s="13">
        <v>54</v>
      </c>
      <c r="R7" s="15">
        <f t="shared" ref="R7:R33" si="11">P7 - (P7-Q7)*(K7-L7)</f>
        <v>54.016887403026018</v>
      </c>
      <c r="S7" s="13">
        <v>215</v>
      </c>
      <c r="T7" s="15">
        <f t="shared" si="4"/>
        <v>19.974172929886009</v>
      </c>
      <c r="U7" s="15">
        <f t="shared" ref="U7:U33" si="12">(T7*F7*100)/(R7*J7)</f>
        <v>48718.612988798894</v>
      </c>
      <c r="V7" s="13" t="s">
        <v>28</v>
      </c>
      <c r="W7" s="13"/>
      <c r="X7" s="13">
        <v>56</v>
      </c>
      <c r="Y7" s="13" t="s">
        <v>29</v>
      </c>
      <c r="Z7" s="13">
        <v>110.71</v>
      </c>
      <c r="AA7" s="13" t="s">
        <v>85</v>
      </c>
      <c r="AB7" s="13">
        <v>6200</v>
      </c>
      <c r="AC7" s="13">
        <v>8</v>
      </c>
      <c r="AD7" s="7">
        <f t="shared" si="6"/>
        <v>448</v>
      </c>
      <c r="AE7" s="16">
        <f>AB7*AC7</f>
        <v>49600</v>
      </c>
      <c r="AF7" s="34" t="s">
        <v>101</v>
      </c>
    </row>
    <row r="8" spans="1:32" ht="15" customHeight="1" x14ac:dyDescent="0.3">
      <c r="A8" s="12">
        <v>6</v>
      </c>
      <c r="B8" s="13" t="s">
        <v>30</v>
      </c>
      <c r="C8" s="13">
        <v>103</v>
      </c>
      <c r="D8" s="14">
        <f>F8/E8</f>
        <v>14.129230769230769</v>
      </c>
      <c r="E8" s="14">
        <v>13</v>
      </c>
      <c r="F8" s="14">
        <v>183.68</v>
      </c>
      <c r="G8" s="13">
        <v>8</v>
      </c>
      <c r="H8" s="13">
        <v>0</v>
      </c>
      <c r="I8" s="13">
        <f t="shared" si="8"/>
        <v>8</v>
      </c>
      <c r="J8" s="13">
        <v>0.85</v>
      </c>
      <c r="K8" s="14">
        <f t="shared" si="9"/>
        <v>5.9079335298847493</v>
      </c>
      <c r="L8" s="13"/>
      <c r="M8" s="13">
        <v>80</v>
      </c>
      <c r="N8" s="13">
        <v>70</v>
      </c>
      <c r="O8" s="13">
        <v>20</v>
      </c>
      <c r="P8" s="13">
        <v>57</v>
      </c>
      <c r="Q8" s="13">
        <v>54</v>
      </c>
      <c r="R8" s="15">
        <f t="shared" si="11"/>
        <v>39.276199410345754</v>
      </c>
      <c r="S8" s="13">
        <v>200</v>
      </c>
      <c r="T8" s="15">
        <f t="shared" si="4"/>
        <v>18.580625981289309</v>
      </c>
      <c r="U8" s="15">
        <f t="shared" si="12"/>
        <v>10222.893347718096</v>
      </c>
      <c r="V8" s="13" t="s">
        <v>31</v>
      </c>
      <c r="W8" s="13"/>
      <c r="X8" s="13">
        <v>31</v>
      </c>
      <c r="Y8" s="13" t="s">
        <v>32</v>
      </c>
      <c r="Z8" s="13">
        <v>129</v>
      </c>
      <c r="AA8" s="13" t="s">
        <v>86</v>
      </c>
      <c r="AB8" s="13">
        <v>2081</v>
      </c>
      <c r="AC8" s="13">
        <v>5</v>
      </c>
      <c r="AD8" s="7">
        <f t="shared" si="6"/>
        <v>155</v>
      </c>
      <c r="AE8" s="16">
        <f>AB8*AC8</f>
        <v>10405</v>
      </c>
      <c r="AF8" s="34" t="s">
        <v>101</v>
      </c>
    </row>
    <row r="9" spans="1:32" ht="15" customHeight="1" x14ac:dyDescent="0.3">
      <c r="A9" s="6">
        <v>7</v>
      </c>
      <c r="B9" s="13" t="s">
        <v>33</v>
      </c>
      <c r="C9" s="13">
        <v>104</v>
      </c>
      <c r="D9" s="14">
        <f>F9/E9</f>
        <v>10.414545454545454</v>
      </c>
      <c r="E9" s="14">
        <v>11</v>
      </c>
      <c r="F9" s="14">
        <v>114.56</v>
      </c>
      <c r="G9" s="13">
        <v>8</v>
      </c>
      <c r="H9" s="13">
        <v>0</v>
      </c>
      <c r="I9" s="13">
        <f t="shared" si="8"/>
        <v>8</v>
      </c>
      <c r="J9" s="13">
        <v>0.85</v>
      </c>
      <c r="K9" s="14">
        <f t="shared" si="9"/>
        <v>7.4771457592686632</v>
      </c>
      <c r="L9" s="13"/>
      <c r="M9" s="13">
        <v>80</v>
      </c>
      <c r="N9" s="13">
        <v>70</v>
      </c>
      <c r="O9" s="13">
        <v>20</v>
      </c>
      <c r="P9" s="13">
        <v>57</v>
      </c>
      <c r="Q9" s="13">
        <v>54</v>
      </c>
      <c r="R9" s="15">
        <f t="shared" si="11"/>
        <v>34.568562722194009</v>
      </c>
      <c r="S9" s="13">
        <v>200</v>
      </c>
      <c r="T9" s="15">
        <f t="shared" si="4"/>
        <v>18.580625981289309</v>
      </c>
      <c r="U9" s="15">
        <f t="shared" si="12"/>
        <v>7244.2444633963642</v>
      </c>
      <c r="V9" s="13" t="s">
        <v>31</v>
      </c>
      <c r="W9" s="13"/>
      <c r="X9" s="13">
        <v>31</v>
      </c>
      <c r="Y9" s="13" t="s">
        <v>32</v>
      </c>
      <c r="Z9" s="13">
        <v>129</v>
      </c>
      <c r="AA9" s="13" t="s">
        <v>86</v>
      </c>
      <c r="AB9" s="13">
        <v>2081</v>
      </c>
      <c r="AC9" s="13">
        <v>4</v>
      </c>
      <c r="AD9" s="7">
        <f t="shared" si="6"/>
        <v>124</v>
      </c>
      <c r="AE9" s="16">
        <f>AB9*AC9</f>
        <v>8324</v>
      </c>
      <c r="AF9" s="34" t="s">
        <v>101</v>
      </c>
    </row>
    <row r="10" spans="1:32" ht="15" customHeight="1" x14ac:dyDescent="0.3">
      <c r="A10" s="12">
        <v>8</v>
      </c>
      <c r="B10" s="13" t="s">
        <v>34</v>
      </c>
      <c r="C10" s="13">
        <v>105</v>
      </c>
      <c r="D10" s="14">
        <f>F10/E10</f>
        <v>6.72</v>
      </c>
      <c r="E10" s="14">
        <v>6</v>
      </c>
      <c r="F10" s="14">
        <v>40.32</v>
      </c>
      <c r="G10" s="13">
        <v>8</v>
      </c>
      <c r="H10" s="13">
        <v>0</v>
      </c>
      <c r="I10" s="13">
        <f t="shared" si="8"/>
        <v>8</v>
      </c>
      <c r="J10" s="13">
        <v>0.85</v>
      </c>
      <c r="K10" s="14">
        <f t="shared" si="9"/>
        <v>10</v>
      </c>
      <c r="L10" s="13">
        <f t="shared" si="10"/>
        <v>10</v>
      </c>
      <c r="M10" s="13">
        <v>80</v>
      </c>
      <c r="N10" s="13">
        <v>70</v>
      </c>
      <c r="O10" s="13">
        <v>20</v>
      </c>
      <c r="P10" s="13">
        <v>57</v>
      </c>
      <c r="Q10" s="13">
        <v>54</v>
      </c>
      <c r="R10" s="15">
        <f t="shared" si="11"/>
        <v>57</v>
      </c>
      <c r="S10" s="13">
        <v>200</v>
      </c>
      <c r="T10" s="15">
        <f t="shared" si="4"/>
        <v>18.580625981289309</v>
      </c>
      <c r="U10" s="15">
        <f t="shared" si="12"/>
        <v>1546.2762426534262</v>
      </c>
      <c r="V10" s="13" t="s">
        <v>31</v>
      </c>
      <c r="W10" s="13"/>
      <c r="X10" s="13">
        <v>31</v>
      </c>
      <c r="Y10" s="13" t="s">
        <v>32</v>
      </c>
      <c r="Z10" s="13">
        <v>129</v>
      </c>
      <c r="AA10" s="13" t="s">
        <v>86</v>
      </c>
      <c r="AB10" s="13">
        <v>2081</v>
      </c>
      <c r="AC10" s="13">
        <v>1</v>
      </c>
      <c r="AD10" s="7">
        <f t="shared" si="6"/>
        <v>31</v>
      </c>
      <c r="AE10" s="16">
        <f>AB10*AC10</f>
        <v>2081</v>
      </c>
      <c r="AF10" s="34" t="s">
        <v>101</v>
      </c>
    </row>
    <row r="11" spans="1:32" ht="15" customHeight="1" x14ac:dyDescent="0.3">
      <c r="A11" s="6">
        <v>9</v>
      </c>
      <c r="B11" s="13" t="s">
        <v>35</v>
      </c>
      <c r="C11" s="13">
        <v>106</v>
      </c>
      <c r="D11" s="14">
        <f>F11/E11</f>
        <v>7.8</v>
      </c>
      <c r="E11" s="14">
        <f>0.4*8</f>
        <v>3.2</v>
      </c>
      <c r="F11" s="14">
        <v>24.96</v>
      </c>
      <c r="G11" s="13">
        <v>10</v>
      </c>
      <c r="H11" s="13">
        <v>0</v>
      </c>
      <c r="I11" s="13">
        <f t="shared" si="8"/>
        <v>10</v>
      </c>
      <c r="J11" s="13">
        <v>0.85</v>
      </c>
      <c r="K11" s="14">
        <f t="shared" si="9"/>
        <v>10</v>
      </c>
      <c r="L11" s="13">
        <f t="shared" si="10"/>
        <v>10</v>
      </c>
      <c r="M11" s="13">
        <v>70</v>
      </c>
      <c r="N11" s="13">
        <v>50</v>
      </c>
      <c r="O11" s="13">
        <v>20</v>
      </c>
      <c r="P11" s="13">
        <v>57</v>
      </c>
      <c r="Q11" s="13">
        <v>54</v>
      </c>
      <c r="R11" s="15">
        <f t="shared" si="11"/>
        <v>57</v>
      </c>
      <c r="S11" s="13">
        <v>250</v>
      </c>
      <c r="T11" s="15">
        <f t="shared" si="4"/>
        <v>23.225782476611638</v>
      </c>
      <c r="U11" s="15">
        <f t="shared" si="12"/>
        <v>1196.5232830056275</v>
      </c>
      <c r="V11" s="13" t="s">
        <v>36</v>
      </c>
      <c r="W11" s="13">
        <v>90</v>
      </c>
      <c r="X11" s="13">
        <v>14.7</v>
      </c>
      <c r="Y11" s="13" t="s">
        <v>22</v>
      </c>
      <c r="Z11" s="13">
        <f>1500/14.7</f>
        <v>102.04081632653062</v>
      </c>
      <c r="AA11" s="13" t="s">
        <v>87</v>
      </c>
      <c r="AB11" s="13">
        <v>1500</v>
      </c>
      <c r="AC11" s="13">
        <v>1</v>
      </c>
      <c r="AD11" s="7">
        <f t="shared" si="6"/>
        <v>14.7</v>
      </c>
      <c r="AE11" s="16">
        <f>AB11*AC11</f>
        <v>1500</v>
      </c>
      <c r="AF11" s="34" t="s">
        <v>101</v>
      </c>
    </row>
    <row r="12" spans="1:32" ht="15" customHeight="1" x14ac:dyDescent="0.3">
      <c r="A12" s="12">
        <v>10</v>
      </c>
      <c r="B12" s="13" t="s">
        <v>37</v>
      </c>
      <c r="C12" s="13">
        <v>107</v>
      </c>
      <c r="D12" s="14">
        <f>0.66*8</f>
        <v>5.28</v>
      </c>
      <c r="E12" s="14">
        <f>0.37*8</f>
        <v>2.96</v>
      </c>
      <c r="F12" s="14">
        <f>D12*E12</f>
        <v>15.6288</v>
      </c>
      <c r="G12" s="13">
        <v>8</v>
      </c>
      <c r="H12" s="13">
        <v>0</v>
      </c>
      <c r="I12" s="13">
        <f t="shared" si="8"/>
        <v>8</v>
      </c>
      <c r="J12" s="13">
        <v>0.85</v>
      </c>
      <c r="K12" s="14">
        <f t="shared" si="9"/>
        <v>10</v>
      </c>
      <c r="L12" s="13">
        <f t="shared" si="10"/>
        <v>10</v>
      </c>
      <c r="M12" s="13">
        <v>70</v>
      </c>
      <c r="N12" s="13">
        <v>50</v>
      </c>
      <c r="O12" s="13">
        <v>20</v>
      </c>
      <c r="P12" s="13">
        <v>35</v>
      </c>
      <c r="Q12" s="13">
        <v>35</v>
      </c>
      <c r="R12" s="15">
        <f t="shared" si="11"/>
        <v>35</v>
      </c>
      <c r="S12" s="13">
        <v>108</v>
      </c>
      <c r="T12" s="15">
        <f t="shared" si="4"/>
        <v>10.033538029896228</v>
      </c>
      <c r="U12" s="15">
        <f t="shared" si="12"/>
        <v>527.0996946609821</v>
      </c>
      <c r="V12" s="13" t="s">
        <v>38</v>
      </c>
      <c r="W12" s="13">
        <v>80</v>
      </c>
      <c r="X12" s="13">
        <v>11</v>
      </c>
      <c r="Y12" s="13" t="s">
        <v>22</v>
      </c>
      <c r="Z12" s="13">
        <v>119.1</v>
      </c>
      <c r="AA12" s="13" t="s">
        <v>83</v>
      </c>
      <c r="AB12" s="13">
        <v>1310</v>
      </c>
      <c r="AC12" s="13">
        <v>1</v>
      </c>
      <c r="AD12" s="7">
        <f t="shared" si="6"/>
        <v>11</v>
      </c>
      <c r="AE12" s="16">
        <f>AB12*AC12</f>
        <v>1310</v>
      </c>
      <c r="AF12" s="34" t="s">
        <v>101</v>
      </c>
    </row>
    <row r="13" spans="1:32" ht="15" customHeight="1" x14ac:dyDescent="0.3">
      <c r="A13" s="6">
        <v>11</v>
      </c>
      <c r="B13" s="13" t="s">
        <v>39</v>
      </c>
      <c r="C13" s="13">
        <v>108</v>
      </c>
      <c r="D13" s="14">
        <f>F13/E13</f>
        <v>21.443965517241381</v>
      </c>
      <c r="E13" s="14">
        <f>2.32*8</f>
        <v>18.559999999999999</v>
      </c>
      <c r="F13" s="14">
        <v>398</v>
      </c>
      <c r="G13" s="13">
        <v>10</v>
      </c>
      <c r="H13" s="13">
        <v>4</v>
      </c>
      <c r="I13" s="13">
        <f t="shared" si="8"/>
        <v>6</v>
      </c>
      <c r="J13" s="13">
        <v>0.85</v>
      </c>
      <c r="K13" s="14">
        <f t="shared" si="9"/>
        <v>3.0153742852191998</v>
      </c>
      <c r="L13" s="13">
        <f t="shared" si="10"/>
        <v>3</v>
      </c>
      <c r="M13" s="13">
        <v>70</v>
      </c>
      <c r="N13" s="13">
        <v>50</v>
      </c>
      <c r="O13" s="13">
        <v>20</v>
      </c>
      <c r="P13" s="13">
        <v>73</v>
      </c>
      <c r="Q13" s="13">
        <v>65</v>
      </c>
      <c r="R13" s="15">
        <f t="shared" si="11"/>
        <v>72.877005718246409</v>
      </c>
      <c r="S13" s="13">
        <v>325</v>
      </c>
      <c r="T13" s="15">
        <f t="shared" si="4"/>
        <v>30.19351721959513</v>
      </c>
      <c r="U13" s="15">
        <f t="shared" si="12"/>
        <v>19399.356870425981</v>
      </c>
      <c r="V13" s="13" t="s">
        <v>40</v>
      </c>
      <c r="W13" s="13"/>
      <c r="X13" s="13">
        <v>53</v>
      </c>
      <c r="Y13" s="13" t="s">
        <v>22</v>
      </c>
      <c r="Z13" s="13">
        <v>148</v>
      </c>
      <c r="AA13" s="13" t="s">
        <v>88</v>
      </c>
      <c r="AB13" s="13">
        <v>7000</v>
      </c>
      <c r="AC13" s="13">
        <v>3</v>
      </c>
      <c r="AD13" s="7">
        <f t="shared" si="6"/>
        <v>159</v>
      </c>
      <c r="AE13" s="16">
        <f>AB13*AC13</f>
        <v>21000</v>
      </c>
      <c r="AF13" s="34" t="s">
        <v>101</v>
      </c>
    </row>
    <row r="14" spans="1:32" ht="15" customHeight="1" x14ac:dyDescent="0.3">
      <c r="A14" s="12">
        <v>12</v>
      </c>
      <c r="B14" s="13" t="s">
        <v>41</v>
      </c>
      <c r="C14" s="13">
        <v>110</v>
      </c>
      <c r="D14" s="14">
        <f>6.05*8</f>
        <v>48.4</v>
      </c>
      <c r="E14" s="14">
        <f>3.025*8</f>
        <v>24.2</v>
      </c>
      <c r="F14" s="14">
        <f>D14*E14</f>
        <v>1171.28</v>
      </c>
      <c r="G14" s="13">
        <v>10</v>
      </c>
      <c r="H14" s="13">
        <v>0</v>
      </c>
      <c r="I14" s="13">
        <f t="shared" si="8"/>
        <v>10</v>
      </c>
      <c r="J14" s="13">
        <v>0.85</v>
      </c>
      <c r="K14" s="14">
        <f t="shared" si="9"/>
        <v>3.0991735537190079</v>
      </c>
      <c r="L14" s="13">
        <f t="shared" si="10"/>
        <v>3</v>
      </c>
      <c r="M14" s="13">
        <v>80</v>
      </c>
      <c r="N14" s="13">
        <v>50</v>
      </c>
      <c r="O14" s="13">
        <v>20</v>
      </c>
      <c r="P14" s="13">
        <v>93</v>
      </c>
      <c r="Q14" s="13">
        <v>86</v>
      </c>
      <c r="R14" s="15">
        <f t="shared" si="11"/>
        <v>92.305785123966942</v>
      </c>
      <c r="S14" s="13">
        <v>215</v>
      </c>
      <c r="T14" s="15">
        <f t="shared" si="4"/>
        <v>19.974172929886009</v>
      </c>
      <c r="U14" s="15">
        <f t="shared" si="12"/>
        <v>29818.218088799811</v>
      </c>
      <c r="V14" s="17" t="s">
        <v>43</v>
      </c>
      <c r="W14" s="17"/>
      <c r="X14" s="13">
        <v>32.5</v>
      </c>
      <c r="Y14" s="13" t="s">
        <v>42</v>
      </c>
      <c r="Z14" s="13">
        <v>53.7</v>
      </c>
      <c r="AA14" s="13" t="s">
        <v>89</v>
      </c>
      <c r="AB14" s="13">
        <v>1781</v>
      </c>
      <c r="AC14" s="13">
        <v>18</v>
      </c>
      <c r="AD14" s="7">
        <f t="shared" si="6"/>
        <v>585</v>
      </c>
      <c r="AE14" s="16">
        <f>AB14*AC14</f>
        <v>32058</v>
      </c>
      <c r="AF14" s="34" t="s">
        <v>101</v>
      </c>
    </row>
    <row r="15" spans="1:32" ht="15" customHeight="1" x14ac:dyDescent="0.3">
      <c r="A15" s="6">
        <v>13</v>
      </c>
      <c r="B15" s="13" t="s">
        <v>76</v>
      </c>
      <c r="C15" s="13">
        <v>111</v>
      </c>
      <c r="D15" s="14">
        <f>0.9*8</f>
        <v>7.2</v>
      </c>
      <c r="E15" s="14">
        <f>0.74*8</f>
        <v>5.92</v>
      </c>
      <c r="F15" s="14">
        <f>E15*D15</f>
        <v>42.624000000000002</v>
      </c>
      <c r="G15" s="13">
        <v>12</v>
      </c>
      <c r="H15" s="13">
        <v>0</v>
      </c>
      <c r="I15" s="13">
        <f t="shared" si="8"/>
        <v>12</v>
      </c>
      <c r="J15" s="13">
        <v>0.85</v>
      </c>
      <c r="K15" s="14">
        <f t="shared" si="9"/>
        <v>10</v>
      </c>
      <c r="L15" s="13">
        <f t="shared" si="10"/>
        <v>10</v>
      </c>
      <c r="M15" s="13">
        <v>80</v>
      </c>
      <c r="N15" s="13">
        <v>70</v>
      </c>
      <c r="O15" s="13">
        <v>20</v>
      </c>
      <c r="P15" s="13">
        <v>50</v>
      </c>
      <c r="Q15" s="13">
        <v>50</v>
      </c>
      <c r="R15" s="15">
        <f t="shared" ref="R15" si="13">P15 - (P15-Q15)*(K15-L15)</f>
        <v>50</v>
      </c>
      <c r="S15" s="13">
        <v>108</v>
      </c>
      <c r="T15" s="15">
        <f t="shared" si="4"/>
        <v>10.033538029896228</v>
      </c>
      <c r="U15" s="15">
        <f t="shared" si="12"/>
        <v>1006.2812352618748</v>
      </c>
      <c r="V15" s="13" t="s">
        <v>38</v>
      </c>
      <c r="W15" s="13">
        <v>80</v>
      </c>
      <c r="X15" s="13">
        <v>11</v>
      </c>
      <c r="Y15" s="13" t="s">
        <v>22</v>
      </c>
      <c r="Z15" s="13">
        <v>119.1</v>
      </c>
      <c r="AA15" s="13" t="s">
        <v>83</v>
      </c>
      <c r="AB15" s="13">
        <v>1310</v>
      </c>
      <c r="AC15" s="13">
        <v>1</v>
      </c>
      <c r="AD15" s="7">
        <f t="shared" si="6"/>
        <v>11</v>
      </c>
      <c r="AE15" s="16">
        <f>AB15*AC15</f>
        <v>1310</v>
      </c>
      <c r="AF15" s="34" t="s">
        <v>101</v>
      </c>
    </row>
    <row r="16" spans="1:32" ht="15" customHeight="1" x14ac:dyDescent="0.3">
      <c r="A16" s="12">
        <v>14</v>
      </c>
      <c r="B16" s="13" t="s">
        <v>45</v>
      </c>
      <c r="C16" s="13">
        <v>111</v>
      </c>
      <c r="D16" s="14">
        <f>0.875*8</f>
        <v>7</v>
      </c>
      <c r="E16" s="14">
        <f>F16/D16</f>
        <v>6.765714285714286</v>
      </c>
      <c r="F16" s="14">
        <f>0.74*64</f>
        <v>47.36</v>
      </c>
      <c r="G16" s="13">
        <v>12</v>
      </c>
      <c r="H16" s="13">
        <v>0</v>
      </c>
      <c r="I16" s="13">
        <f t="shared" ref="I16" si="14">G16-H16</f>
        <v>12</v>
      </c>
      <c r="J16" s="13">
        <v>0.85</v>
      </c>
      <c r="K16" s="14">
        <f t="shared" ref="K16" si="15">IF((5*I16*(D16+E16))/(F16) &gt; 10,10,(5*I16*(D16+E16))/(F16))</f>
        <v>10</v>
      </c>
      <c r="L16" s="13">
        <f t="shared" si="10"/>
        <v>10</v>
      </c>
      <c r="M16" s="13">
        <v>80</v>
      </c>
      <c r="N16" s="13">
        <v>70</v>
      </c>
      <c r="O16" s="13">
        <v>20</v>
      </c>
      <c r="P16" s="13">
        <v>50</v>
      </c>
      <c r="Q16" s="13">
        <v>50</v>
      </c>
      <c r="R16" s="15">
        <f t="shared" ref="R16" si="16">P16 - (P16-Q16)*(K16-L16)</f>
        <v>50</v>
      </c>
      <c r="S16" s="13">
        <v>108</v>
      </c>
      <c r="T16" s="15">
        <f t="shared" si="4"/>
        <v>10.033538029896228</v>
      </c>
      <c r="U16" s="15">
        <f t="shared" ref="U16" si="17">(T16*F16*100)/(R16*J16)</f>
        <v>1118.0902614020831</v>
      </c>
      <c r="V16" s="13" t="s">
        <v>38</v>
      </c>
      <c r="W16" s="13">
        <v>80</v>
      </c>
      <c r="X16" s="13">
        <v>11</v>
      </c>
      <c r="Y16" s="13" t="s">
        <v>22</v>
      </c>
      <c r="Z16" s="13">
        <v>119.1</v>
      </c>
      <c r="AA16" s="13" t="s">
        <v>83</v>
      </c>
      <c r="AB16" s="13">
        <v>1310</v>
      </c>
      <c r="AC16" s="13">
        <v>1</v>
      </c>
      <c r="AD16" s="7">
        <f t="shared" si="6"/>
        <v>11</v>
      </c>
      <c r="AE16" s="16">
        <f>AB16*AC16</f>
        <v>1310</v>
      </c>
      <c r="AF16" s="34" t="s">
        <v>101</v>
      </c>
    </row>
    <row r="17" spans="1:32" ht="15" customHeight="1" x14ac:dyDescent="0.3">
      <c r="A17" s="6">
        <v>15</v>
      </c>
      <c r="B17" s="13" t="s">
        <v>44</v>
      </c>
      <c r="C17" s="13">
        <v>114</v>
      </c>
      <c r="D17" s="14">
        <f>0.57*8</f>
        <v>4.5599999999999996</v>
      </c>
      <c r="E17" s="14">
        <f>0.48*8</f>
        <v>3.84</v>
      </c>
      <c r="F17" s="14">
        <f>E17*D17</f>
        <v>17.510399999999997</v>
      </c>
      <c r="G17" s="13">
        <v>8</v>
      </c>
      <c r="H17" s="13">
        <v>0</v>
      </c>
      <c r="I17" s="13">
        <f t="shared" si="8"/>
        <v>8</v>
      </c>
      <c r="J17" s="13">
        <v>0.85</v>
      </c>
      <c r="K17" s="14">
        <f t="shared" si="9"/>
        <v>10</v>
      </c>
      <c r="L17" s="13">
        <f t="shared" si="10"/>
        <v>10</v>
      </c>
      <c r="M17" s="13">
        <v>50</v>
      </c>
      <c r="N17" s="13">
        <v>50</v>
      </c>
      <c r="O17" s="13">
        <v>20</v>
      </c>
      <c r="P17" s="13">
        <v>35</v>
      </c>
      <c r="Q17" s="13">
        <v>35</v>
      </c>
      <c r="R17" s="15">
        <f t="shared" si="11"/>
        <v>35</v>
      </c>
      <c r="S17" s="13">
        <v>108</v>
      </c>
      <c r="T17" s="15">
        <f t="shared" si="4"/>
        <v>10.033538029896228</v>
      </c>
      <c r="U17" s="15">
        <f t="shared" si="12"/>
        <v>590.55887165947865</v>
      </c>
      <c r="V17" s="13" t="s">
        <v>38</v>
      </c>
      <c r="W17" s="13">
        <v>80</v>
      </c>
      <c r="X17" s="13">
        <v>11</v>
      </c>
      <c r="Y17" s="13" t="s">
        <v>22</v>
      </c>
      <c r="Z17" s="13">
        <v>119.1</v>
      </c>
      <c r="AA17" s="13" t="s">
        <v>83</v>
      </c>
      <c r="AB17" s="13">
        <v>1310</v>
      </c>
      <c r="AC17" s="13">
        <v>1</v>
      </c>
      <c r="AD17" s="7">
        <f t="shared" si="6"/>
        <v>11</v>
      </c>
      <c r="AE17" s="16">
        <f>AB17*AC17</f>
        <v>1310</v>
      </c>
      <c r="AF17" s="34" t="s">
        <v>101</v>
      </c>
    </row>
    <row r="18" spans="1:32" ht="15" customHeight="1" x14ac:dyDescent="0.3">
      <c r="A18" s="12">
        <v>16</v>
      </c>
      <c r="B18" s="13" t="s">
        <v>46</v>
      </c>
      <c r="C18" s="13">
        <v>112</v>
      </c>
      <c r="D18" s="14">
        <f>2.09*8</f>
        <v>16.72</v>
      </c>
      <c r="E18" s="14">
        <f>0.71*8</f>
        <v>5.68</v>
      </c>
      <c r="F18" s="14">
        <f>D18*E18</f>
        <v>94.969599999999986</v>
      </c>
      <c r="G18" s="13">
        <v>8</v>
      </c>
      <c r="H18" s="13">
        <v>4</v>
      </c>
      <c r="I18" s="13">
        <f t="shared" si="8"/>
        <v>4</v>
      </c>
      <c r="J18" s="13">
        <v>0.85</v>
      </c>
      <c r="K18" s="14">
        <f t="shared" si="9"/>
        <v>4.7172990093672089</v>
      </c>
      <c r="L18" s="13">
        <f t="shared" si="10"/>
        <v>4</v>
      </c>
      <c r="M18" s="13">
        <v>70</v>
      </c>
      <c r="N18" s="13">
        <v>50</v>
      </c>
      <c r="O18" s="13">
        <v>20</v>
      </c>
      <c r="P18" s="13">
        <v>63</v>
      </c>
      <c r="Q18" s="13">
        <v>56</v>
      </c>
      <c r="R18" s="15">
        <f t="shared" si="11"/>
        <v>57.978906934429538</v>
      </c>
      <c r="S18" s="13">
        <v>215</v>
      </c>
      <c r="T18" s="15">
        <f t="shared" si="4"/>
        <v>19.974172929886009</v>
      </c>
      <c r="U18" s="15">
        <f t="shared" si="12"/>
        <v>3849.1467161597034</v>
      </c>
      <c r="V18" s="13" t="s">
        <v>47</v>
      </c>
      <c r="W18" s="13"/>
      <c r="X18" s="13">
        <v>32</v>
      </c>
      <c r="Y18" s="13" t="s">
        <v>32</v>
      </c>
      <c r="Z18" s="13">
        <f>AB18/X18</f>
        <v>123.59375</v>
      </c>
      <c r="AA18" s="13" t="s">
        <v>97</v>
      </c>
      <c r="AB18" s="13">
        <v>3955</v>
      </c>
      <c r="AC18" s="13">
        <v>1</v>
      </c>
      <c r="AD18" s="7">
        <f t="shared" si="6"/>
        <v>32</v>
      </c>
      <c r="AE18" s="16">
        <f>AB18*AC18</f>
        <v>3955</v>
      </c>
      <c r="AF18" s="34" t="s">
        <v>101</v>
      </c>
    </row>
    <row r="19" spans="1:32" ht="15" customHeight="1" x14ac:dyDescent="0.3">
      <c r="A19" s="6">
        <v>17</v>
      </c>
      <c r="B19" s="13" t="s">
        <v>74</v>
      </c>
      <c r="C19" s="13">
        <v>113</v>
      </c>
      <c r="D19" s="14">
        <v>17</v>
      </c>
      <c r="E19" s="14">
        <v>10.5</v>
      </c>
      <c r="F19" s="14">
        <f>E19*D19</f>
        <v>178.5</v>
      </c>
      <c r="G19" s="13">
        <v>9</v>
      </c>
      <c r="H19" s="13">
        <v>4</v>
      </c>
      <c r="I19" s="13">
        <f t="shared" si="8"/>
        <v>5</v>
      </c>
      <c r="J19" s="13">
        <v>0.85</v>
      </c>
      <c r="K19" s="14">
        <f t="shared" si="9"/>
        <v>3.8515406162464987</v>
      </c>
      <c r="L19" s="13">
        <f t="shared" si="10"/>
        <v>3</v>
      </c>
      <c r="M19" s="13">
        <v>70</v>
      </c>
      <c r="N19" s="13">
        <v>50</v>
      </c>
      <c r="O19" s="13">
        <v>20</v>
      </c>
      <c r="P19" s="13">
        <v>63</v>
      </c>
      <c r="Q19" s="13">
        <v>57</v>
      </c>
      <c r="R19" s="15">
        <f t="shared" si="11"/>
        <v>57.890756302521005</v>
      </c>
      <c r="S19" s="13">
        <v>330</v>
      </c>
      <c r="T19" s="15">
        <f t="shared" si="4"/>
        <v>30.658032869127361</v>
      </c>
      <c r="U19" s="15">
        <f t="shared" si="12"/>
        <v>11121.269290165377</v>
      </c>
      <c r="V19" s="13" t="s">
        <v>48</v>
      </c>
      <c r="W19" s="13"/>
      <c r="X19" s="13">
        <v>53.2</v>
      </c>
      <c r="Y19" s="13" t="s">
        <v>22</v>
      </c>
      <c r="Z19" s="13">
        <v>114.3</v>
      </c>
      <c r="AA19" s="13" t="s">
        <v>90</v>
      </c>
      <c r="AB19" s="13">
        <v>6082</v>
      </c>
      <c r="AC19" s="13">
        <v>2</v>
      </c>
      <c r="AD19" s="7">
        <f t="shared" si="6"/>
        <v>106.4</v>
      </c>
      <c r="AE19" s="16">
        <f>AB19*AC19</f>
        <v>12164</v>
      </c>
      <c r="AF19" s="34" t="s">
        <v>101</v>
      </c>
    </row>
    <row r="20" spans="1:32" ht="15" customHeight="1" x14ac:dyDescent="0.3">
      <c r="A20" s="12">
        <v>18</v>
      </c>
      <c r="B20" s="13" t="s">
        <v>75</v>
      </c>
      <c r="C20" s="13">
        <v>113</v>
      </c>
      <c r="D20" s="14">
        <f>1.42*8</f>
        <v>11.36</v>
      </c>
      <c r="E20" s="14">
        <f>0.87*8</f>
        <v>6.96</v>
      </c>
      <c r="F20" s="14">
        <f>D20*E20</f>
        <v>79.065599999999989</v>
      </c>
      <c r="G20" s="13">
        <v>9</v>
      </c>
      <c r="H20" s="13">
        <v>4</v>
      </c>
      <c r="I20" s="13">
        <f t="shared" si="8"/>
        <v>5</v>
      </c>
      <c r="J20" s="13">
        <v>0.85</v>
      </c>
      <c r="K20" s="14">
        <f t="shared" si="9"/>
        <v>5.7926582483406195</v>
      </c>
      <c r="L20" s="13">
        <f t="shared" si="10"/>
        <v>5</v>
      </c>
      <c r="M20" s="13">
        <v>70</v>
      </c>
      <c r="N20" s="13">
        <v>50</v>
      </c>
      <c r="O20" s="13">
        <v>20</v>
      </c>
      <c r="P20" s="13">
        <v>63</v>
      </c>
      <c r="Q20" s="13">
        <v>57</v>
      </c>
      <c r="R20" s="15">
        <f t="shared" si="11"/>
        <v>58.244050509956281</v>
      </c>
      <c r="S20" s="13">
        <v>330</v>
      </c>
      <c r="T20" s="15">
        <f t="shared" si="4"/>
        <v>30.658032869127361</v>
      </c>
      <c r="U20" s="15">
        <f t="shared" si="12"/>
        <v>4896.2249310171092</v>
      </c>
      <c r="V20" s="13" t="s">
        <v>49</v>
      </c>
      <c r="W20" s="13">
        <v>90</v>
      </c>
      <c r="X20" s="13">
        <v>24.9</v>
      </c>
      <c r="Y20" s="13" t="s">
        <v>22</v>
      </c>
      <c r="Z20" s="13">
        <v>117.6</v>
      </c>
      <c r="AA20" s="13" t="s">
        <v>90</v>
      </c>
      <c r="AB20" s="13">
        <v>2927</v>
      </c>
      <c r="AC20" s="13">
        <v>2</v>
      </c>
      <c r="AD20" s="7">
        <f t="shared" si="6"/>
        <v>49.8</v>
      </c>
      <c r="AE20" s="16">
        <f>AB20*AC20</f>
        <v>5854</v>
      </c>
      <c r="AF20" s="34" t="s">
        <v>101</v>
      </c>
    </row>
    <row r="21" spans="1:32" ht="15" customHeight="1" x14ac:dyDescent="0.3">
      <c r="A21" s="6">
        <v>19</v>
      </c>
      <c r="B21" s="13" t="s">
        <v>51</v>
      </c>
      <c r="C21" s="13">
        <v>115</v>
      </c>
      <c r="D21" s="14">
        <f>1.66*8</f>
        <v>13.28</v>
      </c>
      <c r="E21" s="14">
        <f>0.74*8</f>
        <v>5.92</v>
      </c>
      <c r="F21" s="14">
        <f>E21*D21</f>
        <v>78.617599999999996</v>
      </c>
      <c r="G21" s="13">
        <v>9</v>
      </c>
      <c r="H21" s="13">
        <v>0</v>
      </c>
      <c r="I21" s="13">
        <f t="shared" si="8"/>
        <v>9</v>
      </c>
      <c r="J21" s="13">
        <v>0.85</v>
      </c>
      <c r="K21" s="14">
        <f t="shared" si="9"/>
        <v>10</v>
      </c>
      <c r="L21" s="13">
        <f t="shared" si="10"/>
        <v>10</v>
      </c>
      <c r="M21" s="13">
        <v>70</v>
      </c>
      <c r="N21" s="13">
        <v>50</v>
      </c>
      <c r="O21" s="13">
        <v>20</v>
      </c>
      <c r="P21" s="13">
        <v>35</v>
      </c>
      <c r="Q21" s="13">
        <v>35</v>
      </c>
      <c r="R21" s="15">
        <f t="shared" si="11"/>
        <v>35</v>
      </c>
      <c r="S21" s="13">
        <v>50</v>
      </c>
      <c r="T21" s="15">
        <f t="shared" si="4"/>
        <v>4.6451564953223272</v>
      </c>
      <c r="U21" s="15">
        <f t="shared" si="12"/>
        <v>1227.5329589467312</v>
      </c>
      <c r="V21" s="13" t="s">
        <v>38</v>
      </c>
      <c r="W21" s="13">
        <v>80</v>
      </c>
      <c r="X21" s="13">
        <v>11</v>
      </c>
      <c r="Y21" s="13" t="s">
        <v>22</v>
      </c>
      <c r="Z21" s="13">
        <v>119.1</v>
      </c>
      <c r="AA21" s="13" t="s">
        <v>83</v>
      </c>
      <c r="AB21" s="13">
        <v>1310</v>
      </c>
      <c r="AC21" s="13">
        <v>1</v>
      </c>
      <c r="AD21" s="7">
        <f t="shared" si="6"/>
        <v>11</v>
      </c>
      <c r="AE21" s="16">
        <f>AB21*AC21</f>
        <v>1310</v>
      </c>
      <c r="AF21" s="34" t="s">
        <v>101</v>
      </c>
    </row>
    <row r="22" spans="1:32" ht="15" customHeight="1" x14ac:dyDescent="0.3">
      <c r="A22" s="12">
        <v>20</v>
      </c>
      <c r="B22" s="13" t="s">
        <v>52</v>
      </c>
      <c r="C22" s="13">
        <v>116</v>
      </c>
      <c r="D22" s="14">
        <f>1.61*8</f>
        <v>12.88</v>
      </c>
      <c r="E22" s="14">
        <f>1.46*8</f>
        <v>11.68</v>
      </c>
      <c r="F22" s="14">
        <f>E22*D22</f>
        <v>150.4384</v>
      </c>
      <c r="G22" s="13">
        <v>8</v>
      </c>
      <c r="H22" s="13">
        <v>4</v>
      </c>
      <c r="I22" s="13">
        <f t="shared" si="8"/>
        <v>4</v>
      </c>
      <c r="J22" s="13">
        <v>0.85</v>
      </c>
      <c r="K22" s="14">
        <f t="shared" si="9"/>
        <v>3.2651237981791885</v>
      </c>
      <c r="L22" s="13">
        <f t="shared" si="10"/>
        <v>3</v>
      </c>
      <c r="M22" s="13">
        <v>80</v>
      </c>
      <c r="N22" s="13">
        <v>70</v>
      </c>
      <c r="O22" s="13">
        <v>20</v>
      </c>
      <c r="P22" s="13">
        <v>80</v>
      </c>
      <c r="Q22" s="13">
        <v>74</v>
      </c>
      <c r="R22" s="15">
        <f t="shared" si="11"/>
        <v>78.409257210924864</v>
      </c>
      <c r="S22" s="13">
        <v>480</v>
      </c>
      <c r="T22" s="15">
        <f t="shared" si="4"/>
        <v>44.593502355094344</v>
      </c>
      <c r="U22" s="15">
        <f t="shared" si="12"/>
        <v>10065.700948385273</v>
      </c>
      <c r="V22" s="18" t="s">
        <v>53</v>
      </c>
      <c r="W22" s="13">
        <v>93</v>
      </c>
      <c r="X22" s="13">
        <v>100.4</v>
      </c>
      <c r="Y22" s="13" t="s">
        <v>54</v>
      </c>
      <c r="Z22" s="13">
        <v>101.3</v>
      </c>
      <c r="AA22" s="13" t="s">
        <v>91</v>
      </c>
      <c r="AB22" s="13">
        <v>10169</v>
      </c>
      <c r="AC22" s="13">
        <v>1</v>
      </c>
      <c r="AD22" s="7">
        <f t="shared" si="6"/>
        <v>100.4</v>
      </c>
      <c r="AE22" s="16">
        <f>AB22*AC22</f>
        <v>10169</v>
      </c>
      <c r="AF22" s="34" t="s">
        <v>101</v>
      </c>
    </row>
    <row r="23" spans="1:32" ht="15" customHeight="1" x14ac:dyDescent="0.3">
      <c r="A23" s="6">
        <v>21</v>
      </c>
      <c r="B23" s="13" t="s">
        <v>55</v>
      </c>
      <c r="C23" s="13">
        <v>119</v>
      </c>
      <c r="D23" s="14">
        <f>1.61*8</f>
        <v>12.88</v>
      </c>
      <c r="E23" s="14">
        <f>1.5*8</f>
        <v>12</v>
      </c>
      <c r="F23" s="14">
        <f>D23*E23</f>
        <v>154.56</v>
      </c>
      <c r="G23" s="13">
        <v>8</v>
      </c>
      <c r="H23" s="13">
        <v>4</v>
      </c>
      <c r="I23" s="13">
        <f t="shared" si="8"/>
        <v>4</v>
      </c>
      <c r="J23" s="13">
        <v>0.85</v>
      </c>
      <c r="K23" s="14">
        <f t="shared" si="9"/>
        <v>3.2194616977225672</v>
      </c>
      <c r="L23" s="13">
        <f t="shared" si="10"/>
        <v>3</v>
      </c>
      <c r="M23" s="13">
        <v>80</v>
      </c>
      <c r="N23" s="13">
        <v>70</v>
      </c>
      <c r="O23" s="13">
        <v>20</v>
      </c>
      <c r="P23" s="13">
        <v>80</v>
      </c>
      <c r="Q23" s="13">
        <v>74</v>
      </c>
      <c r="R23" s="15">
        <f t="shared" si="11"/>
        <v>78.683229813664596</v>
      </c>
      <c r="S23" s="13">
        <v>470</v>
      </c>
      <c r="T23" s="15">
        <f t="shared" si="4"/>
        <v>43.664471056029882</v>
      </c>
      <c r="U23" s="15">
        <f t="shared" si="12"/>
        <v>10090.767696963319</v>
      </c>
      <c r="V23" s="18" t="s">
        <v>53</v>
      </c>
      <c r="W23" s="13">
        <v>93</v>
      </c>
      <c r="X23" s="13">
        <v>100.4</v>
      </c>
      <c r="Y23" s="13" t="s">
        <v>54</v>
      </c>
      <c r="Z23" s="13">
        <v>101.3</v>
      </c>
      <c r="AA23" s="13" t="s">
        <v>91</v>
      </c>
      <c r="AB23" s="13">
        <v>10169</v>
      </c>
      <c r="AC23" s="13">
        <v>1</v>
      </c>
      <c r="AD23" s="7">
        <f t="shared" si="6"/>
        <v>100.4</v>
      </c>
      <c r="AE23" s="16">
        <f>AB23*AC23</f>
        <v>10169</v>
      </c>
      <c r="AF23" s="34" t="s">
        <v>101</v>
      </c>
    </row>
    <row r="24" spans="1:32" ht="15" customHeight="1" x14ac:dyDescent="0.3">
      <c r="A24" s="12">
        <v>22</v>
      </c>
      <c r="B24" s="13" t="s">
        <v>72</v>
      </c>
      <c r="C24" s="13">
        <v>118</v>
      </c>
      <c r="D24" s="14">
        <f>1.27*8</f>
        <v>10.16</v>
      </c>
      <c r="E24" s="14">
        <f>1.15*8</f>
        <v>9.1999999999999993</v>
      </c>
      <c r="F24" s="14">
        <f>D24*E24</f>
        <v>93.471999999999994</v>
      </c>
      <c r="G24" s="13">
        <v>8</v>
      </c>
      <c r="H24" s="13">
        <v>0</v>
      </c>
      <c r="I24" s="13">
        <f t="shared" si="8"/>
        <v>8</v>
      </c>
      <c r="J24" s="13">
        <v>0.85</v>
      </c>
      <c r="K24" s="14">
        <f t="shared" si="9"/>
        <v>8.2848339609722697</v>
      </c>
      <c r="L24" s="13">
        <f t="shared" si="10"/>
        <v>8</v>
      </c>
      <c r="M24" s="13">
        <v>70</v>
      </c>
      <c r="N24" s="13">
        <v>50</v>
      </c>
      <c r="O24" s="13">
        <v>20</v>
      </c>
      <c r="P24" s="13">
        <v>42</v>
      </c>
      <c r="Q24" s="13">
        <v>38</v>
      </c>
      <c r="R24" s="15">
        <f t="shared" si="11"/>
        <v>40.860664156110921</v>
      </c>
      <c r="S24" s="13">
        <v>100</v>
      </c>
      <c r="T24" s="15">
        <f t="shared" si="4"/>
        <v>9.2903129906446544</v>
      </c>
      <c r="U24" s="15">
        <f t="shared" si="12"/>
        <v>2500.2735913151578</v>
      </c>
      <c r="V24" s="13" t="s">
        <v>38</v>
      </c>
      <c r="W24" s="13">
        <v>80</v>
      </c>
      <c r="X24" s="13">
        <v>11</v>
      </c>
      <c r="Y24" s="13" t="s">
        <v>22</v>
      </c>
      <c r="Z24" s="13">
        <v>119.1</v>
      </c>
      <c r="AA24" s="13" t="s">
        <v>83</v>
      </c>
      <c r="AB24" s="13">
        <v>1310</v>
      </c>
      <c r="AC24" s="13">
        <v>2</v>
      </c>
      <c r="AD24" s="7">
        <f t="shared" si="6"/>
        <v>22</v>
      </c>
      <c r="AE24" s="16">
        <f>AB24*AC24</f>
        <v>2620</v>
      </c>
      <c r="AF24" s="34" t="s">
        <v>101</v>
      </c>
    </row>
    <row r="25" spans="1:32" ht="15" customHeight="1" x14ac:dyDescent="0.3">
      <c r="A25" s="6">
        <v>23</v>
      </c>
      <c r="B25" s="13" t="s">
        <v>56</v>
      </c>
      <c r="C25" s="13">
        <v>117</v>
      </c>
      <c r="D25" s="14">
        <f>1.15*8</f>
        <v>9.1999999999999993</v>
      </c>
      <c r="E25" s="14">
        <f>1.11*8</f>
        <v>8.8800000000000008</v>
      </c>
      <c r="F25" s="14">
        <f>E25*D25</f>
        <v>81.695999999999998</v>
      </c>
      <c r="G25" s="13">
        <v>10</v>
      </c>
      <c r="H25" s="13">
        <v>0</v>
      </c>
      <c r="I25" s="13">
        <f t="shared" si="8"/>
        <v>10</v>
      </c>
      <c r="J25" s="13">
        <v>0.85</v>
      </c>
      <c r="K25" s="14">
        <f t="shared" si="9"/>
        <v>10</v>
      </c>
      <c r="L25" s="13">
        <f t="shared" si="10"/>
        <v>10</v>
      </c>
      <c r="M25" s="13">
        <v>50</v>
      </c>
      <c r="N25" s="13">
        <v>50</v>
      </c>
      <c r="O25" s="13">
        <v>20</v>
      </c>
      <c r="P25" s="13">
        <v>38</v>
      </c>
      <c r="Q25" s="13">
        <v>38</v>
      </c>
      <c r="R25" s="15">
        <f t="shared" si="11"/>
        <v>38</v>
      </c>
      <c r="S25" s="13">
        <v>200</v>
      </c>
      <c r="T25" s="15">
        <f t="shared" si="4"/>
        <v>18.580625981289309</v>
      </c>
      <c r="U25" s="15">
        <f t="shared" si="12"/>
        <v>4699.5752946359489</v>
      </c>
      <c r="V25" s="18" t="s">
        <v>57</v>
      </c>
      <c r="W25" s="13">
        <v>80</v>
      </c>
      <c r="X25" s="13">
        <v>39.1</v>
      </c>
      <c r="Y25" s="13" t="s">
        <v>22</v>
      </c>
      <c r="Z25" s="13">
        <v>120.35</v>
      </c>
      <c r="AA25" s="13" t="s">
        <v>92</v>
      </c>
      <c r="AB25" s="13">
        <v>4706</v>
      </c>
      <c r="AC25" s="13">
        <v>1</v>
      </c>
      <c r="AD25" s="7">
        <f t="shared" si="6"/>
        <v>39.1</v>
      </c>
      <c r="AE25" s="16">
        <f>AB25*AC25</f>
        <v>4706</v>
      </c>
      <c r="AF25" s="34" t="s">
        <v>101</v>
      </c>
    </row>
    <row r="26" spans="1:32" ht="15" customHeight="1" x14ac:dyDescent="0.3">
      <c r="A26" s="12">
        <v>24</v>
      </c>
      <c r="B26" s="13" t="s">
        <v>58</v>
      </c>
      <c r="C26" s="13">
        <v>120</v>
      </c>
      <c r="D26" s="14">
        <f>F26/E26</f>
        <v>10.098360655737705</v>
      </c>
      <c r="E26" s="14">
        <f>0.61*8</f>
        <v>4.88</v>
      </c>
      <c r="F26" s="14">
        <f>49.28</f>
        <v>49.28</v>
      </c>
      <c r="G26" s="13">
        <v>9</v>
      </c>
      <c r="H26" s="13">
        <v>0</v>
      </c>
      <c r="I26" s="13">
        <f t="shared" si="8"/>
        <v>9</v>
      </c>
      <c r="J26" s="13">
        <v>0.85</v>
      </c>
      <c r="K26" s="14">
        <f t="shared" si="9"/>
        <v>10</v>
      </c>
      <c r="L26" s="13">
        <f t="shared" si="10"/>
        <v>10</v>
      </c>
      <c r="M26" s="13">
        <v>70</v>
      </c>
      <c r="N26" s="13">
        <v>50</v>
      </c>
      <c r="O26" s="13">
        <v>20</v>
      </c>
      <c r="P26" s="13">
        <v>35</v>
      </c>
      <c r="Q26" s="13">
        <v>35</v>
      </c>
      <c r="R26" s="15">
        <f t="shared" si="11"/>
        <v>35</v>
      </c>
      <c r="S26" s="13">
        <v>125</v>
      </c>
      <c r="T26" s="15">
        <f t="shared" si="4"/>
        <v>11.612891238305819</v>
      </c>
      <c r="U26" s="15">
        <f t="shared" si="12"/>
        <v>1923.6412780628932</v>
      </c>
      <c r="V26" s="13" t="s">
        <v>31</v>
      </c>
      <c r="W26" s="13">
        <v>80</v>
      </c>
      <c r="X26" s="13">
        <v>31</v>
      </c>
      <c r="Y26" s="13" t="s">
        <v>32</v>
      </c>
      <c r="Z26" s="13">
        <v>129</v>
      </c>
      <c r="AA26" s="13" t="s">
        <v>86</v>
      </c>
      <c r="AB26" s="13">
        <v>2081</v>
      </c>
      <c r="AC26" s="13">
        <v>1</v>
      </c>
      <c r="AD26" s="7">
        <f t="shared" si="6"/>
        <v>31</v>
      </c>
      <c r="AE26" s="16">
        <f>AB26*AC26</f>
        <v>2081</v>
      </c>
      <c r="AF26" s="34" t="s">
        <v>101</v>
      </c>
    </row>
    <row r="27" spans="1:32" ht="15" customHeight="1" x14ac:dyDescent="0.3">
      <c r="A27" s="6">
        <v>25</v>
      </c>
      <c r="B27" s="13" t="s">
        <v>61</v>
      </c>
      <c r="C27" s="13">
        <v>122</v>
      </c>
      <c r="D27" s="14">
        <f>F27/E27</f>
        <v>19.628415300546447</v>
      </c>
      <c r="E27" s="14">
        <f>1.83*8</f>
        <v>14.64</v>
      </c>
      <c r="F27" s="14">
        <v>287.36</v>
      </c>
      <c r="G27" s="13">
        <v>10</v>
      </c>
      <c r="H27" s="13">
        <v>0</v>
      </c>
      <c r="I27" s="13">
        <f t="shared" si="8"/>
        <v>10</v>
      </c>
      <c r="J27" s="13">
        <v>0.85</v>
      </c>
      <c r="K27" s="14">
        <f t="shared" si="9"/>
        <v>5.9626279406574412</v>
      </c>
      <c r="L27" s="13">
        <f t="shared" si="10"/>
        <v>5</v>
      </c>
      <c r="M27" s="13">
        <v>50</v>
      </c>
      <c r="N27" s="13">
        <v>50</v>
      </c>
      <c r="O27" s="13">
        <v>20</v>
      </c>
      <c r="P27" s="13">
        <v>75</v>
      </c>
      <c r="Q27" s="13">
        <v>68</v>
      </c>
      <c r="R27" s="15">
        <f t="shared" si="11"/>
        <v>68.261604415397912</v>
      </c>
      <c r="S27" s="13">
        <v>800</v>
      </c>
      <c r="T27" s="15">
        <f t="shared" si="4"/>
        <v>74.322503925157235</v>
      </c>
      <c r="U27" s="15">
        <f t="shared" si="12"/>
        <v>36808.763632619928</v>
      </c>
      <c r="V27" s="13" t="s">
        <v>64</v>
      </c>
      <c r="W27" s="13">
        <v>90</v>
      </c>
      <c r="X27" s="13">
        <v>23.4</v>
      </c>
      <c r="Y27" s="13" t="s">
        <v>62</v>
      </c>
      <c r="Z27" s="13">
        <v>99</v>
      </c>
      <c r="AA27" s="4" t="s">
        <v>96</v>
      </c>
      <c r="AB27" s="13">
        <v>2319</v>
      </c>
      <c r="AC27" s="13">
        <v>12</v>
      </c>
      <c r="AD27" s="7">
        <f t="shared" si="6"/>
        <v>280.79999999999995</v>
      </c>
      <c r="AE27" s="16">
        <f>AB27*AC27</f>
        <v>27828</v>
      </c>
      <c r="AF27" s="34" t="s">
        <v>101</v>
      </c>
    </row>
    <row r="28" spans="1:32" ht="15" customHeight="1" x14ac:dyDescent="0.3">
      <c r="A28" s="12">
        <v>26</v>
      </c>
      <c r="B28" s="13" t="s">
        <v>61</v>
      </c>
      <c r="C28" s="13">
        <v>122</v>
      </c>
      <c r="D28" s="14">
        <f>F28/E28</f>
        <v>19.628415300546447</v>
      </c>
      <c r="E28" s="14">
        <f>1.83*8</f>
        <v>14.64</v>
      </c>
      <c r="F28" s="14">
        <v>287.36</v>
      </c>
      <c r="G28" s="13">
        <v>10</v>
      </c>
      <c r="H28" s="13">
        <v>0</v>
      </c>
      <c r="I28" s="13">
        <f t="shared" ref="I28" si="18">G28-H28</f>
        <v>10</v>
      </c>
      <c r="J28" s="13">
        <v>0.85</v>
      </c>
      <c r="K28" s="14">
        <f t="shared" ref="K28" si="19">IF((5*I28*(D28+E28))/(F28) &gt; 10,10,(5*I28*(D28+E28))/(F28))</f>
        <v>5.9626279406574412</v>
      </c>
      <c r="L28" s="13">
        <f t="shared" si="10"/>
        <v>5</v>
      </c>
      <c r="M28" s="13">
        <v>50</v>
      </c>
      <c r="N28" s="13">
        <v>50</v>
      </c>
      <c r="O28" s="13">
        <v>20</v>
      </c>
      <c r="P28" s="13">
        <v>75</v>
      </c>
      <c r="Q28" s="13">
        <v>68</v>
      </c>
      <c r="R28" s="15">
        <f t="shared" ref="R28" si="20">P28 - (P28-Q28)*(K28-L28)</f>
        <v>68.261604415397912</v>
      </c>
      <c r="S28" s="13">
        <v>800</v>
      </c>
      <c r="T28" s="15">
        <f t="shared" si="4"/>
        <v>74.322503925157235</v>
      </c>
      <c r="U28" s="15">
        <f t="shared" ref="U28" si="21">(T28*F28*100)/(R28*J28)</f>
        <v>36808.763632619928</v>
      </c>
      <c r="V28" s="13" t="s">
        <v>65</v>
      </c>
      <c r="W28" s="13">
        <v>90</v>
      </c>
      <c r="X28" s="13">
        <v>23.4</v>
      </c>
      <c r="Y28" s="13" t="s">
        <v>63</v>
      </c>
      <c r="Z28" s="13">
        <v>94</v>
      </c>
      <c r="AA28" s="4" t="s">
        <v>95</v>
      </c>
      <c r="AB28" s="13">
        <v>2193</v>
      </c>
      <c r="AC28" s="13">
        <v>6</v>
      </c>
      <c r="AD28" s="7">
        <f t="shared" si="6"/>
        <v>140.39999999999998</v>
      </c>
      <c r="AE28" s="16">
        <f>AB28*AC28</f>
        <v>13158</v>
      </c>
      <c r="AF28" s="34" t="s">
        <v>101</v>
      </c>
    </row>
    <row r="29" spans="1:32" ht="15" customHeight="1" x14ac:dyDescent="0.3">
      <c r="A29" s="6">
        <v>27</v>
      </c>
      <c r="B29" s="13" t="s">
        <v>66</v>
      </c>
      <c r="C29" s="13">
        <v>123</v>
      </c>
      <c r="D29" s="14">
        <f>1.49*8</f>
        <v>11.92</v>
      </c>
      <c r="E29" s="14">
        <f>0.746*8</f>
        <v>5.968</v>
      </c>
      <c r="F29" s="14">
        <f>E29*D29</f>
        <v>71.138559999999998</v>
      </c>
      <c r="G29" s="13">
        <v>8</v>
      </c>
      <c r="H29" s="13">
        <v>0</v>
      </c>
      <c r="I29" s="13">
        <f t="shared" si="8"/>
        <v>8</v>
      </c>
      <c r="J29" s="13">
        <v>0.85</v>
      </c>
      <c r="K29" s="14">
        <f t="shared" si="9"/>
        <v>10</v>
      </c>
      <c r="L29" s="13">
        <f t="shared" si="10"/>
        <v>10</v>
      </c>
      <c r="M29" s="13">
        <v>70</v>
      </c>
      <c r="N29" s="13">
        <v>50</v>
      </c>
      <c r="O29" s="13">
        <v>20</v>
      </c>
      <c r="P29" s="13">
        <v>35</v>
      </c>
      <c r="Q29" s="13">
        <v>35</v>
      </c>
      <c r="R29" s="15">
        <f t="shared" si="11"/>
        <v>35</v>
      </c>
      <c r="S29" s="13">
        <v>180</v>
      </c>
      <c r="T29" s="15">
        <f t="shared" si="4"/>
        <v>16.722563383160381</v>
      </c>
      <c r="U29" s="15">
        <f t="shared" si="12"/>
        <v>3998.7195918882612</v>
      </c>
      <c r="V29" s="13" t="s">
        <v>31</v>
      </c>
      <c r="W29" s="13">
        <v>80</v>
      </c>
      <c r="X29" s="13">
        <v>31</v>
      </c>
      <c r="Y29" s="13" t="s">
        <v>32</v>
      </c>
      <c r="Z29" s="13">
        <v>129</v>
      </c>
      <c r="AA29" s="13" t="s">
        <v>86</v>
      </c>
      <c r="AB29" s="13">
        <v>2081</v>
      </c>
      <c r="AC29" s="13">
        <v>2</v>
      </c>
      <c r="AD29" s="7">
        <f t="shared" si="6"/>
        <v>62</v>
      </c>
      <c r="AE29" s="16">
        <f>AB29*AC29</f>
        <v>4162</v>
      </c>
      <c r="AF29" s="34" t="s">
        <v>101</v>
      </c>
    </row>
    <row r="30" spans="1:32" ht="15" customHeight="1" x14ac:dyDescent="0.3">
      <c r="A30" s="12">
        <v>28</v>
      </c>
      <c r="B30" s="13" t="s">
        <v>67</v>
      </c>
      <c r="C30" s="13">
        <v>200</v>
      </c>
      <c r="D30" s="14">
        <f>1.2*8</f>
        <v>9.6</v>
      </c>
      <c r="E30" s="14">
        <f>F30/D30</f>
        <v>6.2666666666666666</v>
      </c>
      <c r="F30" s="14">
        <v>60.16</v>
      </c>
      <c r="G30" s="13">
        <v>20</v>
      </c>
      <c r="H30" s="13">
        <v>5</v>
      </c>
      <c r="I30" s="13">
        <f t="shared" si="8"/>
        <v>15</v>
      </c>
      <c r="J30" s="13">
        <v>0.85</v>
      </c>
      <c r="K30" s="14">
        <f t="shared" si="9"/>
        <v>10</v>
      </c>
      <c r="L30" s="13">
        <f t="shared" si="10"/>
        <v>10</v>
      </c>
      <c r="M30" s="13">
        <v>50</v>
      </c>
      <c r="N30" s="13">
        <v>50</v>
      </c>
      <c r="O30" s="13">
        <v>20</v>
      </c>
      <c r="P30" s="13">
        <v>36</v>
      </c>
      <c r="Q30" s="13">
        <v>36</v>
      </c>
      <c r="R30" s="15">
        <f t="shared" si="11"/>
        <v>36</v>
      </c>
      <c r="S30" s="13">
        <v>250</v>
      </c>
      <c r="T30" s="15">
        <f t="shared" si="4"/>
        <v>23.225782476611638</v>
      </c>
      <c r="U30" s="15">
        <f t="shared" si="12"/>
        <v>4566.2191954018181</v>
      </c>
      <c r="V30" s="18" t="s">
        <v>68</v>
      </c>
      <c r="W30" s="13">
        <v>80</v>
      </c>
      <c r="X30" s="13">
        <v>24.5</v>
      </c>
      <c r="Y30" s="13" t="s">
        <v>32</v>
      </c>
      <c r="Z30" s="13">
        <v>122</v>
      </c>
      <c r="AA30" s="13" t="s">
        <v>93</v>
      </c>
      <c r="AB30" s="13">
        <v>2991</v>
      </c>
      <c r="AC30" s="13">
        <v>2</v>
      </c>
      <c r="AD30" s="7">
        <f t="shared" si="6"/>
        <v>49</v>
      </c>
      <c r="AE30" s="16">
        <f>AB30*AC30</f>
        <v>5982</v>
      </c>
      <c r="AF30" s="34" t="s">
        <v>101</v>
      </c>
    </row>
    <row r="31" spans="1:32" ht="15" customHeight="1" x14ac:dyDescent="0.3">
      <c r="A31" s="6">
        <v>29</v>
      </c>
      <c r="B31" s="13" t="s">
        <v>56</v>
      </c>
      <c r="C31" s="13">
        <v>203</v>
      </c>
      <c r="D31" s="14">
        <v>14.88</v>
      </c>
      <c r="E31" s="14">
        <v>19.824000000000002</v>
      </c>
      <c r="F31" s="14">
        <f>D31*E31</f>
        <v>294.98112000000003</v>
      </c>
      <c r="G31" s="13">
        <v>9</v>
      </c>
      <c r="H31" s="13">
        <v>0</v>
      </c>
      <c r="I31" s="13">
        <f t="shared" si="8"/>
        <v>9</v>
      </c>
      <c r="J31" s="13">
        <v>0.85</v>
      </c>
      <c r="K31" s="14">
        <f t="shared" si="9"/>
        <v>5.294169335312036</v>
      </c>
      <c r="L31" s="13">
        <f t="shared" si="10"/>
        <v>5</v>
      </c>
      <c r="M31" s="13">
        <v>50</v>
      </c>
      <c r="N31" s="13">
        <v>50</v>
      </c>
      <c r="O31" s="13">
        <v>20</v>
      </c>
      <c r="P31" s="13">
        <v>83</v>
      </c>
      <c r="Q31" s="13">
        <v>72</v>
      </c>
      <c r="R31" s="15">
        <f t="shared" si="11"/>
        <v>79.764137311567609</v>
      </c>
      <c r="S31" s="13">
        <v>220</v>
      </c>
      <c r="T31" s="15">
        <f t="shared" si="4"/>
        <v>20.43868857941824</v>
      </c>
      <c r="U31" s="15">
        <f t="shared" si="12"/>
        <v>8892.4339591480239</v>
      </c>
      <c r="V31" s="18" t="s">
        <v>57</v>
      </c>
      <c r="W31" s="13">
        <v>80</v>
      </c>
      <c r="X31" s="13">
        <v>39.1</v>
      </c>
      <c r="Y31" s="13" t="s">
        <v>22</v>
      </c>
      <c r="Z31" s="13">
        <v>120.35</v>
      </c>
      <c r="AA31" s="13" t="s">
        <v>92</v>
      </c>
      <c r="AB31" s="13">
        <v>4706</v>
      </c>
      <c r="AC31" s="13">
        <v>2</v>
      </c>
      <c r="AD31" s="7">
        <f t="shared" ref="AD31:AD32" si="22">AC31*X31</f>
        <v>78.2</v>
      </c>
      <c r="AE31" s="16">
        <f>AB31*AC31</f>
        <v>9412</v>
      </c>
      <c r="AF31" s="34" t="s">
        <v>101</v>
      </c>
    </row>
    <row r="32" spans="1:32" ht="15" customHeight="1" x14ac:dyDescent="0.3">
      <c r="A32" s="12">
        <v>30</v>
      </c>
      <c r="B32" s="13" t="s">
        <v>69</v>
      </c>
      <c r="C32" s="13">
        <v>202</v>
      </c>
      <c r="D32" s="14">
        <v>23.12</v>
      </c>
      <c r="E32" s="14">
        <v>6</v>
      </c>
      <c r="F32" s="14">
        <f>D32*E32</f>
        <v>138.72</v>
      </c>
      <c r="G32" s="13">
        <v>9</v>
      </c>
      <c r="H32" s="13">
        <v>0</v>
      </c>
      <c r="I32" s="13">
        <f t="shared" si="8"/>
        <v>9</v>
      </c>
      <c r="J32" s="13">
        <v>0.85</v>
      </c>
      <c r="K32" s="14">
        <f t="shared" si="9"/>
        <v>9.4463667820069208</v>
      </c>
      <c r="L32" s="13">
        <f t="shared" si="10"/>
        <v>9</v>
      </c>
      <c r="M32" s="13">
        <v>50</v>
      </c>
      <c r="N32" s="13">
        <v>50</v>
      </c>
      <c r="O32" s="13">
        <v>20</v>
      </c>
      <c r="P32" s="13">
        <v>65</v>
      </c>
      <c r="Q32" s="13">
        <v>57</v>
      </c>
      <c r="R32" s="15">
        <f t="shared" si="11"/>
        <v>61.429065743944633</v>
      </c>
      <c r="S32" s="13">
        <v>220</v>
      </c>
      <c r="T32" s="15">
        <f t="shared" si="4"/>
        <v>20.43868857941824</v>
      </c>
      <c r="U32" s="15">
        <f t="shared" si="12"/>
        <v>5429.9930102548606</v>
      </c>
      <c r="V32" s="13" t="s">
        <v>28</v>
      </c>
      <c r="W32" s="13"/>
      <c r="X32" s="13">
        <v>56</v>
      </c>
      <c r="Y32" s="13" t="s">
        <v>29</v>
      </c>
      <c r="Z32" s="13">
        <v>110.71</v>
      </c>
      <c r="AA32" s="13" t="s">
        <v>94</v>
      </c>
      <c r="AB32" s="13">
        <v>6200</v>
      </c>
      <c r="AC32" s="13">
        <v>1</v>
      </c>
      <c r="AD32" s="7">
        <f t="shared" si="22"/>
        <v>56</v>
      </c>
      <c r="AE32" s="16">
        <f>AB32*AC32</f>
        <v>6200</v>
      </c>
      <c r="AF32" s="34" t="s">
        <v>101</v>
      </c>
    </row>
    <row r="33" spans="1:32" ht="15" customHeight="1" thickBot="1" x14ac:dyDescent="0.35">
      <c r="A33" s="19">
        <v>31</v>
      </c>
      <c r="B33" s="20" t="s">
        <v>70</v>
      </c>
      <c r="C33" s="20">
        <v>204</v>
      </c>
      <c r="D33" s="21">
        <v>21.24</v>
      </c>
      <c r="E33" s="21">
        <v>7.48</v>
      </c>
      <c r="F33" s="21">
        <f>D33*E33</f>
        <v>158.87520000000001</v>
      </c>
      <c r="G33" s="20">
        <v>9</v>
      </c>
      <c r="H33" s="20">
        <v>0</v>
      </c>
      <c r="I33" s="20">
        <f t="shared" si="8"/>
        <v>9</v>
      </c>
      <c r="J33" s="20">
        <v>0.85</v>
      </c>
      <c r="K33" s="21">
        <f t="shared" si="9"/>
        <v>8.1346868485452717</v>
      </c>
      <c r="L33" s="20">
        <f t="shared" si="10"/>
        <v>8</v>
      </c>
      <c r="M33" s="20">
        <v>50</v>
      </c>
      <c r="N33" s="20">
        <v>50</v>
      </c>
      <c r="O33" s="20">
        <v>20</v>
      </c>
      <c r="P33" s="20">
        <v>65</v>
      </c>
      <c r="Q33" s="20">
        <v>57</v>
      </c>
      <c r="R33" s="22">
        <f t="shared" si="11"/>
        <v>63.922505211637827</v>
      </c>
      <c r="S33" s="20">
        <v>220</v>
      </c>
      <c r="T33" s="22">
        <f t="shared" si="4"/>
        <v>20.43868857941824</v>
      </c>
      <c r="U33" s="22">
        <f t="shared" si="12"/>
        <v>5976.3555059489508</v>
      </c>
      <c r="V33" s="20" t="s">
        <v>28</v>
      </c>
      <c r="W33" s="20"/>
      <c r="X33" s="20">
        <v>56</v>
      </c>
      <c r="Y33" s="20" t="s">
        <v>29</v>
      </c>
      <c r="Z33" s="20">
        <v>110.71</v>
      </c>
      <c r="AA33" s="20" t="s">
        <v>94</v>
      </c>
      <c r="AB33" s="20">
        <v>6200</v>
      </c>
      <c r="AC33" s="20">
        <v>1</v>
      </c>
      <c r="AD33" s="23">
        <f t="shared" ref="AD33" si="23">AC33*X33</f>
        <v>56</v>
      </c>
      <c r="AE33" s="24">
        <f>AB33*AC33</f>
        <v>6200</v>
      </c>
      <c r="AF33" s="34" t="s">
        <v>101</v>
      </c>
    </row>
  </sheetData>
  <autoFilter ref="A1:AE33" xr:uid="{00000000-0001-0000-0000-000000000000}">
    <filterColumn colId="12" showButton="0"/>
    <filterColumn colId="13" showButton="0"/>
    <filterColumn colId="15" showButton="0"/>
    <filterColumn colId="16" showButton="0"/>
  </autoFilter>
  <mergeCells count="26">
    <mergeCell ref="AF1:AF2"/>
    <mergeCell ref="AE1:AE2"/>
    <mergeCell ref="A1:A2"/>
    <mergeCell ref="B1:B2"/>
    <mergeCell ref="C1:C2"/>
    <mergeCell ref="D1:D2"/>
    <mergeCell ref="E1:E2"/>
    <mergeCell ref="I1:I2"/>
    <mergeCell ref="J1:J2"/>
    <mergeCell ref="K1:K2"/>
    <mergeCell ref="AD1:AD2"/>
    <mergeCell ref="F1:F2"/>
    <mergeCell ref="G1:G2"/>
    <mergeCell ref="H1:H2"/>
    <mergeCell ref="M1:O1"/>
    <mergeCell ref="P1:R1"/>
    <mergeCell ref="Y1:Y2"/>
    <mergeCell ref="Z1:Z2"/>
    <mergeCell ref="AA1:AA2"/>
    <mergeCell ref="AB1:AB2"/>
    <mergeCell ref="AC1:AC2"/>
    <mergeCell ref="T1:T2"/>
    <mergeCell ref="U1:U2"/>
    <mergeCell ref="V1:V2"/>
    <mergeCell ref="W1:W2"/>
    <mergeCell ref="X1:X2"/>
  </mergeCells>
  <phoneticPr fontId="2" type="noConversion"/>
  <hyperlinks>
    <hyperlink ref="AF3" r:id="rId1" xr:uid="{FD80D65D-7E2C-4CAA-A3D6-FF7FAD838678}"/>
    <hyperlink ref="AF4" r:id="rId2" xr:uid="{DEA217B1-5E14-4387-8096-E38A4BCF677E}"/>
    <hyperlink ref="AF5" r:id="rId3" xr:uid="{2703D5F5-E1B2-4508-B208-D0EA8D980C9B}"/>
    <hyperlink ref="AF6" r:id="rId4" xr:uid="{ED7780BA-6DE6-42C2-AD7C-3CEED0F68F81}"/>
    <hyperlink ref="AF7" r:id="rId5" xr:uid="{4C1EBE08-69F0-4F3F-8E70-4201CA01B72F}"/>
    <hyperlink ref="AF8" r:id="rId6" xr:uid="{7030D324-B838-4D53-8D76-87BF881D6CA4}"/>
    <hyperlink ref="AF9" r:id="rId7" xr:uid="{9A89B54D-D86A-4BAD-ACC5-D221C60FC198}"/>
    <hyperlink ref="AF10" r:id="rId8" xr:uid="{9BEC495D-6AC2-4F4A-89AC-ADEA125C21BB}"/>
    <hyperlink ref="AF11" r:id="rId9" xr:uid="{8F26FE38-51E1-49BA-BE40-8BA595F049C8}"/>
    <hyperlink ref="AF12" r:id="rId10" xr:uid="{651AD55E-62B3-4BD1-91E6-B1AAA985FBFC}"/>
    <hyperlink ref="AF13" r:id="rId11" xr:uid="{913365C3-13D1-4DDC-AA56-7824F26160DC}"/>
    <hyperlink ref="AF14" r:id="rId12" xr:uid="{5C3C110F-F572-4C53-829D-6CF089F9889D}"/>
    <hyperlink ref="AF15" r:id="rId13" xr:uid="{48FB7F93-3AE3-4453-8286-1C4092D48C21}"/>
    <hyperlink ref="AF16" r:id="rId14" xr:uid="{6647AFAF-B462-4FCD-AB7C-F9375ABFBD94}"/>
    <hyperlink ref="AF17" r:id="rId15" xr:uid="{D63CF2FC-B3B7-4545-9CA1-C521E6EACDF9}"/>
    <hyperlink ref="AF18" r:id="rId16" xr:uid="{B43DBEA7-B60A-45C9-B605-79A73768891E}"/>
    <hyperlink ref="AF19" r:id="rId17" xr:uid="{01552E8D-C268-454D-ADB7-59E6658D4428}"/>
    <hyperlink ref="AF20" r:id="rId18" xr:uid="{E18119A7-7DA3-423B-9937-E4DE0FEBACB8}"/>
    <hyperlink ref="AF21" r:id="rId19" xr:uid="{B6F89DB5-F385-4172-B358-992099FB43D1}"/>
    <hyperlink ref="AF22" r:id="rId20" xr:uid="{6A12C795-0E50-40B7-BEF4-5AC1BDB45257}"/>
    <hyperlink ref="AF23" r:id="rId21" xr:uid="{40285D66-1443-4069-9008-C0BCC391FC20}"/>
    <hyperlink ref="AF24" r:id="rId22" xr:uid="{F7C9B0BE-9FF2-443F-8F28-D1E725B0A24D}"/>
    <hyperlink ref="AF25" r:id="rId23" xr:uid="{94026525-C821-49CC-BDC9-E7666C3D447D}"/>
    <hyperlink ref="AF26" r:id="rId24" xr:uid="{20D356BB-722B-4169-B167-5EAA5482848B}"/>
    <hyperlink ref="AF27" r:id="rId25" xr:uid="{DE770ED8-A85B-4271-A235-F21D88A98B94}"/>
    <hyperlink ref="AF28" r:id="rId26" xr:uid="{2F1AEEAA-7E00-42CD-B944-CA00DDD64346}"/>
    <hyperlink ref="AF29" r:id="rId27" xr:uid="{42A78DB6-7B9B-48BD-A612-DD39B3DBB05E}"/>
    <hyperlink ref="AF30" r:id="rId28" xr:uid="{4E6ED722-7D9F-4B92-9ADE-FBB5723852C5}"/>
    <hyperlink ref="AF31" r:id="rId29" xr:uid="{54E1F19C-9AFE-4102-A139-BF0DFE9DDC0E}"/>
    <hyperlink ref="AF32" r:id="rId30" xr:uid="{7171F770-3DF1-41C3-BEC4-0BCE64C1A011}"/>
    <hyperlink ref="AF33" r:id="rId31" xr:uid="{47E63A52-989B-47A2-AD77-B1B05413B97B}"/>
  </hyperlinks>
  <pageMargins left="0.7" right="0.7" top="0.75" bottom="0.75" header="0.3" footer="0.3"/>
  <pageSetup orientation="portrait" r:id="rId3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Lighting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 Soliya</dc:creator>
  <cp:lastModifiedBy>Manan Patel</cp:lastModifiedBy>
  <dcterms:created xsi:type="dcterms:W3CDTF">2015-06-05T18:17:20Z</dcterms:created>
  <dcterms:modified xsi:type="dcterms:W3CDTF">2023-03-07T01:44:21Z</dcterms:modified>
</cp:coreProperties>
</file>