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nanshah/Desktop/JFC Residency/"/>
    </mc:Choice>
  </mc:AlternateContent>
  <xr:revisionPtr revIDLastSave="0" documentId="13_ncr:11_{72F19C77-6F64-204A-8EE7-1A9A4C5526FB}" xr6:coauthVersionLast="46" xr6:coauthVersionMax="46" xr10:uidLastSave="{00000000-0000-0000-0000-000000000000}"/>
  <bookViews>
    <workbookView xWindow="1900" yWindow="460" windowWidth="22780" windowHeight="14660" tabRatio="855" firstSheet="1" activeTab="5" xr2:uid="{00000000-000D-0000-FFFF-FFFF00000000}"/>
  </bookViews>
  <sheets>
    <sheet name="Read First" sheetId="22" r:id="rId1"/>
    <sheet name="Blank" sheetId="24" r:id="rId2"/>
    <sheet name="IS" sheetId="18" r:id="rId3"/>
    <sheet name="BS" sheetId="19" r:id="rId4"/>
    <sheet name="CFS" sheetId="20" r:id="rId5"/>
    <sheet name="DATA" sheetId="8" r:id="rId6"/>
    <sheet name="Sourced From Original" sheetId="21" r:id="rId7"/>
    <sheet name="Overview" sheetId="1" r:id="rId8"/>
    <sheet name="Forecast" sheetId="2" r:id="rId9"/>
    <sheet name="Market Mult. " sheetId="7" r:id="rId10"/>
    <sheet name="DDM" sheetId="3" r:id="rId11"/>
    <sheet name="FCFM" sheetId="4" r:id="rId12"/>
    <sheet name="RIM" sheetId="5" r:id="rId13"/>
    <sheet name="MVA Model" sheetId="6" r:id="rId14"/>
    <sheet name="Findings" sheetId="9" r:id="rId15"/>
    <sheet name="Football" sheetId="17" r:id="rId16"/>
    <sheet name="EV Football" sheetId="27" r:id="rId17"/>
  </sheets>
  <definedNames>
    <definedName name="_xlnm.Print_Area" localSheetId="7">Overview!$B:$G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2" l="1"/>
  <c r="I17" i="2"/>
  <c r="J8" i="2" s="1"/>
  <c r="J9" i="2" s="1"/>
  <c r="N14" i="8"/>
  <c r="J4" i="2"/>
  <c r="F27" i="2"/>
  <c r="D20" i="6" l="1"/>
  <c r="C20" i="6"/>
  <c r="H5" i="6" l="1"/>
  <c r="H5" i="5"/>
  <c r="I32" i="2" l="1"/>
  <c r="N7" i="8" s="1"/>
  <c r="D4" i="4" l="1"/>
  <c r="C3" i="8"/>
  <c r="H21" i="2"/>
  <c r="C14" i="4"/>
  <c r="C15" i="4"/>
  <c r="C17" i="4"/>
  <c r="C18" i="4"/>
  <c r="C20" i="4"/>
  <c r="H5" i="3" l="1"/>
  <c r="G19" i="8" l="1"/>
  <c r="D4" i="1" l="1"/>
  <c r="E4" i="1"/>
  <c r="F4" i="1"/>
  <c r="G4" i="1"/>
  <c r="C4" i="1"/>
  <c r="D4" i="21"/>
  <c r="E4" i="21"/>
  <c r="F4" i="21"/>
  <c r="G4" i="21"/>
  <c r="C4" i="21"/>
  <c r="C114" i="21" l="1" a="1"/>
  <c r="C114" i="21" s="1"/>
  <c r="I32" i="27" l="1"/>
  <c r="M19" i="27"/>
  <c r="H27" i="17" l="1"/>
  <c r="I15" i="8"/>
  <c r="I11" i="8"/>
  <c r="I12" i="8"/>
  <c r="I13" i="8"/>
  <c r="I14" i="8"/>
  <c r="G20" i="8"/>
  <c r="G34" i="1"/>
  <c r="G33" i="1"/>
  <c r="C59" i="21" l="1" a="1"/>
  <c r="C59" i="21" s="1"/>
  <c r="C49" i="1" s="1"/>
  <c r="C58" i="21" a="1"/>
  <c r="C58" i="21" s="1"/>
  <c r="C157" i="21" a="1"/>
  <c r="C157" i="21" s="1"/>
  <c r="C156" i="21" a="1"/>
  <c r="C156" i="21" s="1"/>
  <c r="C155" i="21" a="1"/>
  <c r="C155" i="21" s="1"/>
  <c r="C154" i="21" a="1"/>
  <c r="C154" i="21" s="1"/>
  <c r="C153" i="21" a="1"/>
  <c r="C153" i="21" s="1"/>
  <c r="C152" i="21" a="1"/>
  <c r="C152" i="21" s="1"/>
  <c r="C149" i="21" a="1"/>
  <c r="C149" i="21" s="1"/>
  <c r="C148" i="21" a="1"/>
  <c r="C148" i="21" s="1"/>
  <c r="C147" i="21" a="1"/>
  <c r="C147" i="21" s="1"/>
  <c r="C146" i="21" a="1"/>
  <c r="C146" i="21" s="1"/>
  <c r="C145" i="21" a="1"/>
  <c r="C145" i="21" s="1"/>
  <c r="C144" i="21" a="1"/>
  <c r="C144" i="21" s="1"/>
  <c r="C143" i="21" a="1"/>
  <c r="C143" i="21" s="1"/>
  <c r="C142" i="21" a="1"/>
  <c r="C142" i="21" s="1"/>
  <c r="C141" i="21" a="1"/>
  <c r="C141" i="21" s="1"/>
  <c r="C138" i="21" a="1"/>
  <c r="C138" i="21" s="1"/>
  <c r="C137" i="21" a="1"/>
  <c r="C137" i="21" s="1"/>
  <c r="C136" i="21" a="1"/>
  <c r="C136" i="21" s="1"/>
  <c r="C135" i="21" a="1"/>
  <c r="C135" i="21" s="1"/>
  <c r="C134" i="21" a="1"/>
  <c r="C134" i="21" s="1"/>
  <c r="C133" i="21" a="1"/>
  <c r="C133" i="21" s="1"/>
  <c r="C132" i="21" a="1"/>
  <c r="C132" i="21" s="1"/>
  <c r="C131" i="21" a="1"/>
  <c r="C131" i="21" s="1"/>
  <c r="C130" i="21" a="1"/>
  <c r="C130" i="21" s="1"/>
  <c r="C127" i="21" a="1"/>
  <c r="C127" i="21" s="1"/>
  <c r="C126" i="21" a="1"/>
  <c r="C126" i="21" s="1"/>
  <c r="C125" i="21" a="1"/>
  <c r="C125" i="21" s="1"/>
  <c r="C124" i="21" a="1"/>
  <c r="C124" i="21" s="1"/>
  <c r="C123" i="21" a="1"/>
  <c r="C123" i="21" s="1"/>
  <c r="C122" i="21" a="1"/>
  <c r="C122" i="21" s="1"/>
  <c r="C121" i="21" a="1"/>
  <c r="C121" i="21" s="1"/>
  <c r="C120" i="21" a="1"/>
  <c r="C120" i="21" s="1"/>
  <c r="C119" i="21" a="1"/>
  <c r="C119" i="21" s="1"/>
  <c r="C118" i="21" a="1"/>
  <c r="C118" i="21" s="1"/>
  <c r="C117" i="21" a="1"/>
  <c r="C117" i="21" s="1"/>
  <c r="C116" i="21" a="1"/>
  <c r="C116" i="21" s="1"/>
  <c r="C115" i="21" a="1"/>
  <c r="C115" i="21" s="1"/>
  <c r="C113" i="21" a="1"/>
  <c r="C113" i="21" s="1"/>
  <c r="C112" i="21" a="1"/>
  <c r="C112" i="21" s="1"/>
  <c r="K11" i="17"/>
  <c r="B6" i="3"/>
  <c r="K10" i="8"/>
  <c r="G35" i="1"/>
  <c r="H5" i="4"/>
  <c r="C47" i="1" l="1"/>
  <c r="G47" i="1"/>
  <c r="C6" i="4" s="1"/>
  <c r="F47" i="1"/>
  <c r="E47" i="1"/>
  <c r="G49" i="1"/>
  <c r="D47" i="1"/>
  <c r="F49" i="1"/>
  <c r="E49" i="1"/>
  <c r="D49" i="1"/>
  <c r="C106" i="21" a="1"/>
  <c r="G4" i="8" s="1"/>
  <c r="C105" i="21" a="1"/>
  <c r="C105" i="21" s="1"/>
  <c r="C102" i="21" a="1"/>
  <c r="C102" i="21" s="1"/>
  <c r="C101" i="21" a="1"/>
  <c r="C100" i="21" a="1"/>
  <c r="C100" i="21" s="1"/>
  <c r="C99" i="21" a="1"/>
  <c r="C99" i="21" s="1"/>
  <c r="C98" i="21" a="1"/>
  <c r="C98" i="21" s="1"/>
  <c r="C97" i="21" a="1"/>
  <c r="C97" i="21" s="1"/>
  <c r="C96" i="21" a="1"/>
  <c r="C96" i="21" s="1"/>
  <c r="C95" i="21" a="1"/>
  <c r="C95" i="21" s="1"/>
  <c r="C94" i="21" a="1"/>
  <c r="C94" i="21" s="1"/>
  <c r="C91" i="21" a="1"/>
  <c r="C91" i="21" s="1"/>
  <c r="C90" i="21" a="1"/>
  <c r="C90" i="21" s="1"/>
  <c r="C89" i="21" a="1"/>
  <c r="C88" i="21" a="1"/>
  <c r="C86" i="21" a="1"/>
  <c r="C85" i="21" a="1"/>
  <c r="C85" i="21" s="1"/>
  <c r="C83" i="21" a="1"/>
  <c r="C81" i="21" a="1"/>
  <c r="C81" i="21" s="1"/>
  <c r="C80" i="21" a="1"/>
  <c r="C80" i="21" s="1"/>
  <c r="C79" i="21" a="1"/>
  <c r="C79" i="21" s="1"/>
  <c r="C78" i="21" a="1"/>
  <c r="C78" i="21" s="1"/>
  <c r="C75" i="21" a="1"/>
  <c r="C73" i="21" a="1"/>
  <c r="C73" i="21" s="1"/>
  <c r="C72" i="21" a="1"/>
  <c r="C72" i="21" s="1"/>
  <c r="C71" i="21" a="1"/>
  <c r="C71" i="21" s="1"/>
  <c r="C70" i="21" a="1"/>
  <c r="C70" i="21" s="1"/>
  <c r="C69" i="21" a="1"/>
  <c r="C69" i="21" s="1"/>
  <c r="C68" i="21" a="1"/>
  <c r="C68" i="21" s="1"/>
  <c r="C67" i="21" a="1"/>
  <c r="C67" i="21" s="1"/>
  <c r="C65" i="21" a="1"/>
  <c r="C65" i="21" s="1"/>
  <c r="C63" i="21" a="1"/>
  <c r="C63" i="21" s="1"/>
  <c r="C62" i="21" a="1"/>
  <c r="C62" i="21" s="1"/>
  <c r="C61" i="21" a="1"/>
  <c r="C61" i="21" s="1"/>
  <c r="C60" i="21" a="1"/>
  <c r="C52" i="21" a="1"/>
  <c r="C51" i="21" a="1"/>
  <c r="C48" i="21" a="1"/>
  <c r="C45" i="21" a="1"/>
  <c r="C45" i="21" s="1"/>
  <c r="C44" i="21" a="1"/>
  <c r="C44" i="21" s="1"/>
  <c r="C43" i="21" a="1"/>
  <c r="C43" i="21" s="1"/>
  <c r="C40" i="21" a="1"/>
  <c r="C40" i="21" s="1"/>
  <c r="C39" i="21" a="1"/>
  <c r="C38" i="21" a="1"/>
  <c r="C38" i="21" s="1"/>
  <c r="C35" i="21" a="1"/>
  <c r="C35" i="21" s="1"/>
  <c r="C34" i="21" a="1"/>
  <c r="C34" i="21" s="1"/>
  <c r="C33" i="21" a="1"/>
  <c r="C33" i="21" s="1"/>
  <c r="C26" i="21" a="1"/>
  <c r="C25" i="21" a="1"/>
  <c r="C23" i="21" a="1"/>
  <c r="C22" i="21" a="1"/>
  <c r="C22" i="21" s="1"/>
  <c r="C21" i="21" a="1"/>
  <c r="C21" i="21" s="1"/>
  <c r="C17" i="21" a="1"/>
  <c r="C15" i="21" a="1"/>
  <c r="C15" i="21" s="1"/>
  <c r="C13" i="21" a="1"/>
  <c r="C13" i="21" s="1"/>
  <c r="C12" i="21" a="1"/>
  <c r="C8" i="21" a="1"/>
  <c r="G28" i="21" l="1"/>
  <c r="F28" i="21"/>
  <c r="E28" i="21"/>
  <c r="D28" i="21"/>
  <c r="C23" i="21"/>
  <c r="C30" i="21" s="1"/>
  <c r="G30" i="21"/>
  <c r="D30" i="21"/>
  <c r="F30" i="21"/>
  <c r="E30" i="21"/>
  <c r="E27" i="21"/>
  <c r="D27" i="21"/>
  <c r="G27" i="21"/>
  <c r="F27" i="21"/>
  <c r="C12" i="21"/>
  <c r="C14" i="21" s="1"/>
  <c r="E18" i="21"/>
  <c r="G18" i="21"/>
  <c r="D18" i="21"/>
  <c r="F18" i="21"/>
  <c r="E9" i="21"/>
  <c r="F9" i="21"/>
  <c r="G9" i="21"/>
  <c r="G3" i="8"/>
  <c r="K10" i="27"/>
  <c r="F11" i="1"/>
  <c r="D11" i="1"/>
  <c r="E11" i="1"/>
  <c r="G11" i="1"/>
  <c r="G29" i="1"/>
  <c r="F29" i="1"/>
  <c r="D29" i="1"/>
  <c r="E29" i="1"/>
  <c r="N6" i="8"/>
  <c r="G12" i="1"/>
  <c r="F28" i="1"/>
  <c r="D12" i="1"/>
  <c r="F12" i="1"/>
  <c r="E28" i="1"/>
  <c r="G28" i="1"/>
  <c r="E12" i="1"/>
  <c r="D28" i="1"/>
  <c r="D15" i="1"/>
  <c r="E15" i="1"/>
  <c r="E27" i="1"/>
  <c r="F27" i="1"/>
  <c r="G27" i="1"/>
  <c r="F15" i="1"/>
  <c r="G15" i="1"/>
  <c r="D27" i="1"/>
  <c r="D22" i="1"/>
  <c r="E22" i="1"/>
  <c r="F22" i="1"/>
  <c r="G22" i="1"/>
  <c r="K12" i="8" s="1"/>
  <c r="D24" i="1"/>
  <c r="G24" i="1"/>
  <c r="K14" i="8" s="1"/>
  <c r="E58" i="1"/>
  <c r="F58" i="1"/>
  <c r="G58" i="1"/>
  <c r="D58" i="1"/>
  <c r="E24" i="1"/>
  <c r="F24" i="1"/>
  <c r="D57" i="1"/>
  <c r="E57" i="1"/>
  <c r="F57" i="1"/>
  <c r="G57" i="1"/>
  <c r="C106" i="21"/>
  <c r="C29" i="1" s="1"/>
  <c r="D54" i="1"/>
  <c r="E54" i="1"/>
  <c r="F54" i="1"/>
  <c r="G54" i="1"/>
  <c r="C60" i="21"/>
  <c r="C50" i="1" s="1"/>
  <c r="D50" i="1"/>
  <c r="E50" i="1"/>
  <c r="F50" i="1"/>
  <c r="G50" i="1"/>
  <c r="G51" i="1"/>
  <c r="F51" i="1"/>
  <c r="D51" i="1"/>
  <c r="E51" i="1"/>
  <c r="D38" i="1"/>
  <c r="E38" i="1"/>
  <c r="F44" i="1"/>
  <c r="G44" i="1"/>
  <c r="F38" i="1"/>
  <c r="D44" i="1"/>
  <c r="G38" i="1"/>
  <c r="C6" i="3" s="1"/>
  <c r="E44" i="1"/>
  <c r="C88" i="21"/>
  <c r="C52" i="1" s="1"/>
  <c r="D52" i="1"/>
  <c r="E52" i="1"/>
  <c r="F52" i="1"/>
  <c r="G52" i="1"/>
  <c r="C51" i="21"/>
  <c r="C42" i="1" s="1"/>
  <c r="G42" i="1"/>
  <c r="F42" i="1"/>
  <c r="E42" i="1"/>
  <c r="D42" i="1"/>
  <c r="C89" i="21"/>
  <c r="C53" i="1" s="1"/>
  <c r="F53" i="1"/>
  <c r="G53" i="1"/>
  <c r="D53" i="1"/>
  <c r="E53" i="1"/>
  <c r="C52" i="21"/>
  <c r="C43" i="1" s="1"/>
  <c r="D43" i="1"/>
  <c r="E43" i="1"/>
  <c r="F43" i="1"/>
  <c r="G43" i="1"/>
  <c r="F104" i="21"/>
  <c r="F26" i="1" s="1"/>
  <c r="F10" i="2" s="1"/>
  <c r="E104" i="21"/>
  <c r="E26" i="1" s="1"/>
  <c r="E10" i="2" s="1"/>
  <c r="D104" i="21"/>
  <c r="D26" i="1" s="1"/>
  <c r="D10" i="2" s="1"/>
  <c r="G104" i="21"/>
  <c r="G26" i="1" s="1"/>
  <c r="G10" i="2" s="1"/>
  <c r="C83" i="21"/>
  <c r="C17" i="1" s="1"/>
  <c r="G17" i="1"/>
  <c r="D17" i="1"/>
  <c r="E17" i="1"/>
  <c r="F17" i="1"/>
  <c r="D18" i="1"/>
  <c r="E18" i="1"/>
  <c r="F18" i="1"/>
  <c r="G18" i="1"/>
  <c r="C75" i="21"/>
  <c r="D16" i="1"/>
  <c r="E16" i="1"/>
  <c r="F16" i="1"/>
  <c r="G16" i="1"/>
  <c r="C101" i="21"/>
  <c r="N9" i="8"/>
  <c r="C86" i="21"/>
  <c r="C51" i="1" s="1"/>
  <c r="N10" i="8"/>
  <c r="C8" i="21"/>
  <c r="D9" i="21" s="1"/>
  <c r="F8" i="1"/>
  <c r="G8" i="1"/>
  <c r="E8" i="1"/>
  <c r="C17" i="21"/>
  <c r="F6" i="1"/>
  <c r="G6" i="1"/>
  <c r="E6" i="1"/>
  <c r="C48" i="21"/>
  <c r="E7" i="1"/>
  <c r="F7" i="1"/>
  <c r="G7" i="1"/>
  <c r="C25" i="21"/>
  <c r="C28" i="21" s="1"/>
  <c r="C39" i="21"/>
  <c r="C23" i="1" s="1"/>
  <c r="E23" i="1"/>
  <c r="F23" i="1"/>
  <c r="K13" i="8"/>
  <c r="D23" i="1"/>
  <c r="G23" i="1"/>
  <c r="C26" i="21"/>
  <c r="F5" i="1"/>
  <c r="G5" i="1"/>
  <c r="E5" i="1"/>
  <c r="F74" i="21"/>
  <c r="E64" i="21"/>
  <c r="D82" i="21"/>
  <c r="F14" i="21"/>
  <c r="D14" i="21"/>
  <c r="G14" i="21"/>
  <c r="D64" i="21"/>
  <c r="F64" i="21"/>
  <c r="G64" i="21"/>
  <c r="D74" i="21"/>
  <c r="E82" i="21"/>
  <c r="E14" i="21"/>
  <c r="E74" i="21"/>
  <c r="F82" i="21"/>
  <c r="G82" i="21"/>
  <c r="G74" i="21"/>
  <c r="N11" i="8" l="1"/>
  <c r="C58" i="1"/>
  <c r="N8" i="8"/>
  <c r="N12" i="8"/>
  <c r="C27" i="21"/>
  <c r="C31" i="21"/>
  <c r="C18" i="21"/>
  <c r="F31" i="21"/>
  <c r="C11" i="1"/>
  <c r="E13" i="1" s="1"/>
  <c r="E31" i="21"/>
  <c r="G13" i="1"/>
  <c r="G31" i="21"/>
  <c r="G14" i="1"/>
  <c r="F23" i="2" s="1"/>
  <c r="F13" i="1"/>
  <c r="D14" i="1"/>
  <c r="E14" i="1"/>
  <c r="C12" i="1"/>
  <c r="C28" i="1"/>
  <c r="C27" i="1"/>
  <c r="C15" i="1"/>
  <c r="F14" i="1"/>
  <c r="D30" i="1"/>
  <c r="D25" i="1"/>
  <c r="F30" i="1"/>
  <c r="F25" i="1"/>
  <c r="G25" i="1"/>
  <c r="K15" i="8" s="1"/>
  <c r="G30" i="1"/>
  <c r="E30" i="1"/>
  <c r="E25" i="1"/>
  <c r="D5" i="1"/>
  <c r="D31" i="21"/>
  <c r="C54" i="1"/>
  <c r="C24" i="1"/>
  <c r="C22" i="1"/>
  <c r="C44" i="1"/>
  <c r="C14" i="1" s="1"/>
  <c r="C38" i="1"/>
  <c r="G21" i="1"/>
  <c r="K11" i="8" s="1"/>
  <c r="G41" i="1"/>
  <c r="D6" i="1"/>
  <c r="C57" i="1"/>
  <c r="D21" i="1"/>
  <c r="D41" i="1"/>
  <c r="E21" i="1"/>
  <c r="E41" i="1"/>
  <c r="C64" i="21"/>
  <c r="F21" i="1"/>
  <c r="F41" i="1"/>
  <c r="C16" i="1"/>
  <c r="C104" i="21"/>
  <c r="C26" i="1" s="1"/>
  <c r="C10" i="2" s="1"/>
  <c r="C74" i="21"/>
  <c r="C82" i="21"/>
  <c r="D8" i="1"/>
  <c r="C18" i="1"/>
  <c r="D7" i="1"/>
  <c r="D21" i="2" l="1"/>
  <c r="C30" i="1"/>
  <c r="C25" i="1"/>
  <c r="C21" i="1"/>
  <c r="C41" i="1"/>
  <c r="E15" i="4"/>
  <c r="F15" i="4" s="1"/>
  <c r="F59" i="1"/>
  <c r="C8" i="8" l="1"/>
  <c r="B24" i="6"/>
  <c r="B21" i="6"/>
  <c r="B8" i="6"/>
  <c r="B7" i="6"/>
  <c r="B6" i="6"/>
  <c r="B25" i="6"/>
  <c r="B23" i="6"/>
  <c r="B22" i="6"/>
  <c r="B20" i="6"/>
  <c r="B19" i="6"/>
  <c r="B6" i="4"/>
  <c r="H4" i="4"/>
  <c r="H4" i="6" s="1"/>
  <c r="G4" i="4"/>
  <c r="G4" i="6" s="1"/>
  <c r="F4" i="4"/>
  <c r="F4" i="6" s="1"/>
  <c r="E4" i="4"/>
  <c r="E4" i="6" s="1"/>
  <c r="D4" i="6"/>
  <c r="B4" i="4"/>
  <c r="B4" i="6" s="1"/>
  <c r="H4" i="5"/>
  <c r="G4" i="5"/>
  <c r="F4" i="5"/>
  <c r="E4" i="5"/>
  <c r="D4" i="5"/>
  <c r="B4" i="5"/>
  <c r="H4" i="3"/>
  <c r="G4" i="3"/>
  <c r="F4" i="3"/>
  <c r="E4" i="3"/>
  <c r="D4" i="3"/>
  <c r="B4" i="3"/>
  <c r="D8" i="5"/>
  <c r="B16" i="2"/>
  <c r="B15" i="2"/>
  <c r="B14" i="2"/>
  <c r="B13" i="2"/>
  <c r="F7" i="2"/>
  <c r="D7" i="2"/>
  <c r="F5" i="2"/>
  <c r="D5" i="2"/>
  <c r="G61" i="1"/>
  <c r="F61" i="1"/>
  <c r="E61" i="1"/>
  <c r="D61" i="1"/>
  <c r="C61" i="1"/>
  <c r="C59" i="1"/>
  <c r="C6" i="6"/>
  <c r="E5" i="2"/>
  <c r="C5" i="2"/>
  <c r="E20" i="4"/>
  <c r="F65" i="1"/>
  <c r="E65" i="1"/>
  <c r="D65" i="1"/>
  <c r="C65" i="1"/>
  <c r="G64" i="1"/>
  <c r="F64" i="1"/>
  <c r="E64" i="1"/>
  <c r="D64" i="1"/>
  <c r="C64" i="1"/>
  <c r="G63" i="1"/>
  <c r="F63" i="1"/>
  <c r="E63" i="1"/>
  <c r="D63" i="1"/>
  <c r="C63" i="1"/>
  <c r="G62" i="1"/>
  <c r="E17" i="4" s="1"/>
  <c r="F62" i="1"/>
  <c r="E62" i="1"/>
  <c r="D62" i="1"/>
  <c r="C62" i="1"/>
  <c r="G60" i="1"/>
  <c r="F60" i="1"/>
  <c r="E60" i="1"/>
  <c r="D60" i="1"/>
  <c r="C60" i="1"/>
  <c r="G7" i="2"/>
  <c r="E7" i="2"/>
  <c r="C7" i="2"/>
  <c r="C7" i="5"/>
  <c r="E9" i="2"/>
  <c r="G8" i="2"/>
  <c r="F8" i="2"/>
  <c r="E8" i="2"/>
  <c r="D8" i="2"/>
  <c r="C8" i="2"/>
  <c r="G4" i="2"/>
  <c r="F4" i="2"/>
  <c r="E4" i="2"/>
  <c r="D4" i="2"/>
  <c r="C4" i="2"/>
  <c r="G10" i="1"/>
  <c r="G20" i="1" s="1"/>
  <c r="G32" i="1" s="1"/>
  <c r="G37" i="1" s="1"/>
  <c r="G40" i="1" s="1"/>
  <c r="G46" i="1" s="1"/>
  <c r="G56" i="1" s="1"/>
  <c r="C2" i="1"/>
  <c r="C9" i="7"/>
  <c r="C8" i="7"/>
  <c r="D8" i="7" s="1"/>
  <c r="C7" i="7"/>
  <c r="C6" i="7"/>
  <c r="D6" i="7" s="1"/>
  <c r="C5" i="7"/>
  <c r="D5" i="7" s="1"/>
  <c r="D8" i="8" l="1"/>
  <c r="D5" i="5"/>
  <c r="D5" i="6"/>
  <c r="D5" i="4"/>
  <c r="D5" i="3"/>
  <c r="C16" i="2"/>
  <c r="G65" i="1"/>
  <c r="E18" i="2"/>
  <c r="E17" i="2"/>
  <c r="G6" i="2"/>
  <c r="G15" i="2" s="1"/>
  <c r="D16" i="2"/>
  <c r="E14" i="4"/>
  <c r="C19" i="6" s="1"/>
  <c r="D19" i="6" s="1"/>
  <c r="F17" i="2"/>
  <c r="F16" i="2"/>
  <c r="D14" i="2"/>
  <c r="C17" i="2"/>
  <c r="C14" i="2"/>
  <c r="F14" i="2"/>
  <c r="E14" i="2"/>
  <c r="C6" i="2"/>
  <c r="C15" i="2" s="1"/>
  <c r="D9" i="2"/>
  <c r="D18" i="2" s="1"/>
  <c r="D6" i="2"/>
  <c r="D15" i="2" s="1"/>
  <c r="D9" i="7"/>
  <c r="C14" i="9" s="1"/>
  <c r="D14" i="9" s="1"/>
  <c r="D7" i="7"/>
  <c r="C12" i="9" s="1"/>
  <c r="D12" i="9" s="1"/>
  <c r="C11" i="9"/>
  <c r="D11" i="9" s="1"/>
  <c r="E10" i="1"/>
  <c r="E20" i="1" s="1"/>
  <c r="E32" i="1" s="1"/>
  <c r="E37" i="1" s="1"/>
  <c r="E40" i="1" s="1"/>
  <c r="E46" i="1" s="1"/>
  <c r="E56" i="1" s="1"/>
  <c r="C25" i="6"/>
  <c r="D25" i="6" s="1"/>
  <c r="F20" i="4"/>
  <c r="D17" i="2"/>
  <c r="G16" i="2"/>
  <c r="C10" i="9"/>
  <c r="D10" i="9" s="1"/>
  <c r="E16" i="2"/>
  <c r="F17" i="4"/>
  <c r="C22" i="6"/>
  <c r="D22" i="6" s="1"/>
  <c r="G17" i="2"/>
  <c r="G5" i="2"/>
  <c r="G14" i="2" s="1"/>
  <c r="C9" i="2"/>
  <c r="C18" i="2" s="1"/>
  <c r="C6" i="5"/>
  <c r="E18" i="4"/>
  <c r="C7" i="6"/>
  <c r="F10" i="1"/>
  <c r="F20" i="1" s="1"/>
  <c r="F32" i="1" s="1"/>
  <c r="F37" i="1" s="1"/>
  <c r="F40" i="1" s="1"/>
  <c r="F46" i="1" s="1"/>
  <c r="F56" i="1" s="1"/>
  <c r="E6" i="2"/>
  <c r="E15" i="2" s="1"/>
  <c r="F9" i="2"/>
  <c r="F18" i="2" s="1"/>
  <c r="D7" i="3"/>
  <c r="F6" i="2"/>
  <c r="F15" i="2" s="1"/>
  <c r="G9" i="2"/>
  <c r="G18" i="2" s="1"/>
  <c r="I18" i="2" s="1"/>
  <c r="E8" i="8" l="1"/>
  <c r="E5" i="6"/>
  <c r="E5" i="5"/>
  <c r="E5" i="4"/>
  <c r="K4" i="2"/>
  <c r="E5" i="3"/>
  <c r="I16" i="2"/>
  <c r="D10" i="7"/>
  <c r="I14" i="2"/>
  <c r="F14" i="4"/>
  <c r="F18" i="4"/>
  <c r="C23" i="6"/>
  <c r="D23" i="6" s="1"/>
  <c r="D10" i="1"/>
  <c r="D20" i="1" s="1"/>
  <c r="D32" i="1" s="1"/>
  <c r="D37" i="1" s="1"/>
  <c r="D40" i="1" s="1"/>
  <c r="D46" i="1" s="1"/>
  <c r="D56" i="1" s="1"/>
  <c r="C10" i="1"/>
  <c r="C20" i="1" s="1"/>
  <c r="C32" i="1" s="1"/>
  <c r="C37" i="1" s="1"/>
  <c r="C40" i="1" s="1"/>
  <c r="C46" i="1" s="1"/>
  <c r="C56" i="1" s="1"/>
  <c r="F8" i="8" l="1"/>
  <c r="F5" i="6"/>
  <c r="F5" i="5"/>
  <c r="F5" i="4"/>
  <c r="L4" i="2"/>
  <c r="F5" i="3"/>
  <c r="J7" i="2"/>
  <c r="D6" i="4" s="1"/>
  <c r="J6" i="2"/>
  <c r="D7" i="6" s="1"/>
  <c r="K5" i="2"/>
  <c r="K6" i="2"/>
  <c r="E7" i="6" s="1"/>
  <c r="J5" i="2"/>
  <c r="K8" i="2"/>
  <c r="C13" i="9"/>
  <c r="D13" i="9" s="1"/>
  <c r="D15" i="9" s="1"/>
  <c r="D29" i="27" s="1"/>
  <c r="K7" i="2"/>
  <c r="E6" i="4" s="1"/>
  <c r="G5" i="6" l="1"/>
  <c r="G5" i="5"/>
  <c r="G5" i="3"/>
  <c r="D6" i="5"/>
  <c r="C17" i="9" s="1"/>
  <c r="M4" i="2"/>
  <c r="N4" i="2" s="1"/>
  <c r="L8" i="2"/>
  <c r="L9" i="2" s="1"/>
  <c r="G5" i="4"/>
  <c r="E6" i="5"/>
  <c r="F6" i="5" s="1"/>
  <c r="D6" i="3"/>
  <c r="L7" i="2"/>
  <c r="F6" i="4" s="1"/>
  <c r="L5" i="2"/>
  <c r="L6" i="2"/>
  <c r="F7" i="6" s="1"/>
  <c r="J10" i="2"/>
  <c r="D6" i="6"/>
  <c r="D10" i="6" s="1"/>
  <c r="C24" i="17"/>
  <c r="C26" i="17" s="1"/>
  <c r="D31" i="27"/>
  <c r="K9" i="2"/>
  <c r="E6" i="3" s="1"/>
  <c r="C18" i="3" l="1"/>
  <c r="C17" i="3"/>
  <c r="D10" i="5"/>
  <c r="D12" i="5" s="1"/>
  <c r="M5" i="2"/>
  <c r="E6" i="6"/>
  <c r="E10" i="6" s="1"/>
  <c r="F6" i="3"/>
  <c r="F11" i="3" s="1"/>
  <c r="D10" i="3"/>
  <c r="D7" i="5"/>
  <c r="E10" i="5" s="1"/>
  <c r="E13" i="5" s="1"/>
  <c r="M7" i="2"/>
  <c r="G6" i="4" s="1"/>
  <c r="M6" i="2"/>
  <c r="G7" i="6" s="1"/>
  <c r="N7" i="2"/>
  <c r="H6" i="4" s="1"/>
  <c r="M8" i="2"/>
  <c r="G6" i="5" s="1"/>
  <c r="E11" i="3"/>
  <c r="C25" i="17"/>
  <c r="K10" i="2"/>
  <c r="L10" i="2" s="1"/>
  <c r="F6" i="6" l="1"/>
  <c r="F10" i="3"/>
  <c r="N8" i="2"/>
  <c r="N9" i="2" s="1"/>
  <c r="H6" i="3" s="1"/>
  <c r="N5" i="2"/>
  <c r="N6" i="2"/>
  <c r="H7" i="6" s="1"/>
  <c r="M9" i="2"/>
  <c r="G6" i="3" s="1"/>
  <c r="E10" i="3"/>
  <c r="E7" i="5"/>
  <c r="F10" i="5" s="1"/>
  <c r="F13" i="5" s="1"/>
  <c r="E12" i="5"/>
  <c r="F10" i="6" l="1"/>
  <c r="G6" i="6"/>
  <c r="G10" i="6" s="1"/>
  <c r="H6" i="5"/>
  <c r="M10" i="2"/>
  <c r="N10" i="2" s="1"/>
  <c r="F12" i="5"/>
  <c r="F7" i="5"/>
  <c r="G7" i="5" s="1"/>
  <c r="H9" i="3"/>
  <c r="H6" i="6" l="1"/>
  <c r="H10" i="6" s="1"/>
  <c r="H10" i="5"/>
  <c r="G11" i="5" s="1"/>
  <c r="G10" i="5"/>
  <c r="H7" i="5"/>
  <c r="G9" i="3"/>
  <c r="G10" i="3" s="1"/>
  <c r="C13" i="3" s="1"/>
  <c r="G13" i="5" l="1"/>
  <c r="G12" i="5"/>
  <c r="D15" i="5" s="1"/>
  <c r="G11" i="3"/>
  <c r="C3" i="9"/>
  <c r="D16" i="5" l="1"/>
  <c r="C5" i="9" s="1"/>
  <c r="D17" i="5"/>
  <c r="D5" i="9" s="1"/>
  <c r="C14" i="3"/>
  <c r="D3" i="9" s="1"/>
  <c r="D24" i="17"/>
  <c r="E29" i="27"/>
  <c r="F26" i="17" l="1"/>
  <c r="G31" i="27"/>
  <c r="F24" i="17"/>
  <c r="G29" i="27"/>
  <c r="D26" i="17"/>
  <c r="D25" i="17" s="1"/>
  <c r="E31" i="27"/>
  <c r="E30" i="27" s="1"/>
  <c r="G30" i="27"/>
  <c r="N13" i="8"/>
  <c r="F25" i="17" l="1"/>
  <c r="N15" i="8"/>
  <c r="G2" i="8" s="1"/>
  <c r="G48" i="1" l="1"/>
  <c r="D8" i="6" s="1"/>
  <c r="G59" i="1"/>
  <c r="D7" i="4" s="1"/>
  <c r="E11" i="6" l="1"/>
  <c r="E13" i="6" s="1"/>
  <c r="F11" i="6"/>
  <c r="F13" i="6" s="1"/>
  <c r="D11" i="6"/>
  <c r="D13" i="6" s="1"/>
  <c r="H11" i="6"/>
  <c r="G12" i="6" s="1"/>
  <c r="G11" i="6"/>
  <c r="F10" i="4"/>
  <c r="E10" i="4"/>
  <c r="G9" i="4"/>
  <c r="G10" i="4" s="1"/>
  <c r="D10" i="4"/>
  <c r="E11" i="4"/>
  <c r="F11" i="4"/>
  <c r="E13" i="4" l="1"/>
  <c r="E16" i="4" s="1"/>
  <c r="E19" i="4" s="1"/>
  <c r="E21" i="4" s="1"/>
  <c r="C4" i="9" s="1"/>
  <c r="G15" i="6"/>
  <c r="F15" i="6"/>
  <c r="E15" i="6"/>
  <c r="G13" i="6"/>
  <c r="D14" i="6" s="1"/>
  <c r="C18" i="6" s="1"/>
  <c r="G11" i="4"/>
  <c r="F13" i="4" s="1"/>
  <c r="F16" i="4" s="1"/>
  <c r="F19" i="4" s="1"/>
  <c r="F22" i="4" s="1"/>
  <c r="E24" i="17" l="1"/>
  <c r="F29" i="27"/>
  <c r="D15" i="6"/>
  <c r="D18" i="6" s="1"/>
  <c r="D4" i="9"/>
  <c r="F31" i="27" s="1"/>
  <c r="D21" i="6" l="1"/>
  <c r="D24" i="6" s="1"/>
  <c r="D27" i="6" s="1"/>
  <c r="D6" i="9" s="1"/>
  <c r="C21" i="6"/>
  <c r="C24" i="6" s="1"/>
  <c r="C26" i="6" s="1"/>
  <c r="C6" i="9" s="1"/>
  <c r="F30" i="27"/>
  <c r="E26" i="17"/>
  <c r="H29" i="27" l="1"/>
  <c r="I29" i="27" s="1"/>
  <c r="K14" i="27" s="1"/>
  <c r="K19" i="27" s="1"/>
  <c r="C7" i="9"/>
  <c r="C19" i="9" s="1"/>
  <c r="G24" i="17"/>
  <c r="H24" i="17" s="1"/>
  <c r="G26" i="17"/>
  <c r="H26" i="17" s="1"/>
  <c r="K13" i="17" s="1"/>
  <c r="K15" i="17" s="1"/>
  <c r="H31" i="27"/>
  <c r="E25" i="17"/>
  <c r="D7" i="9"/>
  <c r="D19" i="9" s="1"/>
  <c r="G25" i="17" l="1"/>
  <c r="H30" i="27"/>
  <c r="H25" i="17" l="1"/>
  <c r="I31" i="27" l="1"/>
  <c r="N14" i="27" s="1"/>
  <c r="D30" i="27"/>
  <c r="N19" i="27" l="1"/>
  <c r="N20" i="27" s="1"/>
  <c r="N15" i="27"/>
  <c r="I30" i="2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<sst xmlns="http://schemas.openxmlformats.org/spreadsheetml/2006/main" count="627" uniqueCount="383">
  <si>
    <t>ONLY CHANGE CELLS HIGHLIGHTED IN BLUE</t>
  </si>
  <si>
    <t>How to use the semi-automated models:</t>
  </si>
  <si>
    <t>Do not edit these sheets directly, make a copy first</t>
  </si>
  <si>
    <t xml:space="preserve">Financials must be imported one at a time (aka copied and pasted into "Blank") from Charles Schwab </t>
  </si>
  <si>
    <t>- Clear, but DON'T DELETE, the column labeled "Annual Trend." This will fix the major formatting issues</t>
  </si>
  <si>
    <t>- Put each statement into the appropritate orange sheet for the sourced tab to work properly</t>
  </si>
  <si>
    <t>Find &amp; replace all "--" values with "0" so that the model can properly account for these values</t>
  </si>
  <si>
    <t>Once the statememtns are imported, ensure the dates are moving LEFT to RIGHT and not right to left</t>
  </si>
  <si>
    <t>Manually input all information necessary in the "Data" tab</t>
  </si>
  <si>
    <t>- Dates, comps, historical prices, current price, WACC information, Stock ticker</t>
  </si>
  <si>
    <t>Company Ticker</t>
  </si>
  <si>
    <t>WACC</t>
  </si>
  <si>
    <t>DATE OF VALUATION</t>
  </si>
  <si>
    <t>Market Cap</t>
  </si>
  <si>
    <t>Beta</t>
  </si>
  <si>
    <t>Price</t>
  </si>
  <si>
    <t>Shares Outstanding</t>
  </si>
  <si>
    <t>Rm</t>
  </si>
  <si>
    <t>Rf</t>
  </si>
  <si>
    <t>Forecast Data</t>
  </si>
  <si>
    <t>Tax Rate</t>
  </si>
  <si>
    <t>Year</t>
  </si>
  <si>
    <t>CoE</t>
  </si>
  <si>
    <t>g</t>
  </si>
  <si>
    <t>CoD</t>
  </si>
  <si>
    <t>E Amt</t>
  </si>
  <si>
    <t>Competitors’ Ticker</t>
  </si>
  <si>
    <t>Comp Avg.</t>
  </si>
  <si>
    <t>D Amt</t>
  </si>
  <si>
    <t>Price to Book Ratio</t>
  </si>
  <si>
    <t>%E</t>
  </si>
  <si>
    <t>Price to Sales Ratio</t>
  </si>
  <si>
    <t>%D</t>
  </si>
  <si>
    <t>Price to EPS Before Abnormal Items</t>
  </si>
  <si>
    <t>Equity</t>
  </si>
  <si>
    <t>Price to FCF</t>
  </si>
  <si>
    <t>Debt</t>
  </si>
  <si>
    <t>Price to EBITDA</t>
  </si>
  <si>
    <t>WACC =</t>
  </si>
  <si>
    <t>Competitor's Full Name</t>
  </si>
  <si>
    <t>Historical Year</t>
  </si>
  <si>
    <t>Date</t>
  </si>
  <si>
    <t>Closing Price</t>
  </si>
  <si>
    <t>Historical</t>
  </si>
  <si>
    <t>Projected</t>
  </si>
  <si>
    <t>2016 FY</t>
  </si>
  <si>
    <t>2017 FY</t>
  </si>
  <si>
    <t>2018 FY</t>
  </si>
  <si>
    <t>2019 FY</t>
  </si>
  <si>
    <t>2020 FY</t>
  </si>
  <si>
    <t>Income Statement</t>
  </si>
  <si>
    <t>Revenue &amp; Gross Profit:</t>
  </si>
  <si>
    <t>Total Revenue</t>
  </si>
  <si>
    <t>YoY Revenue Growth %</t>
  </si>
  <si>
    <t>Operating Expenses:</t>
  </si>
  <si>
    <t>Cost of Revenue, Total</t>
  </si>
  <si>
    <t>Sell/Gen/Admin Expenses, Total</t>
  </si>
  <si>
    <t>Other, Net</t>
  </si>
  <si>
    <t>Total Operating Expense</t>
  </si>
  <si>
    <t>Total Operating Income</t>
  </si>
  <si>
    <t>Gross Margin</t>
  </si>
  <si>
    <t>Non-Operating Income &amp; Expenses:</t>
  </si>
  <si>
    <t>Other Non-Operation Income (Expense)</t>
  </si>
  <si>
    <t>Income Before Tax</t>
  </si>
  <si>
    <t>Provision for Income Taxes</t>
  </si>
  <si>
    <t>Net Income After Taxes</t>
  </si>
  <si>
    <t>Net Income Margin</t>
  </si>
  <si>
    <t>Tax Rate %</t>
  </si>
  <si>
    <t>EBITDA</t>
  </si>
  <si>
    <t>EBITDA Margin</t>
  </si>
  <si>
    <t>Total Extraordinary Items</t>
  </si>
  <si>
    <t>Income Available to Common Excl. Extra. Items</t>
  </si>
  <si>
    <t>Income Available to Common Incl. Extra. Items</t>
  </si>
  <si>
    <t>Basic EPS:</t>
  </si>
  <si>
    <t>Basic/Primary Weighted Average Shares</t>
  </si>
  <si>
    <t>Basic/Primary EPS Excl. Extra. Items</t>
  </si>
  <si>
    <t>Basic/Primary EPS Incl. Extra. Items</t>
  </si>
  <si>
    <t>Diluted EPS:</t>
  </si>
  <si>
    <t>Diluted Weighted Average Shares</t>
  </si>
  <si>
    <t>Diluted EPS Excl. Extra. Items</t>
  </si>
  <si>
    <t>Diluted EPS Incl. Extra. Items</t>
  </si>
  <si>
    <t>Common Stock Dividends</t>
  </si>
  <si>
    <t>Gross Dividend - Common Stock</t>
  </si>
  <si>
    <t>Earnings:</t>
  </si>
  <si>
    <t>Basic Normalized EPS</t>
  </si>
  <si>
    <t>Diluted Normalized EPS</t>
  </si>
  <si>
    <t>Balance Sheet</t>
  </si>
  <si>
    <t>Assets:</t>
  </si>
  <si>
    <t>Cash &amp; Equivalents</t>
  </si>
  <si>
    <t>Cash and Short Term Investments</t>
  </si>
  <si>
    <t>Total Receivables, Net</t>
  </si>
  <si>
    <t>Total Inventory</t>
  </si>
  <si>
    <t>Prepaid Expenses</t>
  </si>
  <si>
    <t>Discontinued Operations</t>
  </si>
  <si>
    <t>Other Current Assets</t>
  </si>
  <si>
    <t>Total Current Assets</t>
  </si>
  <si>
    <t>Accumulated Depreciation</t>
  </si>
  <si>
    <t>Property/Plant/Equipment - Net</t>
  </si>
  <si>
    <t>Goodwill, Net</t>
  </si>
  <si>
    <t>Intangibles, Gross</t>
  </si>
  <si>
    <t>Accumulated Intangible Amortization</t>
  </si>
  <si>
    <t>Note Receivables - Long Term</t>
  </si>
  <si>
    <t>Deferred Income Tax - Long Term Asset</t>
  </si>
  <si>
    <t>Other Long Term Assets</t>
  </si>
  <si>
    <t>Total Assets</t>
  </si>
  <si>
    <t>Liabilities:</t>
  </si>
  <si>
    <t>Accounts Payable</t>
  </si>
  <si>
    <t>Accrued Expenses</t>
  </si>
  <si>
    <t>Notes Payable/Short Term Debt</t>
  </si>
  <si>
    <t>Current Portion of Long-Term Debt/Capital Liabilities</t>
  </si>
  <si>
    <t>Other Current Liabilities, Total</t>
  </si>
  <si>
    <t>Total Current Liabilities</t>
  </si>
  <si>
    <t>Total Long Term Debt</t>
  </si>
  <si>
    <t>Total Debt</t>
  </si>
  <si>
    <t>Other Long Term Liabilities</t>
  </si>
  <si>
    <t>Minority Interest</t>
  </si>
  <si>
    <t>Other Liabilities, Total</t>
  </si>
  <si>
    <t>Total Liabilities</t>
  </si>
  <si>
    <t>Shareholder Equity:</t>
  </si>
  <si>
    <t>Preferred Stock - Non Redeemable, Net</t>
  </si>
  <si>
    <t>Common Stock</t>
  </si>
  <si>
    <t>Retained Earnings (Accumulated Deficit)</t>
  </si>
  <si>
    <t>Treasury Stock - Common</t>
  </si>
  <si>
    <t>Other Equity</t>
  </si>
  <si>
    <t>Min. Pension Liability Adjustment</t>
  </si>
  <si>
    <t>Other Equity, Total</t>
  </si>
  <si>
    <t>Total Equity</t>
  </si>
  <si>
    <t>Total Liabilities &amp; Shareholders' Equity</t>
  </si>
  <si>
    <t>Book Value Per Share</t>
  </si>
  <si>
    <t>Shares Outstanding-Common Primary Issue</t>
  </si>
  <si>
    <t>Total Common Shares Outstanding</t>
  </si>
  <si>
    <t>Cash Flow Statement</t>
  </si>
  <si>
    <t>Cash From Operating Activities:</t>
  </si>
  <si>
    <t>Net Income</t>
  </si>
  <si>
    <t>Depreciation/Depletion</t>
  </si>
  <si>
    <t>Amortization</t>
  </si>
  <si>
    <t>Deferred Taxes</t>
  </si>
  <si>
    <t>Unusual Items</t>
  </si>
  <si>
    <t>Other Non-Cash Items</t>
  </si>
  <si>
    <t>Non-Cash Items</t>
  </si>
  <si>
    <t>Cash Taxes Paid, Supplemental</t>
  </si>
  <si>
    <t>Cash Interest Paid, Supplemental</t>
  </si>
  <si>
    <t>Accounts Receivable</t>
  </si>
  <si>
    <t>Inventories</t>
  </si>
  <si>
    <t>Other Assets</t>
  </si>
  <si>
    <t>Changes in Working Capital</t>
  </si>
  <si>
    <t>Total Cash from Operations</t>
  </si>
  <si>
    <t>Cash From Investing Activities:</t>
  </si>
  <si>
    <t>Capital Expenditures</t>
  </si>
  <si>
    <t>Acquisition of Business</t>
  </si>
  <si>
    <t>Sale of Business</t>
  </si>
  <si>
    <t>Sale/Maturity of Investment</t>
  </si>
  <si>
    <t>Purchase of Investments</t>
  </si>
  <si>
    <t>Intangible, Net</t>
  </si>
  <si>
    <t>Other Investing Cash Flow</t>
  </si>
  <si>
    <t>Other Investment Cash Flow Items, Total</t>
  </si>
  <si>
    <t>Total Cash from Investing</t>
  </si>
  <si>
    <t>Cash From Financing Activities:</t>
  </si>
  <si>
    <t>Financing Cash Flow Items</t>
  </si>
  <si>
    <t>Repurchase/Retirement Common</t>
  </si>
  <si>
    <t>Common Stock, Net</t>
  </si>
  <si>
    <t>Issuance (Retirement) of Stock, Net</t>
  </si>
  <si>
    <t>Long Term Debt Issued</t>
  </si>
  <si>
    <t>Long Term Debt Reduction</t>
  </si>
  <si>
    <t>Long Term Debt, Net</t>
  </si>
  <si>
    <t>Issue (Retirement) of Debt, Net</t>
  </si>
  <si>
    <t>Total Cash from Financing</t>
  </si>
  <si>
    <t>Increase / (Decrease) in Cash:</t>
  </si>
  <si>
    <t>Net Change in Cash</t>
  </si>
  <si>
    <t>Net Cash - Begin Balance/Reserved for Future Use</t>
  </si>
  <si>
    <t>Net Cash - End Balance/Reserved for Future Use</t>
  </si>
  <si>
    <t>Depreciation, Supplemental</t>
  </si>
  <si>
    <t>Ticker</t>
  </si>
  <si>
    <t>Growth Data (In %)</t>
  </si>
  <si>
    <t>Net Income Growth</t>
  </si>
  <si>
    <t>Operating Income Growth</t>
  </si>
  <si>
    <t>Information Not Attainable</t>
  </si>
  <si>
    <t>Basic EPS Yr Chg</t>
  </si>
  <si>
    <t>Sales Growth %</t>
  </si>
  <si>
    <t>Growth Calculation Data</t>
  </si>
  <si>
    <t>ROE %</t>
  </si>
  <si>
    <t>Operating ROE %</t>
  </si>
  <si>
    <t>3 Year Average ROE %</t>
  </si>
  <si>
    <t>Payout Ratio %</t>
  </si>
  <si>
    <t>Profit Margin %</t>
  </si>
  <si>
    <t>Assets</t>
  </si>
  <si>
    <t>Current Liabilities</t>
  </si>
  <si>
    <t>Sales</t>
  </si>
  <si>
    <t>Multipliers</t>
  </si>
  <si>
    <t>Price/Sales</t>
  </si>
  <si>
    <t>Price to Earnings per Share Before Abnormal Items</t>
  </si>
  <si>
    <t>Price/EBITDA</t>
  </si>
  <si>
    <t>Book Value/Share</t>
  </si>
  <si>
    <t>Sales Per Share</t>
  </si>
  <si>
    <t>T12 EPS From Operating Income</t>
  </si>
  <si>
    <t>T12 FCF/Share</t>
  </si>
  <si>
    <t xml:space="preserve">Trailing 12M EBIDA Per Share </t>
  </si>
  <si>
    <t>CAPM- Rs</t>
  </si>
  <si>
    <t>Risk Premium</t>
  </si>
  <si>
    <t>Country Risk - Risk Free Rate</t>
  </si>
  <si>
    <t>Applied Beta for EQRP %</t>
  </si>
  <si>
    <t>DDM</t>
  </si>
  <si>
    <t>Dividends per Share</t>
  </si>
  <si>
    <t>RIM</t>
  </si>
  <si>
    <t>Trailing 12M Earnings Per Share</t>
  </si>
  <si>
    <t>Trailing 12M Diluted EPS From Cont Ops</t>
  </si>
  <si>
    <t>FCFM</t>
  </si>
  <si>
    <t xml:space="preserve">Free Cash Flow </t>
  </si>
  <si>
    <t>Short-Term Investments</t>
  </si>
  <si>
    <t>Non-Operating Assets</t>
  </si>
  <si>
    <t>Total debt</t>
  </si>
  <si>
    <t>Other LT Liabilities</t>
  </si>
  <si>
    <t>Preferred Equity and Minority Interest</t>
  </si>
  <si>
    <t>Current Shares Outstanding</t>
  </si>
  <si>
    <t>MVAM</t>
  </si>
  <si>
    <t>Net Operating Profit after Tax (NOPAT)</t>
  </si>
  <si>
    <t>Total capital</t>
  </si>
  <si>
    <t>Actual Data</t>
  </si>
  <si>
    <t>NOPAT</t>
  </si>
  <si>
    <t>Capital</t>
  </si>
  <si>
    <t>FCF</t>
  </si>
  <si>
    <t>EPS</t>
  </si>
  <si>
    <t>DVD</t>
  </si>
  <si>
    <t>BVPS</t>
  </si>
  <si>
    <t>% of Sales</t>
  </si>
  <si>
    <t>Forecast Factor</t>
  </si>
  <si>
    <t>Growth</t>
  </si>
  <si>
    <t xml:space="preserve">g = ROE x (1- Payout Ratio) = </t>
  </si>
  <si>
    <t>Sustainable Growth Rate</t>
  </si>
  <si>
    <t xml:space="preserve"> Using</t>
  </si>
  <si>
    <t xml:space="preserve">g   =    </t>
  </si>
  <si>
    <t>M (1- Payout Ratio) S0</t>
  </si>
  <si>
    <t>=</t>
  </si>
  <si>
    <t>Internal</t>
  </si>
  <si>
    <t>A0 - L0 - M(1-Payout Ratio) So</t>
  </si>
  <si>
    <t>Growth Rate</t>
  </si>
  <si>
    <t>M</t>
  </si>
  <si>
    <t>PROF_MARGIN</t>
  </si>
  <si>
    <t>A0</t>
  </si>
  <si>
    <t>BS_TOT_ASSET</t>
  </si>
  <si>
    <t>Average Growth Rate</t>
  </si>
  <si>
    <t>L0</t>
  </si>
  <si>
    <t>BS_CUR_LIAB</t>
  </si>
  <si>
    <t>S0</t>
  </si>
  <si>
    <t>SALES_REV_TURN</t>
  </si>
  <si>
    <t>Payout Ratio</t>
  </si>
  <si>
    <t>DVD_PAYOUT_RATIO</t>
  </si>
  <si>
    <t>rs = Requiered Return on the Stock</t>
  </si>
  <si>
    <t>Market Multipliers</t>
  </si>
  <si>
    <t>Competitors’ Average Multipliers</t>
  </si>
  <si>
    <t>Company Price</t>
  </si>
  <si>
    <t>Average</t>
  </si>
  <si>
    <t xml:space="preserve">  g</t>
  </si>
  <si>
    <t xml:space="preserve"> Rs</t>
  </si>
  <si>
    <t>Terminal Value</t>
  </si>
  <si>
    <t xml:space="preserve"> PV</t>
  </si>
  <si>
    <t>DDM Price</t>
  </si>
  <si>
    <t>12-month Target</t>
  </si>
  <si>
    <t>Constant g pricing</t>
  </si>
  <si>
    <t>g1</t>
  </si>
  <si>
    <t>g2</t>
  </si>
  <si>
    <t xml:space="preserve"> g</t>
  </si>
  <si>
    <t xml:space="preserve"> WACC</t>
  </si>
  <si>
    <t xml:space="preserve"> Horizon Value (Vop 4)</t>
  </si>
  <si>
    <t>Vop</t>
  </si>
  <si>
    <t>+</t>
  </si>
  <si>
    <t>Value of Firm</t>
  </si>
  <si>
    <t>-</t>
  </si>
  <si>
    <t>Value of Equity</t>
  </si>
  <si>
    <t>FCF Price</t>
  </si>
  <si>
    <t>Rs</t>
  </si>
  <si>
    <t>RI</t>
  </si>
  <si>
    <t>Horizon Value RI</t>
  </si>
  <si>
    <t>PV</t>
  </si>
  <si>
    <t>RI 0</t>
  </si>
  <si>
    <t>RI Price = BVPS +RI</t>
  </si>
  <si>
    <t>ω</t>
  </si>
  <si>
    <t>`</t>
  </si>
  <si>
    <t>MVA Model</t>
  </si>
  <si>
    <t>EROICt = NOPAT t+1 /Capital t</t>
  </si>
  <si>
    <t>MVA</t>
  </si>
  <si>
    <t>Horizon Value MVA</t>
  </si>
  <si>
    <t>MVA0</t>
  </si>
  <si>
    <t>MVA1</t>
  </si>
  <si>
    <t>P0</t>
  </si>
  <si>
    <t>P1</t>
  </si>
  <si>
    <t>Vop = MVA + Capital =</t>
  </si>
  <si>
    <t>MVA Price</t>
  </si>
  <si>
    <t>Today</t>
  </si>
  <si>
    <t>1 Year</t>
  </si>
  <si>
    <t>Multipliers' Prices</t>
  </si>
  <si>
    <t>P/B</t>
  </si>
  <si>
    <t xml:space="preserve">P/Sales </t>
  </si>
  <si>
    <t xml:space="preserve">P/EPS </t>
  </si>
  <si>
    <t>P/FCF</t>
  </si>
  <si>
    <t>P/EBIDA</t>
  </si>
  <si>
    <t>EPS1/K</t>
  </si>
  <si>
    <t>Current Price</t>
  </si>
  <si>
    <t>1 Year Target Price</t>
  </si>
  <si>
    <t>Investment Potential</t>
  </si>
  <si>
    <t>Multiples</t>
  </si>
  <si>
    <t>Target Price</t>
  </si>
  <si>
    <t>Today's Price</t>
  </si>
  <si>
    <t>Difference</t>
  </si>
  <si>
    <t>1 Year Price</t>
  </si>
  <si>
    <t>Weights</t>
  </si>
  <si>
    <t>Current EV</t>
  </si>
  <si>
    <t>1 Yr Target Range</t>
  </si>
  <si>
    <t>to</t>
  </si>
  <si>
    <t>Upside Potential</t>
  </si>
  <si>
    <t>Market Multiples</t>
  </si>
  <si>
    <t>Values are in Millions, except for per share data.</t>
  </si>
  <si>
    <r>
      <t>Years are Fiscal Years. </t>
    </r>
    <r>
      <rPr>
        <sz val="10"/>
        <color rgb="FFAA0033"/>
        <rFont val="Arial"/>
        <family val="2"/>
      </rPr>
      <t>( )</t>
    </r>
    <r>
      <rPr>
        <sz val="10"/>
        <rFont val="Arial"/>
        <family val="2"/>
      </rPr>
      <t> = Negative</t>
    </r>
  </si>
  <si>
    <t>12 Months</t>
  </si>
  <si>
    <t>Restated</t>
  </si>
  <si>
    <t>Revenue &amp; Gross Profit</t>
  </si>
  <si>
    <t>Operating Expenses</t>
  </si>
  <si>
    <t>Research &amp; Development</t>
  </si>
  <si>
    <t>Litigation</t>
  </si>
  <si>
    <t>Other Unusual Expense (In)</t>
  </si>
  <si>
    <t>Unusual Expense (Income)</t>
  </si>
  <si>
    <t>Other Operating Expense, Total</t>
  </si>
  <si>
    <t>Operating Income</t>
  </si>
  <si>
    <t>Non-Operating Income &amp; Expenses</t>
  </si>
  <si>
    <t>Interest/Investment Income, Non-Operating</t>
  </si>
  <si>
    <t>Interest Income (Exp), Net Non-Operating</t>
  </si>
  <si>
    <t>Income Taxes</t>
  </si>
  <si>
    <t>Minority Interest &amp; Equity in Affiliates</t>
  </si>
  <si>
    <t>Net Income Before Extra Items</t>
  </si>
  <si>
    <t>Extraordinary Items</t>
  </si>
  <si>
    <t>Extraordinary Item</t>
  </si>
  <si>
    <t>Adjustments to Net Income</t>
  </si>
  <si>
    <t>EPS Reconciliation</t>
  </si>
  <si>
    <t>DPS - Common Stock Primary Issue</t>
  </si>
  <si>
    <t>Pro Forma Net Income</t>
  </si>
  <si>
    <t>Supplemental Items</t>
  </si>
  <si>
    <t>Interest Expense, Supplemental</t>
  </si>
  <si>
    <t>Interest Capitalized, Supplemental</t>
  </si>
  <si>
    <t>Normalized Income</t>
  </si>
  <si>
    <t>Total Special Items</t>
  </si>
  <si>
    <t>Normalized Income Before Tax</t>
  </si>
  <si>
    <t>Effect of Special Items on Income Taxes</t>
  </si>
  <si>
    <t>Income Tax Exempt Impact of Special Items</t>
  </si>
  <si>
    <t>Normalized Income After Tax</t>
  </si>
  <si>
    <t>Normalized Income Avail to Common</t>
  </si>
  <si>
    <t>Cash</t>
  </si>
  <si>
    <t>Short Term Investments</t>
  </si>
  <si>
    <t>Trade Accounts Receivable, Gross</t>
  </si>
  <si>
    <t>Provision for Doubtful Accounts</t>
  </si>
  <si>
    <t>Trade Accounts Receivable, Net</t>
  </si>
  <si>
    <t>Inventory - Finished Goods</t>
  </si>
  <si>
    <t>Inventory - Work in Progress</t>
  </si>
  <si>
    <t>Inventory - Raw Materials</t>
  </si>
  <si>
    <t>Discontinued Operations - Current Assets</t>
  </si>
  <si>
    <t>Other Current Assets, Total</t>
  </si>
  <si>
    <t>Land/Improvements</t>
  </si>
  <si>
    <t>Machinery/Equipment</t>
  </si>
  <si>
    <t>Other Property/Plant/Equipment</t>
  </si>
  <si>
    <t>Property/Plant/Equipment - Gross</t>
  </si>
  <si>
    <t>Intangibles, Net</t>
  </si>
  <si>
    <t>Liabilities</t>
  </si>
  <si>
    <t>Other Current Liabilities</t>
  </si>
  <si>
    <t>Capital Lease Obligations</t>
  </si>
  <si>
    <t>Deferred Income Tax</t>
  </si>
  <si>
    <t>Pension Benefits - Underfunded</t>
  </si>
  <si>
    <t>Shareholder Equity</t>
  </si>
  <si>
    <t>Additional Paid-In Capital</t>
  </si>
  <si>
    <t>Cumulative Translation Adjustment</t>
  </si>
  <si>
    <t>Other Comprehensive Income</t>
  </si>
  <si>
    <t>Treasury Shares-Common Primary Issue</t>
  </si>
  <si>
    <t>Reclassified</t>
  </si>
  <si>
    <t>Cash From Operating Activities</t>
  </si>
  <si>
    <t>Plus: Cash From Investing Activities</t>
  </si>
  <si>
    <t>Investment, Net</t>
  </si>
  <si>
    <t>Plus: Cash From Financing Activities</t>
  </si>
  <si>
    <t>Total Cash Dividends Paid</t>
  </si>
  <si>
    <t>Options Exercised</t>
  </si>
  <si>
    <t>Total Debt Issued</t>
  </si>
  <si>
    <t>Total Debt Reduction</t>
  </si>
  <si>
    <t>Equals: Increase In Cash</t>
  </si>
  <si>
    <t>Foreign Exchange Effects</t>
  </si>
  <si>
    <t>ETN</t>
  </si>
  <si>
    <t>(5YR 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</si>
</sst>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0.0000%"/>
    <numFmt numFmtId="166" formatCode="_(&quot;$&quot;* #,##0_);_(&quot;$&quot;* \(#,##0\);_(&quot;$&quot;* &quot;-&quot;??_);_(@_)"/>
    <numFmt numFmtId="167" formatCode="0.0%"/>
    <numFmt numFmtId="168" formatCode="_(* #,##0_);_(* \(#,##0\);_(* &quot;-&quot;??_);_(@_)"/>
    <numFmt numFmtId="169" formatCode="_(* #,##0.0_);_(* \(#,##0.0\);_(* &quot;-&quot;??_);_(@_)"/>
    <numFmt numFmtId="170" formatCode="0.0"/>
    <numFmt numFmtId="171" formatCode="&quot;$&quot;#,##0.0_);[Red]\(&quot;$&quot;#,##0.0\)"/>
  </numFmts>
  <fonts count="74">
    <font>
      <sz val="10"/>
      <name val="Arial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color theme="0"/>
      <name val="Times New Roman"/>
      <family val="1"/>
    </font>
    <font>
      <sz val="12"/>
      <color rgb="FF0000FF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7"/>
      <color rgb="FF181818"/>
      <name val="Arial"/>
      <family val="2"/>
    </font>
    <font>
      <b/>
      <u/>
      <sz val="12"/>
      <color theme="1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b/>
      <sz val="12"/>
      <color rgb="FFAA0033"/>
      <name val="Times New Roman"/>
      <family val="1"/>
    </font>
    <font>
      <b/>
      <sz val="12"/>
      <color theme="0" tint="-4.9989318521683403E-2"/>
      <name val="Times New Roman"/>
      <family val="1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2"/>
      <color rgb="FFC0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rgb="FF339933"/>
      <name val="Times New Roman"/>
      <family val="1"/>
    </font>
    <font>
      <sz val="14"/>
      <color theme="9"/>
      <name val="Times New Roman"/>
      <family val="1"/>
    </font>
    <font>
      <b/>
      <sz val="14"/>
      <color rgb="FFFF0000"/>
      <name val="Times New Roman"/>
      <family val="1"/>
    </font>
    <font>
      <b/>
      <sz val="9.5"/>
      <name val="Times New Roman"/>
      <family val="1"/>
    </font>
    <font>
      <sz val="9.5"/>
      <name val="Times New Roman"/>
      <family val="1"/>
    </font>
    <font>
      <sz val="9"/>
      <name val="Arial"/>
      <family val="2"/>
    </font>
    <font>
      <i/>
      <sz val="9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name val="Arial"/>
      <family val="2"/>
    </font>
    <font>
      <b/>
      <u val="singleAccounting"/>
      <sz val="9"/>
      <name val="Times New Roman"/>
      <family val="1"/>
    </font>
    <font>
      <b/>
      <u/>
      <sz val="9"/>
      <name val="Times New Roman"/>
      <family val="1"/>
    </font>
    <font>
      <sz val="8"/>
      <name val="Arial"/>
      <family val="2"/>
    </font>
    <font>
      <b/>
      <sz val="16"/>
      <color theme="0"/>
      <name val="Times New Roman"/>
      <family val="1"/>
    </font>
    <font>
      <sz val="12"/>
      <color rgb="FF000000"/>
      <name val="Arial"/>
      <family val="2"/>
    </font>
    <font>
      <sz val="10"/>
      <color rgb="FFAA0033"/>
      <name val="Arial"/>
      <family val="2"/>
    </font>
    <font>
      <sz val="12"/>
      <name val="Arial"/>
      <family val="2"/>
    </font>
    <font>
      <sz val="12"/>
      <color rgb="FF666666"/>
      <name val="Arial"/>
      <family val="2"/>
    </font>
    <font>
      <sz val="11"/>
      <color rgb="FF666666"/>
      <name val="Arial"/>
      <family val="2"/>
    </font>
    <font>
      <sz val="11"/>
      <color rgb="FFAA0033"/>
      <name val="Arial"/>
      <family val="2"/>
    </font>
    <font>
      <b/>
      <sz val="14"/>
      <name val="Inherit"/>
    </font>
    <font>
      <b/>
      <sz val="12"/>
      <name val="Arial"/>
      <family val="2"/>
    </font>
    <font>
      <sz val="12"/>
      <color rgb="FFAA0033"/>
      <name val="Arial"/>
      <family val="2"/>
    </font>
    <font>
      <sz val="12"/>
      <color rgb="FF999999"/>
      <name val="Arial"/>
      <family val="2"/>
    </font>
    <font>
      <sz val="11"/>
      <color rgb="FF000000"/>
      <name val="Arial"/>
      <family val="2"/>
    </font>
    <font>
      <b/>
      <i/>
      <sz val="11"/>
      <color rgb="FF333333"/>
      <name val="Arial"/>
      <family val="2"/>
    </font>
    <font>
      <u/>
      <sz val="10"/>
      <color theme="10"/>
      <name val="Arial"/>
      <family val="2"/>
    </font>
    <font>
      <b/>
      <sz val="12"/>
      <color rgb="FFAA0033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7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0" fontId="37" fillId="38" borderId="0"/>
    <xf numFmtId="0" fontId="38" fillId="38" borderId="17">
      <alignment horizontal="right"/>
    </xf>
    <xf numFmtId="0" fontId="72" fillId="0" borderId="0" applyNumberFormat="0" applyFill="0" applyBorder="0" applyAlignment="0" applyProtection="0"/>
  </cellStyleXfs>
  <cellXfs count="593">
    <xf numFmtId="0" fontId="18" fillId="0" borderId="0" xfId="0" applyFont="1"/>
    <xf numFmtId="0" fontId="21" fillId="0" borderId="33" xfId="0" applyFont="1" applyBorder="1"/>
    <xf numFmtId="0" fontId="21" fillId="0" borderId="33" xfId="0" applyFont="1" applyFill="1" applyBorder="1"/>
    <xf numFmtId="0" fontId="27" fillId="0" borderId="33" xfId="0" applyFont="1" applyFill="1" applyBorder="1"/>
    <xf numFmtId="0" fontId="21" fillId="0" borderId="35" xfId="0" applyFont="1" applyBorder="1"/>
    <xf numFmtId="0" fontId="21" fillId="34" borderId="23" xfId="0" applyFont="1" applyFill="1" applyBorder="1"/>
    <xf numFmtId="0" fontId="21" fillId="34" borderId="0" xfId="0" applyFont="1" applyFill="1" applyBorder="1"/>
    <xf numFmtId="0" fontId="21" fillId="34" borderId="24" xfId="0" applyFont="1" applyFill="1" applyBorder="1"/>
    <xf numFmtId="0" fontId="21" fillId="34" borderId="18" xfId="0" applyFont="1" applyFill="1" applyBorder="1"/>
    <xf numFmtId="0" fontId="21" fillId="34" borderId="19" xfId="0" applyFont="1" applyFill="1" applyBorder="1"/>
    <xf numFmtId="0" fontId="21" fillId="34" borderId="25" xfId="0" applyFont="1" applyFill="1" applyBorder="1"/>
    <xf numFmtId="14" fontId="24" fillId="35" borderId="31" xfId="0" applyNumberFormat="1" applyFont="1" applyFill="1" applyBorder="1" applyAlignment="1">
      <alignment horizontal="center"/>
    </xf>
    <xf numFmtId="14" fontId="24" fillId="35" borderId="32" xfId="0" applyNumberFormat="1" applyFont="1" applyFill="1" applyBorder="1" applyAlignment="1">
      <alignment horizontal="center"/>
    </xf>
    <xf numFmtId="10" fontId="21" fillId="33" borderId="14" xfId="43" applyNumberFormat="1" applyFont="1" applyFill="1" applyBorder="1"/>
    <xf numFmtId="10" fontId="25" fillId="33" borderId="14" xfId="43" applyNumberFormat="1" applyFont="1" applyFill="1" applyBorder="1"/>
    <xf numFmtId="0" fontId="21" fillId="0" borderId="0" xfId="0" applyFont="1" applyFill="1"/>
    <xf numFmtId="0" fontId="26" fillId="0" borderId="0" xfId="0" applyFont="1" applyFill="1" applyBorder="1"/>
    <xf numFmtId="0" fontId="21" fillId="0" borderId="0" xfId="0" applyFont="1" applyFill="1" applyBorder="1"/>
    <xf numFmtId="14" fontId="21" fillId="0" borderId="0" xfId="0" applyNumberFormat="1" applyFont="1" applyFill="1" applyBorder="1"/>
    <xf numFmtId="0" fontId="21" fillId="0" borderId="0" xfId="0" applyFont="1" applyFill="1" applyBorder="1" applyAlignment="1">
      <alignment horizontal="center"/>
    </xf>
    <xf numFmtId="10" fontId="21" fillId="0" borderId="0" xfId="43" applyNumberFormat="1" applyFont="1" applyFill="1"/>
    <xf numFmtId="0" fontId="21" fillId="0" borderId="13" xfId="0" applyFont="1" applyFill="1" applyBorder="1"/>
    <xf numFmtId="168" fontId="21" fillId="0" borderId="0" xfId="44" applyNumberFormat="1" applyFont="1" applyFill="1" applyBorder="1"/>
    <xf numFmtId="168" fontId="21" fillId="33" borderId="14" xfId="44" applyNumberFormat="1" applyFont="1" applyFill="1" applyBorder="1"/>
    <xf numFmtId="0" fontId="24" fillId="35" borderId="30" xfId="0" applyFont="1" applyFill="1" applyBorder="1"/>
    <xf numFmtId="10" fontId="28" fillId="33" borderId="36" xfId="43" applyNumberFormat="1" applyFont="1" applyFill="1" applyBorder="1"/>
    <xf numFmtId="0" fontId="21" fillId="0" borderId="35" xfId="0" applyFont="1" applyFill="1" applyBorder="1"/>
    <xf numFmtId="10" fontId="25" fillId="33" borderId="36" xfId="43" applyNumberFormat="1" applyFont="1" applyFill="1" applyBorder="1"/>
    <xf numFmtId="0" fontId="23" fillId="0" borderId="0" xfId="0" applyFont="1" applyFill="1" applyBorder="1" applyAlignment="1">
      <alignment horizontal="center"/>
    </xf>
    <xf numFmtId="0" fontId="23" fillId="0" borderId="0" xfId="0" applyFont="1" applyFill="1" applyBorder="1"/>
    <xf numFmtId="0" fontId="23" fillId="0" borderId="0" xfId="0" applyFont="1" applyFill="1"/>
    <xf numFmtId="0" fontId="27" fillId="0" borderId="0" xfId="0" applyFont="1" applyFill="1" applyAlignment="1">
      <alignment horizontal="left" indent="1"/>
    </xf>
    <xf numFmtId="0" fontId="27" fillId="0" borderId="0" xfId="0" applyFont="1" applyFill="1"/>
    <xf numFmtId="41" fontId="25" fillId="0" borderId="0" xfId="0" applyNumberFormat="1" applyFont="1" applyFill="1"/>
    <xf numFmtId="0" fontId="21" fillId="0" borderId="24" xfId="0" applyFont="1" applyFill="1" applyBorder="1"/>
    <xf numFmtId="0" fontId="21" fillId="0" borderId="11" xfId="45" applyFont="1" applyFill="1" applyBorder="1"/>
    <xf numFmtId="0" fontId="21" fillId="0" borderId="23" xfId="45" applyFont="1" applyFill="1" applyBorder="1"/>
    <xf numFmtId="44" fontId="21" fillId="0" borderId="0" xfId="42" applyFont="1" applyFill="1" applyBorder="1"/>
    <xf numFmtId="0" fontId="21" fillId="0" borderId="19" xfId="0" applyFont="1" applyFill="1" applyBorder="1"/>
    <xf numFmtId="10" fontId="21" fillId="0" borderId="0" xfId="43" applyNumberFormat="1" applyFont="1" applyFill="1" applyBorder="1"/>
    <xf numFmtId="10" fontId="21" fillId="0" borderId="0" xfId="43" applyNumberFormat="1" applyFont="1" applyFill="1" applyBorder="1" applyAlignment="1">
      <alignment horizontal="center"/>
    </xf>
    <xf numFmtId="10" fontId="21" fillId="0" borderId="0" xfId="0" applyNumberFormat="1" applyFont="1" applyFill="1" applyBorder="1"/>
    <xf numFmtId="10" fontId="25" fillId="0" borderId="0" xfId="0" applyNumberFormat="1" applyFont="1" applyFill="1" applyBorder="1"/>
    <xf numFmtId="168" fontId="21" fillId="0" borderId="0" xfId="44" applyNumberFormat="1" applyFont="1" applyFill="1" applyBorder="1" applyAlignment="1">
      <alignment horizontal="center"/>
    </xf>
    <xf numFmtId="10" fontId="25" fillId="0" borderId="0" xfId="43" applyNumberFormat="1" applyFont="1" applyFill="1" applyBorder="1"/>
    <xf numFmtId="0" fontId="21" fillId="0" borderId="0" xfId="0" applyFont="1"/>
    <xf numFmtId="0" fontId="34" fillId="0" borderId="0" xfId="0" applyFont="1" applyFill="1" applyBorder="1"/>
    <xf numFmtId="0" fontId="21" fillId="0" borderId="0" xfId="0" applyFont="1" applyFill="1" applyBorder="1" applyAlignment="1">
      <alignment horizontal="left"/>
    </xf>
    <xf numFmtId="0" fontId="23" fillId="0" borderId="11" xfId="0" applyFont="1" applyFill="1" applyBorder="1"/>
    <xf numFmtId="0" fontId="24" fillId="0" borderId="0" xfId="0" applyFont="1" applyFill="1" applyBorder="1" applyAlignment="1">
      <alignment horizontal="center"/>
    </xf>
    <xf numFmtId="43" fontId="21" fillId="0" borderId="0" xfId="44" applyFont="1" applyFill="1" applyBorder="1" applyAlignment="1">
      <alignment horizontal="right"/>
    </xf>
    <xf numFmtId="0" fontId="23" fillId="0" borderId="23" xfId="0" applyFont="1" applyFill="1" applyBorder="1"/>
    <xf numFmtId="49" fontId="21" fillId="0" borderId="0" xfId="0" applyNumberFormat="1" applyFont="1" applyFill="1" applyBorder="1"/>
    <xf numFmtId="0" fontId="31" fillId="0" borderId="0" xfId="0" applyFont="1" applyFill="1" applyBorder="1"/>
    <xf numFmtId="0" fontId="23" fillId="0" borderId="13" xfId="0" applyFont="1" applyFill="1" applyBorder="1"/>
    <xf numFmtId="0" fontId="23" fillId="0" borderId="20" xfId="0" applyFont="1" applyFill="1" applyBorder="1"/>
    <xf numFmtId="0" fontId="23" fillId="0" borderId="20" xfId="0" applyFont="1" applyFill="1" applyBorder="1" applyAlignment="1">
      <alignment horizontal="left"/>
    </xf>
    <xf numFmtId="0" fontId="21" fillId="0" borderId="21" xfId="0" applyFont="1" applyFill="1" applyBorder="1"/>
    <xf numFmtId="0" fontId="21" fillId="0" borderId="22" xfId="0" applyFont="1" applyFill="1" applyBorder="1"/>
    <xf numFmtId="0" fontId="21" fillId="0" borderId="25" xfId="0" applyFont="1" applyFill="1" applyBorder="1"/>
    <xf numFmtId="10" fontId="27" fillId="0" borderId="0" xfId="43" applyNumberFormat="1" applyFont="1" applyFill="1" applyBorder="1" applyAlignment="1">
      <alignment horizontal="center"/>
    </xf>
    <xf numFmtId="0" fontId="23" fillId="0" borderId="18" xfId="0" applyFont="1" applyFill="1" applyBorder="1"/>
    <xf numFmtId="0" fontId="23" fillId="0" borderId="35" xfId="0" applyFont="1" applyFill="1" applyBorder="1"/>
    <xf numFmtId="0" fontId="21" fillId="0" borderId="0" xfId="0" applyFont="1" applyFill="1" applyBorder="1" applyAlignment="1"/>
    <xf numFmtId="0" fontId="22" fillId="0" borderId="0" xfId="0" applyFont="1" applyFill="1" applyBorder="1" applyAlignment="1">
      <alignment vertical="top" wrapText="1"/>
    </xf>
    <xf numFmtId="3" fontId="22" fillId="0" borderId="0" xfId="0" applyNumberFormat="1" applyFont="1" applyFill="1" applyBorder="1" applyAlignment="1">
      <alignment horizontal="right" vertical="top" wrapText="1"/>
    </xf>
    <xf numFmtId="0" fontId="22" fillId="0" borderId="0" xfId="0" applyFont="1" applyFill="1" applyBorder="1" applyAlignment="1">
      <alignment vertical="center" wrapText="1"/>
    </xf>
    <xf numFmtId="3" fontId="22" fillId="0" borderId="0" xfId="0" applyNumberFormat="1" applyFont="1" applyFill="1" applyBorder="1" applyAlignment="1">
      <alignment vertical="center" wrapText="1"/>
    </xf>
    <xf numFmtId="0" fontId="22" fillId="0" borderId="0" xfId="0" applyFont="1" applyFill="1" applyBorder="1" applyAlignment="1">
      <alignment horizontal="right" vertical="top" wrapText="1"/>
    </xf>
    <xf numFmtId="3" fontId="35" fillId="0" borderId="0" xfId="0" applyNumberFormat="1" applyFont="1" applyFill="1" applyBorder="1" applyAlignment="1">
      <alignment horizontal="right" vertical="top" wrapText="1"/>
    </xf>
    <xf numFmtId="43" fontId="21" fillId="33" borderId="14" xfId="44" applyFont="1" applyFill="1" applyBorder="1"/>
    <xf numFmtId="168" fontId="21" fillId="0" borderId="14" xfId="44" applyNumberFormat="1" applyFont="1" applyFill="1" applyBorder="1" applyAlignment="1">
      <alignment horizontal="center"/>
    </xf>
    <xf numFmtId="168" fontId="21" fillId="0" borderId="14" xfId="44" applyNumberFormat="1" applyFont="1" applyFill="1" applyBorder="1"/>
    <xf numFmtId="168" fontId="21" fillId="0" borderId="34" xfId="44" applyNumberFormat="1" applyFont="1" applyFill="1" applyBorder="1" applyAlignment="1">
      <alignment horizontal="center"/>
    </xf>
    <xf numFmtId="168" fontId="21" fillId="0" borderId="34" xfId="44" applyNumberFormat="1" applyFont="1" applyFill="1" applyBorder="1"/>
    <xf numFmtId="168" fontId="21" fillId="0" borderId="36" xfId="44" applyNumberFormat="1" applyFont="1" applyFill="1" applyBorder="1"/>
    <xf numFmtId="168" fontId="21" fillId="0" borderId="37" xfId="44" applyNumberFormat="1" applyFont="1" applyFill="1" applyBorder="1"/>
    <xf numFmtId="0" fontId="23" fillId="0" borderId="10" xfId="0" applyFont="1" applyFill="1" applyBorder="1" applyAlignment="1">
      <alignment horizontal="center"/>
    </xf>
    <xf numFmtId="44" fontId="21" fillId="0" borderId="27" xfId="42" applyFont="1" applyFill="1" applyBorder="1"/>
    <xf numFmtId="44" fontId="21" fillId="0" borderId="28" xfId="42" applyFont="1" applyFill="1" applyBorder="1"/>
    <xf numFmtId="41" fontId="23" fillId="0" borderId="12" xfId="45" applyNumberFormat="1" applyFont="1" applyFill="1" applyBorder="1" applyAlignment="1">
      <alignment horizontal="center"/>
    </xf>
    <xf numFmtId="41" fontId="23" fillId="0" borderId="10" xfId="45" applyNumberFormat="1" applyFont="1" applyFill="1" applyBorder="1" applyAlignment="1">
      <alignment horizontal="center"/>
    </xf>
    <xf numFmtId="10" fontId="23" fillId="0" borderId="22" xfId="0" applyNumberFormat="1" applyFont="1" applyFill="1" applyBorder="1" applyAlignment="1">
      <alignment horizontal="right"/>
    </xf>
    <xf numFmtId="0" fontId="23" fillId="0" borderId="26" xfId="0" applyFont="1" applyFill="1" applyBorder="1" applyAlignment="1">
      <alignment horizontal="center"/>
    </xf>
    <xf numFmtId="0" fontId="21" fillId="0" borderId="40" xfId="0" applyFont="1" applyFill="1" applyBorder="1"/>
    <xf numFmtId="9" fontId="21" fillId="0" borderId="0" xfId="43" applyFont="1" applyFill="1"/>
    <xf numFmtId="0" fontId="21" fillId="0" borderId="41" xfId="0" applyFont="1" applyFill="1" applyBorder="1"/>
    <xf numFmtId="0" fontId="21" fillId="0" borderId="42" xfId="0" applyFont="1" applyFill="1" applyBorder="1"/>
    <xf numFmtId="10" fontId="21" fillId="0" borderId="33" xfId="43" applyNumberFormat="1" applyFont="1" applyFill="1" applyBorder="1"/>
    <xf numFmtId="10" fontId="21" fillId="0" borderId="14" xfId="43" applyNumberFormat="1" applyFont="1" applyFill="1" applyBorder="1"/>
    <xf numFmtId="10" fontId="21" fillId="0" borderId="34" xfId="43" applyNumberFormat="1" applyFont="1" applyFill="1" applyBorder="1"/>
    <xf numFmtId="10" fontId="21" fillId="0" borderId="35" xfId="43" applyNumberFormat="1" applyFont="1" applyFill="1" applyBorder="1"/>
    <xf numFmtId="10" fontId="21" fillId="0" borderId="36" xfId="43" applyNumberFormat="1" applyFont="1" applyFill="1" applyBorder="1"/>
    <xf numFmtId="10" fontId="21" fillId="0" borderId="37" xfId="43" applyNumberFormat="1" applyFont="1" applyFill="1" applyBorder="1"/>
    <xf numFmtId="44" fontId="21" fillId="0" borderId="33" xfId="42" applyNumberFormat="1" applyFont="1" applyFill="1" applyBorder="1"/>
    <xf numFmtId="44" fontId="21" fillId="0" borderId="14" xfId="42" applyNumberFormat="1" applyFont="1" applyFill="1" applyBorder="1"/>
    <xf numFmtId="44" fontId="21" fillId="0" borderId="34" xfId="42" applyNumberFormat="1" applyFont="1" applyFill="1" applyBorder="1"/>
    <xf numFmtId="44" fontId="21" fillId="0" borderId="35" xfId="42" applyNumberFormat="1" applyFont="1" applyFill="1" applyBorder="1"/>
    <xf numFmtId="44" fontId="21" fillId="0" borderId="36" xfId="42" applyNumberFormat="1" applyFont="1" applyFill="1" applyBorder="1"/>
    <xf numFmtId="44" fontId="21" fillId="0" borderId="37" xfId="42" applyNumberFormat="1" applyFont="1" applyFill="1" applyBorder="1"/>
    <xf numFmtId="0" fontId="21" fillId="0" borderId="23" xfId="0" applyFont="1" applyFill="1" applyBorder="1" applyAlignment="1">
      <alignment horizontal="center"/>
    </xf>
    <xf numFmtId="0" fontId="21" fillId="0" borderId="18" xfId="0" applyFont="1" applyFill="1" applyBorder="1" applyAlignment="1">
      <alignment horizontal="center"/>
    </xf>
    <xf numFmtId="10" fontId="23" fillId="0" borderId="0" xfId="43" applyNumberFormat="1" applyFont="1" applyFill="1" applyBorder="1" applyAlignment="1"/>
    <xf numFmtId="43" fontId="21" fillId="0" borderId="0" xfId="44" applyFont="1" applyFill="1" applyBorder="1" applyAlignment="1">
      <alignment horizontal="center" vertical="center" wrapText="1"/>
    </xf>
    <xf numFmtId="43" fontId="21" fillId="0" borderId="55" xfId="44" applyFont="1" applyFill="1" applyBorder="1" applyAlignment="1">
      <alignment horizontal="right"/>
    </xf>
    <xf numFmtId="43" fontId="21" fillId="0" borderId="51" xfId="44" applyFont="1" applyFill="1" applyBorder="1" applyAlignment="1">
      <alignment horizontal="right"/>
    </xf>
    <xf numFmtId="43" fontId="21" fillId="0" borderId="52" xfId="0" applyNumberFormat="1" applyFont="1" applyFill="1" applyBorder="1" applyAlignment="1">
      <alignment horizontal="right"/>
    </xf>
    <xf numFmtId="43" fontId="21" fillId="0" borderId="50" xfId="0" applyNumberFormat="1" applyFont="1" applyFill="1" applyBorder="1" applyAlignment="1">
      <alignment horizontal="right"/>
    </xf>
    <xf numFmtId="43" fontId="21" fillId="0" borderId="38" xfId="0" applyNumberFormat="1" applyFont="1" applyFill="1" applyBorder="1" applyAlignment="1">
      <alignment horizontal="right"/>
    </xf>
    <xf numFmtId="43" fontId="21" fillId="0" borderId="53" xfId="44" applyFont="1" applyFill="1" applyBorder="1" applyAlignment="1">
      <alignment horizontal="right"/>
    </xf>
    <xf numFmtId="44" fontId="30" fillId="0" borderId="27" xfId="42" applyNumberFormat="1" applyFont="1" applyFill="1" applyBorder="1"/>
    <xf numFmtId="9" fontId="25" fillId="37" borderId="60" xfId="0" applyNumberFormat="1" applyFont="1" applyFill="1" applyBorder="1" applyAlignment="1">
      <alignment horizontal="right"/>
    </xf>
    <xf numFmtId="9" fontId="27" fillId="37" borderId="10" xfId="0" applyNumberFormat="1" applyFont="1" applyFill="1" applyBorder="1"/>
    <xf numFmtId="168" fontId="21" fillId="0" borderId="33" xfId="44" applyNumberFormat="1" applyFont="1" applyFill="1" applyBorder="1"/>
    <xf numFmtId="0" fontId="21" fillId="0" borderId="52" xfId="0" applyFont="1" applyFill="1" applyBorder="1"/>
    <xf numFmtId="0" fontId="21" fillId="0" borderId="50" xfId="0" applyFont="1" applyFill="1" applyBorder="1"/>
    <xf numFmtId="0" fontId="21" fillId="0" borderId="39" xfId="0" applyFont="1" applyFill="1" applyBorder="1"/>
    <xf numFmtId="0" fontId="21" fillId="0" borderId="38" xfId="0" applyFont="1" applyFill="1" applyBorder="1"/>
    <xf numFmtId="0" fontId="23" fillId="0" borderId="30" xfId="0" applyFont="1" applyFill="1" applyBorder="1"/>
    <xf numFmtId="14" fontId="21" fillId="0" borderId="31" xfId="0" applyNumberFormat="1" applyFont="1" applyFill="1" applyBorder="1" applyAlignment="1">
      <alignment horizontal="center"/>
    </xf>
    <xf numFmtId="8" fontId="21" fillId="0" borderId="37" xfId="42" applyNumberFormat="1" applyFont="1" applyFill="1" applyBorder="1"/>
    <xf numFmtId="10" fontId="36" fillId="0" borderId="0" xfId="43" applyNumberFormat="1" applyFont="1" applyFill="1" applyBorder="1"/>
    <xf numFmtId="44" fontId="23" fillId="0" borderId="12" xfId="42" applyFont="1" applyFill="1" applyBorder="1"/>
    <xf numFmtId="44" fontId="23" fillId="0" borderId="13" xfId="42" applyFont="1" applyFill="1" applyBorder="1"/>
    <xf numFmtId="44" fontId="23" fillId="0" borderId="13" xfId="0" applyNumberFormat="1" applyFont="1" applyFill="1" applyBorder="1"/>
    <xf numFmtId="0" fontId="40" fillId="0" borderId="0" xfId="0" applyFont="1" applyFill="1" applyBorder="1"/>
    <xf numFmtId="44" fontId="23" fillId="0" borderId="11" xfId="42" applyFont="1" applyFill="1" applyBorder="1"/>
    <xf numFmtId="0" fontId="27" fillId="0" borderId="0" xfId="0" applyFont="1" applyFill="1" applyAlignment="1">
      <alignment horizontal="center"/>
    </xf>
    <xf numFmtId="8" fontId="21" fillId="0" borderId="0" xfId="0" applyNumberFormat="1" applyFont="1" applyFill="1" applyBorder="1" applyAlignment="1"/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10" fontId="39" fillId="0" borderId="0" xfId="43" applyNumberFormat="1" applyFont="1" applyFill="1" applyBorder="1" applyAlignment="1"/>
    <xf numFmtId="0" fontId="18" fillId="0" borderId="0" xfId="0" applyFont="1" applyFill="1" applyBorder="1"/>
    <xf numFmtId="10" fontId="39" fillId="0" borderId="0" xfId="43" applyNumberFormat="1" applyFont="1" applyFill="1" applyBorder="1" applyAlignment="1">
      <alignment horizontal="center"/>
    </xf>
    <xf numFmtId="0" fontId="27" fillId="0" borderId="0" xfId="0" applyFont="1" applyFill="1" applyBorder="1"/>
    <xf numFmtId="9" fontId="29" fillId="0" borderId="0" xfId="0" applyNumberFormat="1" applyFont="1" applyFill="1" applyBorder="1"/>
    <xf numFmtId="0" fontId="23" fillId="0" borderId="33" xfId="0" applyFont="1" applyFill="1" applyBorder="1" applyAlignment="1">
      <alignment horizontal="left"/>
    </xf>
    <xf numFmtId="0" fontId="23" fillId="0" borderId="35" xfId="0" applyFont="1" applyFill="1" applyBorder="1" applyAlignment="1">
      <alignment horizontal="left"/>
    </xf>
    <xf numFmtId="0" fontId="23" fillId="0" borderId="48" xfId="0" applyFont="1" applyFill="1" applyBorder="1"/>
    <xf numFmtId="0" fontId="23" fillId="0" borderId="41" xfId="0" applyFont="1" applyFill="1" applyBorder="1"/>
    <xf numFmtId="0" fontId="23" fillId="0" borderId="47" xfId="0" applyFont="1" applyFill="1" applyBorder="1"/>
    <xf numFmtId="0" fontId="23" fillId="0" borderId="56" xfId="0" applyFont="1" applyFill="1" applyBorder="1" applyAlignment="1">
      <alignment vertical="center"/>
    </xf>
    <xf numFmtId="14" fontId="23" fillId="0" borderId="0" xfId="0" applyNumberFormat="1" applyFont="1" applyFill="1" applyBorder="1" applyAlignment="1">
      <alignment horizontal="center"/>
    </xf>
    <xf numFmtId="171" fontId="23" fillId="0" borderId="24" xfId="0" applyNumberFormat="1" applyFont="1" applyFill="1" applyBorder="1" applyAlignment="1">
      <alignment horizontal="right"/>
    </xf>
    <xf numFmtId="170" fontId="23" fillId="0" borderId="25" xfId="0" applyNumberFormat="1" applyFont="1" applyFill="1" applyBorder="1" applyAlignment="1">
      <alignment horizontal="right"/>
    </xf>
    <xf numFmtId="0" fontId="23" fillId="0" borderId="0" xfId="0" applyFont="1" applyFill="1" applyBorder="1" applyAlignment="1">
      <alignment horizontal="left"/>
    </xf>
    <xf numFmtId="10" fontId="23" fillId="0" borderId="0" xfId="43" applyNumberFormat="1" applyFont="1" applyFill="1" applyBorder="1" applyAlignment="1">
      <alignment horizontal="center"/>
    </xf>
    <xf numFmtId="0" fontId="23" fillId="0" borderId="11" xfId="0" applyFont="1" applyFill="1" applyBorder="1" applyAlignment="1">
      <alignment vertical="center"/>
    </xf>
    <xf numFmtId="0" fontId="23" fillId="0" borderId="57" xfId="0" applyFont="1" applyFill="1" applyBorder="1" applyAlignment="1">
      <alignment horizontal="center"/>
    </xf>
    <xf numFmtId="43" fontId="21" fillId="0" borderId="0" xfId="0" applyNumberFormat="1" applyFont="1" applyFill="1" applyBorder="1" applyAlignment="1">
      <alignment horizontal="right"/>
    </xf>
    <xf numFmtId="0" fontId="23" fillId="0" borderId="64" xfId="0" applyFont="1" applyFill="1" applyBorder="1"/>
    <xf numFmtId="0" fontId="21" fillId="0" borderId="65" xfId="0" applyFont="1" applyFill="1" applyBorder="1"/>
    <xf numFmtId="0" fontId="21" fillId="0" borderId="45" xfId="0" applyFont="1" applyFill="1" applyBorder="1"/>
    <xf numFmtId="44" fontId="21" fillId="0" borderId="36" xfId="42" applyFont="1" applyFill="1" applyBorder="1"/>
    <xf numFmtId="0" fontId="42" fillId="0" borderId="0" xfId="0" applyFont="1" applyFill="1" applyAlignment="1">
      <alignment vertical="center"/>
    </xf>
    <xf numFmtId="0" fontId="43" fillId="0" borderId="0" xfId="0" applyFont="1" applyFill="1"/>
    <xf numFmtId="44" fontId="43" fillId="0" borderId="0" xfId="42" applyFont="1" applyFill="1" applyBorder="1"/>
    <xf numFmtId="0" fontId="43" fillId="0" borderId="0" xfId="0" applyFont="1" applyFill="1" applyBorder="1"/>
    <xf numFmtId="0" fontId="42" fillId="0" borderId="0" xfId="0" applyFont="1" applyFill="1"/>
    <xf numFmtId="44" fontId="43" fillId="0" borderId="0" xfId="0" applyNumberFormat="1" applyFont="1" applyFill="1"/>
    <xf numFmtId="0" fontId="42" fillId="0" borderId="0" xfId="0" applyFont="1" applyFill="1" applyAlignment="1"/>
    <xf numFmtId="165" fontId="43" fillId="0" borderId="0" xfId="43" applyNumberFormat="1" applyFont="1" applyFill="1"/>
    <xf numFmtId="8" fontId="43" fillId="0" borderId="0" xfId="0" applyNumberFormat="1" applyFont="1" applyFill="1"/>
    <xf numFmtId="0" fontId="43" fillId="0" borderId="11" xfId="0" applyFont="1" applyFill="1" applyBorder="1"/>
    <xf numFmtId="0" fontId="43" fillId="0" borderId="13" xfId="0" applyFont="1" applyFill="1" applyBorder="1"/>
    <xf numFmtId="0" fontId="43" fillId="0" borderId="23" xfId="0" applyFont="1" applyFill="1" applyBorder="1"/>
    <xf numFmtId="0" fontId="43" fillId="0" borderId="24" xfId="0" applyFont="1" applyFill="1" applyBorder="1"/>
    <xf numFmtId="0" fontId="43" fillId="0" borderId="18" xfId="0" applyFont="1" applyFill="1" applyBorder="1"/>
    <xf numFmtId="0" fontId="43" fillId="0" borderId="25" xfId="0" applyFont="1" applyFill="1" applyBorder="1"/>
    <xf numFmtId="0" fontId="41" fillId="0" borderId="0" xfId="0" applyFont="1" applyFill="1"/>
    <xf numFmtId="0" fontId="40" fillId="0" borderId="0" xfId="0" applyFont="1" applyFill="1"/>
    <xf numFmtId="0" fontId="41" fillId="0" borderId="0" xfId="0" applyFont="1" applyFill="1" applyBorder="1"/>
    <xf numFmtId="10" fontId="41" fillId="0" borderId="0" xfId="43" applyNumberFormat="1" applyFont="1" applyFill="1" applyBorder="1"/>
    <xf numFmtId="167" fontId="40" fillId="0" borderId="0" xfId="43" applyNumberFormat="1" applyFont="1" applyFill="1"/>
    <xf numFmtId="0" fontId="40" fillId="0" borderId="21" xfId="0" applyFont="1" applyFill="1" applyBorder="1"/>
    <xf numFmtId="44" fontId="40" fillId="0" borderId="0" xfId="42" applyFont="1" applyFill="1" applyBorder="1"/>
    <xf numFmtId="168" fontId="51" fillId="0" borderId="0" xfId="47" applyNumberFormat="1" applyFont="1" applyFill="1" applyBorder="1" applyAlignment="1">
      <alignment horizontal="center"/>
    </xf>
    <xf numFmtId="0" fontId="51" fillId="0" borderId="0" xfId="0" applyFont="1" applyFill="1"/>
    <xf numFmtId="0" fontId="18" fillId="0" borderId="0" xfId="0" applyFont="1" applyFill="1"/>
    <xf numFmtId="0" fontId="32" fillId="0" borderId="26" xfId="0" applyFont="1" applyFill="1" applyBorder="1" applyAlignment="1">
      <alignment horizontal="center"/>
    </xf>
    <xf numFmtId="8" fontId="21" fillId="0" borderId="27" xfId="0" applyNumberFormat="1" applyFont="1" applyFill="1" applyBorder="1" applyAlignment="1">
      <alignment horizontal="center"/>
    </xf>
    <xf numFmtId="0" fontId="32" fillId="0" borderId="27" xfId="0" applyFont="1" applyFill="1" applyBorder="1" applyAlignment="1">
      <alignment horizontal="center"/>
    </xf>
    <xf numFmtId="0" fontId="33" fillId="0" borderId="27" xfId="0" applyFont="1" applyFill="1" applyBorder="1" applyAlignment="1">
      <alignment horizontal="center"/>
    </xf>
    <xf numFmtId="10" fontId="39" fillId="0" borderId="28" xfId="43" applyNumberFormat="1" applyFont="1" applyFill="1" applyBorder="1" applyAlignment="1">
      <alignment horizontal="center"/>
    </xf>
    <xf numFmtId="41" fontId="23" fillId="0" borderId="13" xfId="45" applyNumberFormat="1" applyFont="1" applyFill="1" applyBorder="1" applyAlignment="1">
      <alignment horizontal="center"/>
    </xf>
    <xf numFmtId="44" fontId="21" fillId="0" borderId="24" xfId="42" applyFont="1" applyFill="1" applyBorder="1"/>
    <xf numFmtId="44" fontId="30" fillId="0" borderId="24" xfId="42" applyNumberFormat="1" applyFont="1" applyFill="1" applyBorder="1"/>
    <xf numFmtId="10" fontId="21" fillId="0" borderId="10" xfId="0" applyNumberFormat="1" applyFont="1" applyFill="1" applyBorder="1" applyAlignment="1">
      <alignment horizontal="right"/>
    </xf>
    <xf numFmtId="9" fontId="29" fillId="0" borderId="10" xfId="0" applyNumberFormat="1" applyFont="1" applyFill="1" applyBorder="1"/>
    <xf numFmtId="0" fontId="21" fillId="36" borderId="0" xfId="0" applyFont="1" applyFill="1" applyBorder="1"/>
    <xf numFmtId="0" fontId="21" fillId="36" borderId="0" xfId="0" applyFont="1" applyFill="1" applyBorder="1" applyAlignment="1">
      <alignment horizontal="center"/>
    </xf>
    <xf numFmtId="0" fontId="52" fillId="0" borderId="0" xfId="0" applyFont="1" applyFill="1"/>
    <xf numFmtId="168" fontId="54" fillId="0" borderId="0" xfId="47" applyNumberFormat="1" applyFont="1" applyFill="1" applyBorder="1"/>
    <xf numFmtId="168" fontId="54" fillId="0" borderId="26" xfId="47" applyNumberFormat="1" applyFont="1" applyFill="1" applyBorder="1"/>
    <xf numFmtId="168" fontId="54" fillId="0" borderId="28" xfId="47" applyNumberFormat="1" applyFont="1" applyFill="1" applyBorder="1"/>
    <xf numFmtId="168" fontId="53" fillId="0" borderId="10" xfId="47" applyNumberFormat="1" applyFont="1" applyFill="1" applyBorder="1" applyAlignment="1">
      <alignment horizontal="center"/>
    </xf>
    <xf numFmtId="168" fontId="53" fillId="0" borderId="26" xfId="47" applyNumberFormat="1" applyFont="1" applyFill="1" applyBorder="1" applyAlignment="1">
      <alignment horizontal="center"/>
    </xf>
    <xf numFmtId="168" fontId="53" fillId="0" borderId="22" xfId="47" applyNumberFormat="1" applyFont="1" applyFill="1" applyBorder="1" applyAlignment="1">
      <alignment horizontal="center"/>
    </xf>
    <xf numFmtId="168" fontId="54" fillId="0" borderId="23" xfId="47" applyNumberFormat="1" applyFont="1" applyFill="1" applyBorder="1" applyAlignment="1">
      <alignment horizontal="center"/>
    </xf>
    <xf numFmtId="14" fontId="54" fillId="0" borderId="18" xfId="0" applyNumberFormat="1" applyFont="1" applyFill="1" applyBorder="1"/>
    <xf numFmtId="14" fontId="54" fillId="0" borderId="42" xfId="0" applyNumberFormat="1" applyFont="1" applyFill="1" applyBorder="1"/>
    <xf numFmtId="168" fontId="54" fillId="0" borderId="0" xfId="47" applyNumberFormat="1" applyFont="1" applyFill="1" applyBorder="1" applyAlignment="1">
      <alignment horizontal="center"/>
    </xf>
    <xf numFmtId="168" fontId="54" fillId="0" borderId="24" xfId="47" applyNumberFormat="1" applyFont="1" applyFill="1" applyBorder="1" applyAlignment="1">
      <alignment horizontal="center"/>
    </xf>
    <xf numFmtId="168" fontId="52" fillId="0" borderId="26" xfId="47" applyNumberFormat="1" applyFont="1" applyFill="1" applyBorder="1"/>
    <xf numFmtId="168" fontId="54" fillId="0" borderId="20" xfId="47" applyNumberFormat="1" applyFont="1" applyFill="1" applyBorder="1" applyAlignment="1">
      <alignment horizontal="right"/>
    </xf>
    <xf numFmtId="168" fontId="54" fillId="0" borderId="21" xfId="47" applyNumberFormat="1" applyFont="1" applyFill="1" applyBorder="1" applyAlignment="1">
      <alignment horizontal="right"/>
    </xf>
    <xf numFmtId="168" fontId="54" fillId="0" borderId="22" xfId="47" applyNumberFormat="1" applyFont="1" applyFill="1" applyBorder="1" applyAlignment="1">
      <alignment horizontal="right"/>
    </xf>
    <xf numFmtId="168" fontId="54" fillId="0" borderId="20" xfId="47" applyNumberFormat="1" applyFont="1" applyFill="1" applyBorder="1"/>
    <xf numFmtId="168" fontId="54" fillId="0" borderId="21" xfId="47" applyNumberFormat="1" applyFont="1" applyFill="1" applyBorder="1"/>
    <xf numFmtId="168" fontId="54" fillId="0" borderId="22" xfId="47" applyNumberFormat="1" applyFont="1" applyFill="1" applyBorder="1"/>
    <xf numFmtId="168" fontId="54" fillId="0" borderId="27" xfId="47" applyNumberFormat="1" applyFont="1" applyFill="1" applyBorder="1"/>
    <xf numFmtId="168" fontId="54" fillId="0" borderId="23" xfId="47" applyNumberFormat="1" applyFont="1" applyFill="1" applyBorder="1" applyAlignment="1">
      <alignment horizontal="right"/>
    </xf>
    <xf numFmtId="168" fontId="54" fillId="0" borderId="0" xfId="47" applyNumberFormat="1" applyFont="1" applyFill="1" applyBorder="1" applyAlignment="1">
      <alignment horizontal="right"/>
    </xf>
    <xf numFmtId="168" fontId="54" fillId="0" borderId="24" xfId="47" applyNumberFormat="1" applyFont="1" applyFill="1" applyBorder="1" applyAlignment="1">
      <alignment horizontal="right"/>
    </xf>
    <xf numFmtId="168" fontId="54" fillId="0" borderId="23" xfId="47" applyNumberFormat="1" applyFont="1" applyFill="1" applyBorder="1"/>
    <xf numFmtId="168" fontId="54" fillId="0" borderId="24" xfId="47" applyNumberFormat="1" applyFont="1" applyFill="1" applyBorder="1"/>
    <xf numFmtId="168" fontId="56" fillId="0" borderId="27" xfId="47" applyNumberFormat="1" applyFont="1" applyFill="1" applyBorder="1"/>
    <xf numFmtId="0" fontId="53" fillId="0" borderId="26" xfId="46" applyFont="1" applyFill="1" applyBorder="1" applyAlignment="1">
      <alignment horizontal="left" vertical="top" wrapText="1" indent="1"/>
    </xf>
    <xf numFmtId="0" fontId="52" fillId="0" borderId="27" xfId="46" applyFont="1" applyFill="1" applyBorder="1" applyAlignment="1">
      <alignment horizontal="left" vertical="center" wrapText="1" indent="3"/>
    </xf>
    <xf numFmtId="168" fontId="52" fillId="0" borderId="23" xfId="47" applyNumberFormat="1" applyFont="1" applyFill="1" applyBorder="1" applyAlignment="1">
      <alignment horizontal="right"/>
    </xf>
    <xf numFmtId="10" fontId="52" fillId="0" borderId="0" xfId="43" applyNumberFormat="1" applyFont="1" applyFill="1" applyBorder="1" applyAlignment="1">
      <alignment horizontal="right"/>
    </xf>
    <xf numFmtId="10" fontId="52" fillId="0" borderId="24" xfId="43" applyNumberFormat="1" applyFont="1" applyFill="1" applyBorder="1" applyAlignment="1">
      <alignment horizontal="right"/>
    </xf>
    <xf numFmtId="10" fontId="52" fillId="0" borderId="23" xfId="43" applyNumberFormat="1" applyFont="1" applyFill="1" applyBorder="1"/>
    <xf numFmtId="10" fontId="52" fillId="0" borderId="0" xfId="43" applyNumberFormat="1" applyFont="1" applyFill="1" applyBorder="1"/>
    <xf numFmtId="10" fontId="52" fillId="0" borderId="24" xfId="43" applyNumberFormat="1" applyFont="1" applyFill="1" applyBorder="1"/>
    <xf numFmtId="168" fontId="52" fillId="0" borderId="0" xfId="47" applyNumberFormat="1" applyFont="1" applyFill="1" applyBorder="1"/>
    <xf numFmtId="168" fontId="52" fillId="0" borderId="23" xfId="47" applyNumberFormat="1" applyFont="1" applyFill="1" applyBorder="1"/>
    <xf numFmtId="168" fontId="52" fillId="0" borderId="24" xfId="47" applyNumberFormat="1" applyFont="1" applyFill="1" applyBorder="1"/>
    <xf numFmtId="0" fontId="57" fillId="0" borderId="27" xfId="46" applyFont="1" applyFill="1" applyBorder="1" applyAlignment="1">
      <alignment vertical="center" wrapText="1"/>
    </xf>
    <xf numFmtId="0" fontId="54" fillId="0" borderId="27" xfId="46" applyFont="1" applyFill="1" applyBorder="1" applyAlignment="1">
      <alignment horizontal="left" vertical="top" wrapText="1" indent="1"/>
    </xf>
    <xf numFmtId="168" fontId="54" fillId="0" borderId="48" xfId="47" applyNumberFormat="1" applyFont="1" applyFill="1" applyBorder="1" applyAlignment="1">
      <alignment horizontal="right"/>
    </xf>
    <xf numFmtId="168" fontId="53" fillId="0" borderId="0" xfId="47" applyNumberFormat="1" applyFont="1" applyFill="1" applyBorder="1"/>
    <xf numFmtId="0" fontId="53" fillId="0" borderId="39" xfId="46" applyFont="1" applyFill="1" applyBorder="1" applyAlignment="1">
      <alignment vertical="top" wrapText="1"/>
    </xf>
    <xf numFmtId="168" fontId="53" fillId="0" borderId="23" xfId="47" applyNumberFormat="1" applyFont="1" applyFill="1" applyBorder="1" applyAlignment="1">
      <alignment horizontal="right"/>
    </xf>
    <xf numFmtId="168" fontId="53" fillId="0" borderId="43" xfId="47" applyNumberFormat="1" applyFont="1" applyFill="1" applyBorder="1" applyAlignment="1">
      <alignment horizontal="right"/>
    </xf>
    <xf numFmtId="168" fontId="53" fillId="0" borderId="49" xfId="47" applyNumberFormat="1" applyFont="1" applyFill="1" applyBorder="1" applyAlignment="1">
      <alignment horizontal="right"/>
    </xf>
    <xf numFmtId="168" fontId="53" fillId="0" borderId="23" xfId="47" applyNumberFormat="1" applyFont="1" applyFill="1" applyBorder="1"/>
    <xf numFmtId="168" fontId="53" fillId="0" borderId="24" xfId="47" applyNumberFormat="1" applyFont="1" applyFill="1" applyBorder="1"/>
    <xf numFmtId="0" fontId="53" fillId="0" borderId="27" xfId="46" applyFont="1" applyFill="1" applyBorder="1" applyAlignment="1">
      <alignment vertical="top" wrapText="1"/>
    </xf>
    <xf numFmtId="10" fontId="52" fillId="0" borderId="23" xfId="43" applyNumberFormat="1" applyFont="1" applyFill="1" applyBorder="1" applyAlignment="1">
      <alignment horizontal="right"/>
    </xf>
    <xf numFmtId="0" fontId="53" fillId="0" borderId="27" xfId="46" applyFont="1" applyFill="1" applyBorder="1" applyAlignment="1">
      <alignment horizontal="left" vertical="top" wrapText="1"/>
    </xf>
    <xf numFmtId="168" fontId="53" fillId="0" borderId="0" xfId="47" applyNumberFormat="1" applyFont="1" applyFill="1" applyBorder="1" applyAlignment="1">
      <alignment horizontal="right"/>
    </xf>
    <xf numFmtId="168" fontId="53" fillId="0" borderId="24" xfId="47" applyNumberFormat="1" applyFont="1" applyFill="1" applyBorder="1" applyAlignment="1">
      <alignment horizontal="right"/>
    </xf>
    <xf numFmtId="168" fontId="52" fillId="0" borderId="48" xfId="47" applyNumberFormat="1" applyFont="1" applyFill="1" applyBorder="1" applyAlignment="1">
      <alignment horizontal="right"/>
    </xf>
    <xf numFmtId="0" fontId="53" fillId="0" borderId="46" xfId="46" applyFont="1" applyFill="1" applyBorder="1" applyAlignment="1">
      <alignment vertical="top" wrapText="1"/>
    </xf>
    <xf numFmtId="168" fontId="53" fillId="0" borderId="48" xfId="47" applyNumberFormat="1" applyFont="1" applyFill="1" applyBorder="1" applyAlignment="1">
      <alignment horizontal="right"/>
    </xf>
    <xf numFmtId="168" fontId="53" fillId="0" borderId="15" xfId="47" applyNumberFormat="1" applyFont="1" applyFill="1" applyBorder="1" applyAlignment="1">
      <alignment horizontal="right"/>
    </xf>
    <xf numFmtId="168" fontId="53" fillId="0" borderId="53" xfId="47" applyNumberFormat="1" applyFont="1" applyFill="1" applyBorder="1" applyAlignment="1">
      <alignment horizontal="right"/>
    </xf>
    <xf numFmtId="168" fontId="54" fillId="0" borderId="23" xfId="44" applyNumberFormat="1" applyFont="1" applyFill="1" applyBorder="1" applyAlignment="1">
      <alignment horizontal="right"/>
    </xf>
    <xf numFmtId="168" fontId="54" fillId="0" borderId="0" xfId="44" applyNumberFormat="1" applyFont="1" applyFill="1" applyBorder="1" applyAlignment="1">
      <alignment horizontal="right"/>
    </xf>
    <xf numFmtId="168" fontId="54" fillId="0" borderId="24" xfId="44" applyNumberFormat="1" applyFont="1" applyFill="1" applyBorder="1" applyAlignment="1">
      <alignment horizontal="right"/>
    </xf>
    <xf numFmtId="44" fontId="54" fillId="0" borderId="23" xfId="42" applyFont="1" applyFill="1" applyBorder="1" applyAlignment="1">
      <alignment horizontal="right"/>
    </xf>
    <xf numFmtId="44" fontId="54" fillId="0" borderId="0" xfId="42" applyFont="1" applyFill="1" applyBorder="1" applyAlignment="1">
      <alignment horizontal="right"/>
    </xf>
    <xf numFmtId="44" fontId="54" fillId="0" borderId="24" xfId="42" applyFont="1" applyFill="1" applyBorder="1" applyAlignment="1">
      <alignment horizontal="right"/>
    </xf>
    <xf numFmtId="43" fontId="54" fillId="0" borderId="23" xfId="47" applyFont="1" applyFill="1" applyBorder="1" applyAlignment="1">
      <alignment horizontal="right"/>
    </xf>
    <xf numFmtId="43" fontId="54" fillId="0" borderId="0" xfId="47" applyFont="1" applyFill="1" applyBorder="1" applyAlignment="1">
      <alignment horizontal="right"/>
    </xf>
    <xf numFmtId="43" fontId="54" fillId="0" borderId="24" xfId="47" applyFont="1" applyFill="1" applyBorder="1" applyAlignment="1">
      <alignment horizontal="right"/>
    </xf>
    <xf numFmtId="0" fontId="53" fillId="0" borderId="27" xfId="46" applyFont="1" applyFill="1" applyBorder="1" applyAlignment="1">
      <alignment vertical="center" wrapText="1"/>
    </xf>
    <xf numFmtId="0" fontId="57" fillId="0" borderId="27" xfId="46" applyFont="1" applyFill="1" applyBorder="1" applyAlignment="1">
      <alignment vertical="top" wrapText="1"/>
    </xf>
    <xf numFmtId="0" fontId="54" fillId="0" borderId="28" xfId="46" applyFont="1" applyFill="1" applyBorder="1" applyAlignment="1">
      <alignment horizontal="left" vertical="top" wrapText="1" indent="1"/>
    </xf>
    <xf numFmtId="44" fontId="54" fillId="0" borderId="18" xfId="42" applyFont="1" applyFill="1" applyBorder="1" applyAlignment="1">
      <alignment horizontal="right"/>
    </xf>
    <xf numFmtId="44" fontId="54" fillId="0" borderId="19" xfId="42" applyFont="1" applyFill="1" applyBorder="1" applyAlignment="1">
      <alignment horizontal="right"/>
    </xf>
    <xf numFmtId="44" fontId="54" fillId="0" borderId="25" xfId="42" applyFont="1" applyFill="1" applyBorder="1" applyAlignment="1">
      <alignment horizontal="right"/>
    </xf>
    <xf numFmtId="168" fontId="54" fillId="0" borderId="18" xfId="47" applyNumberFormat="1" applyFont="1" applyFill="1" applyBorder="1"/>
    <xf numFmtId="168" fontId="54" fillId="0" borderId="19" xfId="47" applyNumberFormat="1" applyFont="1" applyFill="1" applyBorder="1"/>
    <xf numFmtId="168" fontId="54" fillId="0" borderId="25" xfId="47" applyNumberFormat="1" applyFont="1" applyFill="1" applyBorder="1"/>
    <xf numFmtId="168" fontId="56" fillId="0" borderId="0" xfId="47" applyNumberFormat="1" applyFont="1" applyFill="1" applyBorder="1"/>
    <xf numFmtId="168" fontId="56" fillId="0" borderId="19" xfId="47" applyNumberFormat="1" applyFont="1" applyFill="1" applyBorder="1"/>
    <xf numFmtId="168" fontId="52" fillId="0" borderId="20" xfId="47" applyNumberFormat="1" applyFont="1" applyFill="1" applyBorder="1"/>
    <xf numFmtId="168" fontId="56" fillId="0" borderId="23" xfId="47" applyNumberFormat="1" applyFont="1" applyFill="1" applyBorder="1"/>
    <xf numFmtId="168" fontId="54" fillId="0" borderId="23" xfId="47" applyNumberFormat="1" applyFont="1" applyFill="1" applyBorder="1" applyAlignment="1">
      <alignment horizontal="left" indent="1"/>
    </xf>
    <xf numFmtId="168" fontId="53" fillId="0" borderId="47" xfId="47" applyNumberFormat="1" applyFont="1" applyFill="1" applyBorder="1"/>
    <xf numFmtId="0" fontId="54" fillId="0" borderId="23" xfId="46" applyFont="1" applyFill="1" applyBorder="1" applyAlignment="1">
      <alignment horizontal="left" vertical="top" wrapText="1" indent="1"/>
    </xf>
    <xf numFmtId="168" fontId="53" fillId="0" borderId="47" xfId="47" applyNumberFormat="1" applyFont="1" applyFill="1" applyBorder="1" applyAlignment="1">
      <alignment horizontal="left"/>
    </xf>
    <xf numFmtId="168" fontId="53" fillId="0" borderId="23" xfId="47" applyNumberFormat="1" applyFont="1" applyFill="1" applyBorder="1" applyAlignment="1">
      <alignment horizontal="left"/>
    </xf>
    <xf numFmtId="0" fontId="53" fillId="0" borderId="47" xfId="46" applyFont="1" applyFill="1" applyBorder="1" applyAlignment="1">
      <alignment vertical="top" wrapText="1"/>
    </xf>
    <xf numFmtId="0" fontId="54" fillId="0" borderId="18" xfId="46" applyFont="1" applyFill="1" applyBorder="1" applyAlignment="1">
      <alignment horizontal="left" vertical="top" wrapText="1" indent="1"/>
    </xf>
    <xf numFmtId="168" fontId="54" fillId="0" borderId="18" xfId="47" applyNumberFormat="1" applyFont="1" applyFill="1" applyBorder="1" applyAlignment="1">
      <alignment horizontal="right"/>
    </xf>
    <xf numFmtId="168" fontId="54" fillId="0" borderId="19" xfId="47" applyNumberFormat="1" applyFont="1" applyFill="1" applyBorder="1" applyAlignment="1">
      <alignment horizontal="right"/>
    </xf>
    <xf numFmtId="168" fontId="54" fillId="0" borderId="25" xfId="47" applyNumberFormat="1" applyFont="1" applyFill="1" applyBorder="1" applyAlignment="1">
      <alignment horizontal="right"/>
    </xf>
    <xf numFmtId="0" fontId="57" fillId="0" borderId="23" xfId="46" applyFont="1" applyFill="1" applyBorder="1" applyAlignment="1">
      <alignment vertical="center" wrapText="1"/>
    </xf>
    <xf numFmtId="0" fontId="53" fillId="0" borderId="23" xfId="46" applyFont="1" applyFill="1" applyBorder="1" applyAlignment="1">
      <alignment vertical="top" wrapText="1"/>
    </xf>
    <xf numFmtId="0" fontId="57" fillId="0" borderId="23" xfId="46" applyFont="1" applyFill="1" applyBorder="1" applyAlignment="1">
      <alignment vertical="top" wrapText="1"/>
    </xf>
    <xf numFmtId="168" fontId="53" fillId="0" borderId="21" xfId="47" applyNumberFormat="1" applyFont="1" applyFill="1" applyBorder="1" applyAlignment="1">
      <alignment horizontal="center"/>
    </xf>
    <xf numFmtId="168" fontId="54" fillId="0" borderId="56" xfId="47" applyNumberFormat="1" applyFont="1" applyFill="1" applyBorder="1" applyAlignment="1">
      <alignment horizontal="center"/>
    </xf>
    <xf numFmtId="168" fontId="51" fillId="0" borderId="57" xfId="47" applyNumberFormat="1" applyFont="1" applyFill="1" applyBorder="1" applyAlignment="1">
      <alignment horizontal="center"/>
    </xf>
    <xf numFmtId="168" fontId="51" fillId="0" borderId="58" xfId="47" applyNumberFormat="1" applyFont="1" applyFill="1" applyBorder="1" applyAlignment="1">
      <alignment horizontal="center"/>
    </xf>
    <xf numFmtId="0" fontId="44" fillId="0" borderId="20" xfId="0" applyFont="1" applyFill="1" applyBorder="1"/>
    <xf numFmtId="0" fontId="44" fillId="0" borderId="23" xfId="0" applyFont="1" applyFill="1" applyBorder="1"/>
    <xf numFmtId="0" fontId="44" fillId="0" borderId="23" xfId="0" applyFont="1" applyFill="1" applyBorder="1" applyAlignment="1">
      <alignment horizontal="left"/>
    </xf>
    <xf numFmtId="10" fontId="45" fillId="0" borderId="29" xfId="43" applyNumberFormat="1" applyFont="1" applyFill="1" applyBorder="1" applyAlignment="1"/>
    <xf numFmtId="10" fontId="45" fillId="0" borderId="45" xfId="43" applyNumberFormat="1" applyFont="1" applyFill="1" applyBorder="1" applyAlignment="1"/>
    <xf numFmtId="0" fontId="44" fillId="0" borderId="18" xfId="0" applyFont="1" applyFill="1" applyBorder="1" applyAlignment="1">
      <alignment horizontal="left"/>
    </xf>
    <xf numFmtId="10" fontId="45" fillId="0" borderId="44" xfId="43" applyNumberFormat="1" applyFont="1" applyFill="1" applyBorder="1" applyAlignment="1"/>
    <xf numFmtId="169" fontId="45" fillId="0" borderId="29" xfId="44" applyNumberFormat="1" applyFont="1" applyFill="1" applyBorder="1" applyAlignment="1"/>
    <xf numFmtId="169" fontId="46" fillId="0" borderId="29" xfId="44" applyNumberFormat="1" applyFont="1" applyFill="1" applyBorder="1" applyAlignment="1"/>
    <xf numFmtId="0" fontId="44" fillId="0" borderId="20" xfId="0" applyFont="1" applyFill="1" applyBorder="1" applyAlignment="1">
      <alignment horizontal="left"/>
    </xf>
    <xf numFmtId="0" fontId="44" fillId="0" borderId="11" xfId="0" applyFont="1" applyFill="1" applyBorder="1"/>
    <xf numFmtId="10" fontId="44" fillId="0" borderId="13" xfId="43" applyNumberFormat="1" applyFont="1" applyFill="1" applyBorder="1" applyAlignment="1"/>
    <xf numFmtId="14" fontId="23" fillId="0" borderId="10" xfId="0" applyNumberFormat="1" applyFont="1" applyFill="1" applyBorder="1" applyAlignment="1">
      <alignment horizontal="center"/>
    </xf>
    <xf numFmtId="0" fontId="23" fillId="34" borderId="26" xfId="0" applyFont="1" applyFill="1" applyBorder="1" applyAlignment="1">
      <alignment horizontal="center"/>
    </xf>
    <xf numFmtId="8" fontId="23" fillId="34" borderId="28" xfId="44" applyNumberFormat="1" applyFont="1" applyFill="1" applyBorder="1" applyAlignment="1">
      <alignment horizontal="center"/>
    </xf>
    <xf numFmtId="0" fontId="23" fillId="34" borderId="57" xfId="0" applyFont="1" applyFill="1" applyBorder="1" applyAlignment="1">
      <alignment horizontal="center"/>
    </xf>
    <xf numFmtId="169" fontId="21" fillId="34" borderId="17" xfId="44" applyNumberFormat="1" applyFont="1" applyFill="1" applyBorder="1" applyAlignment="1">
      <alignment horizontal="right"/>
    </xf>
    <xf numFmtId="169" fontId="21" fillId="34" borderId="59" xfId="44" applyNumberFormat="1" applyFont="1" applyFill="1" applyBorder="1" applyAlignment="1">
      <alignment horizontal="right"/>
    </xf>
    <xf numFmtId="169" fontId="21" fillId="34" borderId="14" xfId="44" applyNumberFormat="1" applyFont="1" applyFill="1" applyBorder="1" applyAlignment="1">
      <alignment horizontal="right"/>
    </xf>
    <xf numFmtId="169" fontId="21" fillId="34" borderId="34" xfId="44" applyNumberFormat="1" applyFont="1" applyFill="1" applyBorder="1" applyAlignment="1">
      <alignment horizontal="right"/>
    </xf>
    <xf numFmtId="169" fontId="21" fillId="34" borderId="16" xfId="44" applyNumberFormat="1" applyFont="1" applyFill="1" applyBorder="1" applyAlignment="1">
      <alignment horizontal="right"/>
    </xf>
    <xf numFmtId="0" fontId="21" fillId="0" borderId="65" xfId="0" applyFont="1" applyFill="1" applyBorder="1" applyAlignment="1">
      <alignment horizontal="right"/>
    </xf>
    <xf numFmtId="44" fontId="21" fillId="34" borderId="36" xfId="42" applyFont="1" applyFill="1" applyBorder="1"/>
    <xf numFmtId="0" fontId="47" fillId="0" borderId="26" xfId="0" applyFont="1" applyFill="1" applyBorder="1"/>
    <xf numFmtId="0" fontId="42" fillId="0" borderId="26" xfId="0" applyFont="1" applyFill="1" applyBorder="1"/>
    <xf numFmtId="2" fontId="43" fillId="0" borderId="0" xfId="0" applyNumberFormat="1" applyFont="1" applyFill="1" applyBorder="1"/>
    <xf numFmtId="2" fontId="42" fillId="0" borderId="29" xfId="42" applyNumberFormat="1" applyFont="1" applyFill="1" applyBorder="1"/>
    <xf numFmtId="0" fontId="42" fillId="0" borderId="27" xfId="0" applyFont="1" applyFill="1" applyBorder="1"/>
    <xf numFmtId="0" fontId="42" fillId="0" borderId="28" xfId="0" applyFont="1" applyFill="1" applyBorder="1"/>
    <xf numFmtId="2" fontId="43" fillId="0" borderId="19" xfId="0" applyNumberFormat="1" applyFont="1" applyFill="1" applyBorder="1"/>
    <xf numFmtId="2" fontId="42" fillId="0" borderId="44" xfId="42" applyNumberFormat="1" applyFont="1" applyFill="1" applyBorder="1"/>
    <xf numFmtId="2" fontId="42" fillId="0" borderId="11" xfId="0" applyNumberFormat="1" applyFont="1" applyFill="1" applyBorder="1"/>
    <xf numFmtId="2" fontId="42" fillId="0" borderId="13" xfId="0" applyNumberFormat="1" applyFont="1" applyFill="1" applyBorder="1"/>
    <xf numFmtId="0" fontId="42" fillId="0" borderId="12" xfId="0" applyFont="1" applyFill="1" applyBorder="1" applyAlignment="1">
      <alignment horizontal="center" vertical="center" wrapText="1"/>
    </xf>
    <xf numFmtId="0" fontId="42" fillId="0" borderId="58" xfId="0" applyFont="1" applyFill="1" applyBorder="1" applyAlignment="1">
      <alignment horizontal="center" vertical="center" wrapText="1"/>
    </xf>
    <xf numFmtId="0" fontId="21" fillId="0" borderId="23" xfId="0" applyFont="1" applyFill="1" applyBorder="1"/>
    <xf numFmtId="0" fontId="42" fillId="0" borderId="27" xfId="0" applyFont="1" applyFill="1" applyBorder="1" applyAlignment="1">
      <alignment horizontal="left"/>
    </xf>
    <xf numFmtId="0" fontId="48" fillId="0" borderId="23" xfId="0" applyFont="1" applyFill="1" applyBorder="1" applyAlignment="1">
      <alignment horizontal="left"/>
    </xf>
    <xf numFmtId="10" fontId="42" fillId="0" borderId="0" xfId="43" applyNumberFormat="1" applyFont="1" applyFill="1" applyBorder="1" applyAlignment="1">
      <alignment horizontal="right"/>
    </xf>
    <xf numFmtId="10" fontId="42" fillId="0" borderId="24" xfId="43" applyNumberFormat="1" applyFont="1" applyFill="1" applyBorder="1" applyAlignment="1">
      <alignment horizontal="right"/>
    </xf>
    <xf numFmtId="44" fontId="42" fillId="0" borderId="27" xfId="0" applyNumberFormat="1" applyFont="1" applyFill="1" applyBorder="1" applyAlignment="1">
      <alignment horizontal="left"/>
    </xf>
    <xf numFmtId="44" fontId="43" fillId="0" borderId="23" xfId="42" applyFont="1" applyFill="1" applyBorder="1" applyAlignment="1">
      <alignment horizontal="left"/>
    </xf>
    <xf numFmtId="44" fontId="43" fillId="0" borderId="0" xfId="0" applyNumberFormat="1" applyFont="1" applyFill="1" applyBorder="1" applyAlignment="1">
      <alignment horizontal="left"/>
    </xf>
    <xf numFmtId="44" fontId="43" fillId="0" borderId="24" xfId="0" applyNumberFormat="1" applyFont="1" applyFill="1" applyBorder="1" applyAlignment="1">
      <alignment horizontal="left"/>
    </xf>
    <xf numFmtId="0" fontId="42" fillId="0" borderId="28" xfId="0" applyFont="1" applyFill="1" applyBorder="1" applyAlignment="1">
      <alignment horizontal="left"/>
    </xf>
    <xf numFmtId="0" fontId="43" fillId="0" borderId="18" xfId="0" applyFont="1" applyFill="1" applyBorder="1" applyAlignment="1">
      <alignment horizontal="left"/>
    </xf>
    <xf numFmtId="10" fontId="43" fillId="0" borderId="19" xfId="43" applyNumberFormat="1" applyFont="1" applyFill="1" applyBorder="1" applyAlignment="1">
      <alignment horizontal="right"/>
    </xf>
    <xf numFmtId="0" fontId="43" fillId="0" borderId="19" xfId="0" applyFont="1" applyFill="1" applyBorder="1" applyAlignment="1">
      <alignment horizontal="left"/>
    </xf>
    <xf numFmtId="0" fontId="43" fillId="0" borderId="25" xfId="0" applyFont="1" applyFill="1" applyBorder="1" applyAlignment="1">
      <alignment horizontal="left"/>
    </xf>
    <xf numFmtId="44" fontId="42" fillId="0" borderId="26" xfId="42" applyFont="1" applyFill="1" applyBorder="1" applyAlignment="1">
      <alignment horizontal="left"/>
    </xf>
    <xf numFmtId="0" fontId="43" fillId="0" borderId="21" xfId="0" applyFont="1" applyFill="1" applyBorder="1"/>
    <xf numFmtId="44" fontId="43" fillId="0" borderId="21" xfId="42" applyFont="1" applyFill="1" applyBorder="1"/>
    <xf numFmtId="10" fontId="43" fillId="0" borderId="22" xfId="43" applyNumberFormat="1" applyFont="1" applyFill="1" applyBorder="1"/>
    <xf numFmtId="8" fontId="43" fillId="0" borderId="0" xfId="0" applyNumberFormat="1" applyFont="1" applyFill="1" applyBorder="1"/>
    <xf numFmtId="0" fontId="43" fillId="0" borderId="28" xfId="0" applyFont="1" applyFill="1" applyBorder="1" applyAlignment="1"/>
    <xf numFmtId="0" fontId="43" fillId="0" borderId="19" xfId="0" applyFont="1" applyFill="1" applyBorder="1"/>
    <xf numFmtId="8" fontId="43" fillId="0" borderId="19" xfId="0" applyNumberFormat="1" applyFont="1" applyFill="1" applyBorder="1"/>
    <xf numFmtId="8" fontId="42" fillId="0" borderId="22" xfId="0" applyNumberFormat="1" applyFont="1" applyFill="1" applyBorder="1"/>
    <xf numFmtId="8" fontId="42" fillId="0" borderId="25" xfId="0" applyNumberFormat="1" applyFont="1" applyFill="1" applyBorder="1"/>
    <xf numFmtId="0" fontId="42" fillId="0" borderId="10" xfId="0" applyFont="1" applyFill="1" applyBorder="1" applyAlignment="1">
      <alignment horizontal="left"/>
    </xf>
    <xf numFmtId="0" fontId="42" fillId="0" borderId="11" xfId="0" applyFont="1" applyFill="1" applyBorder="1" applyAlignment="1">
      <alignment horizontal="center"/>
    </xf>
    <xf numFmtId="0" fontId="42" fillId="0" borderId="12" xfId="0" applyFont="1" applyFill="1" applyBorder="1" applyAlignment="1">
      <alignment horizontal="center"/>
    </xf>
    <xf numFmtId="0" fontId="42" fillId="0" borderId="13" xfId="0" applyFont="1" applyFill="1" applyBorder="1" applyAlignment="1">
      <alignment horizontal="center"/>
    </xf>
    <xf numFmtId="0" fontId="41" fillId="0" borderId="23" xfId="0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center"/>
    </xf>
    <xf numFmtId="10" fontId="41" fillId="0" borderId="0" xfId="43" applyNumberFormat="1" applyFont="1" applyFill="1" applyBorder="1" applyAlignment="1">
      <alignment horizontal="center" vertical="center"/>
    </xf>
    <xf numFmtId="10" fontId="41" fillId="0" borderId="24" xfId="43" applyNumberFormat="1" applyFont="1" applyFill="1" applyBorder="1" applyAlignment="1">
      <alignment horizontal="center" vertical="center"/>
    </xf>
    <xf numFmtId="44" fontId="41" fillId="0" borderId="23" xfId="42" applyFont="1" applyFill="1" applyBorder="1"/>
    <xf numFmtId="44" fontId="40" fillId="0" borderId="24" xfId="42" applyFont="1" applyFill="1" applyBorder="1"/>
    <xf numFmtId="0" fontId="41" fillId="0" borderId="18" xfId="0" applyFont="1" applyFill="1" applyBorder="1"/>
    <xf numFmtId="0" fontId="40" fillId="0" borderId="19" xfId="0" applyFont="1" applyFill="1" applyBorder="1"/>
    <xf numFmtId="10" fontId="41" fillId="0" borderId="19" xfId="43" applyNumberFormat="1" applyFont="1" applyFill="1" applyBorder="1"/>
    <xf numFmtId="0" fontId="40" fillId="0" borderId="25" xfId="0" applyFont="1" applyFill="1" applyBorder="1"/>
    <xf numFmtId="0" fontId="41" fillId="0" borderId="23" xfId="0" applyFont="1" applyFill="1" applyBorder="1"/>
    <xf numFmtId="0" fontId="40" fillId="0" borderId="24" xfId="0" applyFont="1" applyFill="1" applyBorder="1"/>
    <xf numFmtId="0" fontId="41" fillId="0" borderId="20" xfId="0" applyFont="1" applyFill="1" applyBorder="1"/>
    <xf numFmtId="44" fontId="40" fillId="0" borderId="21" xfId="42" applyFont="1" applyFill="1" applyBorder="1"/>
    <xf numFmtId="0" fontId="40" fillId="0" borderId="22" xfId="0" applyFont="1" applyFill="1" applyBorder="1"/>
    <xf numFmtId="0" fontId="40" fillId="0" borderId="23" xfId="0" applyFont="1" applyFill="1" applyBorder="1"/>
    <xf numFmtId="8" fontId="40" fillId="0" borderId="0" xfId="0" applyNumberFormat="1" applyFont="1" applyFill="1" applyBorder="1"/>
    <xf numFmtId="0" fontId="40" fillId="0" borderId="18" xfId="0" applyFont="1" applyFill="1" applyBorder="1"/>
    <xf numFmtId="8" fontId="40" fillId="0" borderId="19" xfId="0" applyNumberFormat="1" applyFont="1" applyFill="1" applyBorder="1"/>
    <xf numFmtId="0" fontId="40" fillId="0" borderId="23" xfId="0" applyFont="1" applyFill="1" applyBorder="1" applyAlignment="1">
      <alignment horizontal="right"/>
    </xf>
    <xf numFmtId="44" fontId="40" fillId="0" borderId="0" xfId="0" applyNumberFormat="1" applyFont="1" applyFill="1" applyBorder="1"/>
    <xf numFmtId="0" fontId="40" fillId="0" borderId="15" xfId="0" applyFont="1" applyFill="1" applyBorder="1"/>
    <xf numFmtId="44" fontId="40" fillId="0" borderId="15" xfId="42" applyFont="1" applyFill="1" applyBorder="1"/>
    <xf numFmtId="44" fontId="40" fillId="0" borderId="15" xfId="0" applyNumberFormat="1" applyFont="1" applyFill="1" applyBorder="1"/>
    <xf numFmtId="43" fontId="40" fillId="0" borderId="0" xfId="44" applyFont="1" applyFill="1" applyBorder="1"/>
    <xf numFmtId="0" fontId="41" fillId="0" borderId="19" xfId="0" applyFont="1" applyFill="1" applyBorder="1"/>
    <xf numFmtId="0" fontId="41" fillId="0" borderId="11" xfId="0" applyFont="1" applyFill="1" applyBorder="1"/>
    <xf numFmtId="0" fontId="41" fillId="0" borderId="12" xfId="0" applyFont="1" applyFill="1" applyBorder="1" applyAlignment="1">
      <alignment horizontal="center"/>
    </xf>
    <xf numFmtId="0" fontId="41" fillId="0" borderId="13" xfId="0" applyFont="1" applyFill="1" applyBorder="1" applyAlignment="1">
      <alignment horizontal="center"/>
    </xf>
    <xf numFmtId="10" fontId="21" fillId="0" borderId="0" xfId="43" applyNumberFormat="1" applyFont="1" applyFill="1" applyBorder="1" applyAlignment="1">
      <alignment horizontal="right"/>
    </xf>
    <xf numFmtId="10" fontId="23" fillId="0" borderId="0" xfId="43" applyNumberFormat="1" applyFont="1" applyFill="1" applyBorder="1" applyAlignment="1">
      <alignment horizontal="right"/>
    </xf>
    <xf numFmtId="2" fontId="21" fillId="0" borderId="0" xfId="0" applyNumberFormat="1" applyFont="1" applyFill="1" applyBorder="1" applyAlignment="1">
      <alignment horizontal="right"/>
    </xf>
    <xf numFmtId="44" fontId="21" fillId="0" borderId="0" xfId="0" applyNumberFormat="1" applyFont="1" applyFill="1" applyBorder="1" applyAlignment="1">
      <alignment horizontal="right"/>
    </xf>
    <xf numFmtId="44" fontId="21" fillId="0" borderId="24" xfId="0" applyNumberFormat="1" applyFont="1" applyFill="1" applyBorder="1" applyAlignment="1">
      <alignment horizontal="right"/>
    </xf>
    <xf numFmtId="0" fontId="21" fillId="0" borderId="19" xfId="0" applyFont="1" applyFill="1" applyBorder="1" applyAlignment="1">
      <alignment horizontal="right"/>
    </xf>
    <xf numFmtId="10" fontId="23" fillId="0" borderId="19" xfId="43" applyNumberFormat="1" applyFont="1" applyFill="1" applyBorder="1" applyAlignment="1">
      <alignment horizontal="right"/>
    </xf>
    <xf numFmtId="0" fontId="21" fillId="0" borderId="25" xfId="0" applyFont="1" applyFill="1" applyBorder="1" applyAlignment="1">
      <alignment horizontal="right"/>
    </xf>
    <xf numFmtId="10" fontId="23" fillId="0" borderId="0" xfId="43" applyNumberFormat="1" applyFont="1" applyFill="1" applyBorder="1"/>
    <xf numFmtId="0" fontId="21" fillId="0" borderId="0" xfId="0" applyFont="1" applyFill="1" applyBorder="1" applyAlignment="1">
      <alignment horizontal="right"/>
    </xf>
    <xf numFmtId="44" fontId="21" fillId="0" borderId="0" xfId="42" applyFont="1" applyFill="1" applyBorder="1" applyAlignment="1">
      <alignment horizontal="right"/>
    </xf>
    <xf numFmtId="0" fontId="21" fillId="0" borderId="24" xfId="0" applyFont="1" applyFill="1" applyBorder="1" applyAlignment="1">
      <alignment horizontal="right"/>
    </xf>
    <xf numFmtId="8" fontId="21" fillId="0" borderId="0" xfId="0" applyNumberFormat="1" applyFont="1" applyFill="1" applyBorder="1" applyAlignment="1">
      <alignment horizontal="right"/>
    </xf>
    <xf numFmtId="8" fontId="21" fillId="0" borderId="24" xfId="0" applyNumberFormat="1" applyFont="1" applyFill="1" applyBorder="1" applyAlignment="1">
      <alignment horizontal="right"/>
    </xf>
    <xf numFmtId="8" fontId="21" fillId="0" borderId="19" xfId="0" applyNumberFormat="1" applyFont="1" applyFill="1" applyBorder="1" applyAlignment="1">
      <alignment horizontal="right"/>
    </xf>
    <xf numFmtId="8" fontId="21" fillId="0" borderId="25" xfId="0" applyNumberFormat="1" applyFont="1" applyFill="1" applyBorder="1" applyAlignment="1">
      <alignment horizontal="right"/>
    </xf>
    <xf numFmtId="8" fontId="21" fillId="0" borderId="0" xfId="0" applyNumberFormat="1" applyFont="1" applyFill="1" applyBorder="1"/>
    <xf numFmtId="8" fontId="21" fillId="0" borderId="22" xfId="0" applyNumberFormat="1" applyFont="1" applyFill="1" applyBorder="1" applyAlignment="1">
      <alignment horizontal="right"/>
    </xf>
    <xf numFmtId="8" fontId="23" fillId="0" borderId="24" xfId="0" applyNumberFormat="1" applyFont="1" applyFill="1" applyBorder="1" applyAlignment="1">
      <alignment horizontal="right"/>
    </xf>
    <xf numFmtId="1" fontId="23" fillId="0" borderId="13" xfId="0" applyNumberFormat="1" applyFont="1" applyFill="1" applyBorder="1"/>
    <xf numFmtId="44" fontId="23" fillId="0" borderId="25" xfId="0" applyNumberFormat="1" applyFont="1" applyFill="1" applyBorder="1" applyAlignment="1">
      <alignment horizontal="right"/>
    </xf>
    <xf numFmtId="0" fontId="21" fillId="0" borderId="12" xfId="0" applyFont="1" applyFill="1" applyBorder="1"/>
    <xf numFmtId="44" fontId="21" fillId="0" borderId="12" xfId="0" applyNumberFormat="1" applyFont="1" applyFill="1" applyBorder="1" applyAlignment="1">
      <alignment horizontal="right"/>
    </xf>
    <xf numFmtId="44" fontId="21" fillId="0" borderId="13" xfId="0" applyNumberFormat="1" applyFont="1" applyFill="1" applyBorder="1" applyAlignment="1">
      <alignment horizontal="right"/>
    </xf>
    <xf numFmtId="0" fontId="49" fillId="0" borderId="0" xfId="0" applyFont="1" applyFill="1"/>
    <xf numFmtId="0" fontId="50" fillId="0" borderId="0" xfId="0" applyFont="1" applyFill="1"/>
    <xf numFmtId="0" fontId="49" fillId="0" borderId="23" xfId="0" applyFont="1" applyFill="1" applyBorder="1"/>
    <xf numFmtId="0" fontId="50" fillId="0" borderId="0" xfId="0" applyFont="1" applyFill="1" applyBorder="1"/>
    <xf numFmtId="10" fontId="49" fillId="0" borderId="0" xfId="43" applyNumberFormat="1" applyFont="1" applyFill="1" applyBorder="1"/>
    <xf numFmtId="166" fontId="50" fillId="0" borderId="0" xfId="0" applyNumberFormat="1" applyFont="1" applyFill="1" applyBorder="1"/>
    <xf numFmtId="166" fontId="50" fillId="0" borderId="0" xfId="42" applyNumberFormat="1" applyFont="1" applyFill="1" applyBorder="1"/>
    <xf numFmtId="166" fontId="50" fillId="0" borderId="24" xfId="42" applyNumberFormat="1" applyFont="1" applyFill="1" applyBorder="1"/>
    <xf numFmtId="44" fontId="50" fillId="0" borderId="0" xfId="42" applyNumberFormat="1" applyFont="1" applyFill="1"/>
    <xf numFmtId="166" fontId="50" fillId="0" borderId="0" xfId="44" applyNumberFormat="1" applyFont="1" applyFill="1" applyBorder="1"/>
    <xf numFmtId="0" fontId="49" fillId="0" borderId="18" xfId="0" applyFont="1" applyFill="1" applyBorder="1"/>
    <xf numFmtId="0" fontId="50" fillId="0" borderId="19" xfId="0" applyFont="1" applyFill="1" applyBorder="1"/>
    <xf numFmtId="10" fontId="49" fillId="0" borderId="19" xfId="43" applyNumberFormat="1" applyFont="1" applyFill="1" applyBorder="1"/>
    <xf numFmtId="0" fontId="50" fillId="0" borderId="25" xfId="0" applyFont="1" applyFill="1" applyBorder="1"/>
    <xf numFmtId="0" fontId="50" fillId="0" borderId="20" xfId="0" applyFont="1" applyFill="1" applyBorder="1"/>
    <xf numFmtId="0" fontId="50" fillId="0" borderId="21" xfId="0" applyFont="1" applyFill="1" applyBorder="1"/>
    <xf numFmtId="10" fontId="50" fillId="0" borderId="21" xfId="43" applyNumberFormat="1" applyFont="1" applyFill="1" applyBorder="1"/>
    <xf numFmtId="10" fontId="50" fillId="0" borderId="22" xfId="43" applyNumberFormat="1" applyFont="1" applyFill="1" applyBorder="1"/>
    <xf numFmtId="0" fontId="50" fillId="0" borderId="23" xfId="0" applyFont="1" applyFill="1" applyBorder="1"/>
    <xf numFmtId="44" fontId="50" fillId="0" borderId="0" xfId="42" applyFont="1" applyFill="1" applyBorder="1"/>
    <xf numFmtId="44" fontId="50" fillId="0" borderId="24" xfId="42" applyFont="1" applyFill="1" applyBorder="1"/>
    <xf numFmtId="8" fontId="50" fillId="0" borderId="0" xfId="0" applyNumberFormat="1" applyFont="1" applyFill="1" applyBorder="1"/>
    <xf numFmtId="8" fontId="50" fillId="0" borderId="24" xfId="0" applyNumberFormat="1" applyFont="1" applyFill="1" applyBorder="1"/>
    <xf numFmtId="0" fontId="50" fillId="0" borderId="24" xfId="0" applyFont="1" applyFill="1" applyBorder="1"/>
    <xf numFmtId="0" fontId="50" fillId="0" borderId="18" xfId="0" applyFont="1" applyFill="1" applyBorder="1"/>
    <xf numFmtId="8" fontId="50" fillId="0" borderId="19" xfId="0" applyNumberFormat="1" applyFont="1" applyFill="1" applyBorder="1"/>
    <xf numFmtId="0" fontId="50" fillId="0" borderId="11" xfId="0" applyFont="1" applyFill="1" applyBorder="1"/>
    <xf numFmtId="0" fontId="49" fillId="0" borderId="12" xfId="0" applyFont="1" applyFill="1" applyBorder="1" applyAlignment="1">
      <alignment horizontal="center"/>
    </xf>
    <xf numFmtId="0" fontId="49" fillId="0" borderId="13" xfId="0" applyFont="1" applyFill="1" applyBorder="1" applyAlignment="1">
      <alignment horizontal="center"/>
    </xf>
    <xf numFmtId="166" fontId="50" fillId="0" borderId="24" xfId="0" applyNumberFormat="1" applyFont="1" applyFill="1" applyBorder="1"/>
    <xf numFmtId="44" fontId="50" fillId="0" borderId="24" xfId="0" applyNumberFormat="1" applyFont="1" applyFill="1" applyBorder="1"/>
    <xf numFmtId="166" fontId="50" fillId="0" borderId="43" xfId="42" applyNumberFormat="1" applyFont="1" applyFill="1" applyBorder="1"/>
    <xf numFmtId="166" fontId="50" fillId="0" borderId="49" xfId="42" applyNumberFormat="1" applyFont="1" applyFill="1" applyBorder="1"/>
    <xf numFmtId="43" fontId="50" fillId="0" borderId="68" xfId="44" applyFont="1" applyFill="1" applyBorder="1"/>
    <xf numFmtId="43" fontId="50" fillId="0" borderId="67" xfId="0" applyNumberFormat="1" applyFont="1" applyFill="1" applyBorder="1"/>
    <xf numFmtId="44" fontId="49" fillId="0" borderId="0" xfId="42" applyFont="1" applyFill="1" applyBorder="1"/>
    <xf numFmtId="44" fontId="49" fillId="0" borderId="25" xfId="42" applyFont="1" applyFill="1" applyBorder="1"/>
    <xf numFmtId="0" fontId="49" fillId="0" borderId="11" xfId="0" applyFont="1" applyFill="1" applyBorder="1" applyAlignment="1">
      <alignment horizontal="left"/>
    </xf>
    <xf numFmtId="44" fontId="21" fillId="0" borderId="0" xfId="0" applyNumberFormat="1" applyFont="1" applyFill="1" applyBorder="1"/>
    <xf numFmtId="0" fontId="21" fillId="0" borderId="11" xfId="0" applyFont="1" applyFill="1" applyBorder="1"/>
    <xf numFmtId="0" fontId="23" fillId="0" borderId="12" xfId="0" applyFont="1" applyFill="1" applyBorder="1"/>
    <xf numFmtId="10" fontId="21" fillId="0" borderId="14" xfId="44" applyNumberFormat="1" applyFont="1" applyFill="1" applyBorder="1"/>
    <xf numFmtId="10" fontId="21" fillId="0" borderId="34" xfId="44" applyNumberFormat="1" applyFont="1" applyFill="1" applyBorder="1"/>
    <xf numFmtId="43" fontId="21" fillId="0" borderId="14" xfId="44" applyFont="1" applyFill="1" applyBorder="1"/>
    <xf numFmtId="43" fontId="21" fillId="0" borderId="34" xfId="44" applyFont="1" applyFill="1" applyBorder="1"/>
    <xf numFmtId="43" fontId="21" fillId="0" borderId="14" xfId="44" applyNumberFormat="1" applyFont="1" applyFill="1" applyBorder="1"/>
    <xf numFmtId="43" fontId="21" fillId="0" borderId="34" xfId="44" applyNumberFormat="1" applyFont="1" applyFill="1" applyBorder="1"/>
    <xf numFmtId="43" fontId="21" fillId="0" borderId="36" xfId="44" applyFont="1" applyFill="1" applyBorder="1"/>
    <xf numFmtId="43" fontId="21" fillId="0" borderId="37" xfId="44" applyFont="1" applyFill="1" applyBorder="1"/>
    <xf numFmtId="43" fontId="21" fillId="0" borderId="37" xfId="44" applyNumberFormat="1" applyFont="1" applyFill="1" applyBorder="1"/>
    <xf numFmtId="44" fontId="21" fillId="0" borderId="14" xfId="42" applyFont="1" applyFill="1" applyBorder="1"/>
    <xf numFmtId="44" fontId="21" fillId="0" borderId="34" xfId="42" applyFont="1" applyFill="1" applyBorder="1"/>
    <xf numFmtId="10" fontId="21" fillId="34" borderId="14" xfId="0" applyNumberFormat="1" applyFont="1" applyFill="1" applyBorder="1"/>
    <xf numFmtId="168" fontId="21" fillId="0" borderId="61" xfId="44" applyNumberFormat="1" applyFont="1" applyFill="1" applyBorder="1"/>
    <xf numFmtId="43" fontId="21" fillId="0" borderId="61" xfId="44" applyFont="1" applyFill="1" applyBorder="1"/>
    <xf numFmtId="44" fontId="21" fillId="0" borderId="61" xfId="42" applyFont="1" applyFill="1" applyBorder="1"/>
    <xf numFmtId="44" fontId="21" fillId="0" borderId="62" xfId="42" applyFont="1" applyFill="1" applyBorder="1"/>
    <xf numFmtId="44" fontId="21" fillId="0" borderId="16" xfId="42" applyFont="1" applyFill="1" applyBorder="1"/>
    <xf numFmtId="44" fontId="21" fillId="0" borderId="54" xfId="42" applyFont="1" applyFill="1" applyBorder="1"/>
    <xf numFmtId="44" fontId="21" fillId="0" borderId="63" xfId="42" applyFont="1" applyFill="1" applyBorder="1"/>
    <xf numFmtId="44" fontId="21" fillId="0" borderId="37" xfId="42" applyFont="1" applyFill="1" applyBorder="1"/>
    <xf numFmtId="0" fontId="23" fillId="0" borderId="14" xfId="0" applyFont="1" applyFill="1" applyBorder="1" applyAlignment="1">
      <alignment horizontal="center"/>
    </xf>
    <xf numFmtId="0" fontId="23" fillId="0" borderId="34" xfId="0" applyFont="1" applyFill="1" applyBorder="1" applyAlignment="1">
      <alignment horizontal="center"/>
    </xf>
    <xf numFmtId="10" fontId="21" fillId="0" borderId="36" xfId="43" applyNumberFormat="1" applyFont="1" applyFill="1" applyBorder="1" applyAlignment="1">
      <alignment horizontal="center"/>
    </xf>
    <xf numFmtId="10" fontId="21" fillId="34" borderId="37" xfId="43" applyNumberFormat="1" applyFont="1" applyFill="1" applyBorder="1" applyAlignment="1">
      <alignment horizontal="center"/>
    </xf>
    <xf numFmtId="2" fontId="45" fillId="34" borderId="45" xfId="0" applyNumberFormat="1" applyFont="1" applyFill="1" applyBorder="1" applyAlignment="1"/>
    <xf numFmtId="10" fontId="45" fillId="34" borderId="29" xfId="43" applyNumberFormat="1" applyFont="1" applyFill="1" applyBorder="1" applyAlignment="1"/>
    <xf numFmtId="168" fontId="21" fillId="0" borderId="66" xfId="44" applyNumberFormat="1" applyFont="1" applyFill="1" applyBorder="1"/>
    <xf numFmtId="168" fontId="21" fillId="0" borderId="17" xfId="44" applyNumberFormat="1" applyFont="1" applyFill="1" applyBorder="1"/>
    <xf numFmtId="168" fontId="21" fillId="0" borderId="59" xfId="44" applyNumberFormat="1" applyFont="1" applyFill="1" applyBorder="1"/>
    <xf numFmtId="0" fontId="23" fillId="0" borderId="56" xfId="0" applyFont="1" applyFill="1" applyBorder="1" applyAlignment="1">
      <alignment horizontal="center"/>
    </xf>
    <xf numFmtId="0" fontId="23" fillId="0" borderId="58" xfId="0" applyFont="1" applyFill="1" applyBorder="1" applyAlignment="1">
      <alignment horizontal="center"/>
    </xf>
    <xf numFmtId="10" fontId="21" fillId="0" borderId="69" xfId="43" applyNumberFormat="1" applyFont="1" applyFill="1" applyBorder="1"/>
    <xf numFmtId="10" fontId="21" fillId="0" borderId="17" xfId="43" applyNumberFormat="1" applyFont="1" applyFill="1" applyBorder="1"/>
    <xf numFmtId="10" fontId="21" fillId="0" borderId="59" xfId="43" applyNumberFormat="1" applyFont="1" applyFill="1" applyBorder="1"/>
    <xf numFmtId="168" fontId="21" fillId="0" borderId="69" xfId="44" applyNumberFormat="1" applyFont="1" applyFill="1" applyBorder="1"/>
    <xf numFmtId="10" fontId="23" fillId="0" borderId="50" xfId="43" applyNumberFormat="1" applyFont="1" applyFill="1" applyBorder="1"/>
    <xf numFmtId="10" fontId="23" fillId="0" borderId="38" xfId="43" applyNumberFormat="1" applyFont="1" applyFill="1" applyBorder="1"/>
    <xf numFmtId="10" fontId="23" fillId="0" borderId="46" xfId="43" applyNumberFormat="1" applyFont="1" applyFill="1" applyBorder="1"/>
    <xf numFmtId="0" fontId="21" fillId="34" borderId="20" xfId="0" applyFont="1" applyFill="1" applyBorder="1"/>
    <xf numFmtId="0" fontId="21" fillId="34" borderId="21" xfId="0" applyFont="1" applyFill="1" applyBorder="1"/>
    <xf numFmtId="165" fontId="21" fillId="34" borderId="31" xfId="43" applyNumberFormat="1" applyFont="1" applyFill="1" applyBorder="1"/>
    <xf numFmtId="0" fontId="23" fillId="34" borderId="21" xfId="0" applyFont="1" applyFill="1" applyBorder="1" applyAlignment="1">
      <alignment horizontal="right"/>
    </xf>
    <xf numFmtId="0" fontId="23" fillId="34" borderId="21" xfId="0" applyFont="1" applyFill="1" applyBorder="1"/>
    <xf numFmtId="0" fontId="23" fillId="34" borderId="22" xfId="0" applyFont="1" applyFill="1" applyBorder="1"/>
    <xf numFmtId="0" fontId="23" fillId="34" borderId="12" xfId="0" applyFont="1" applyFill="1" applyBorder="1"/>
    <xf numFmtId="0" fontId="21" fillId="34" borderId="12" xfId="0" applyFont="1" applyFill="1" applyBorder="1"/>
    <xf numFmtId="0" fontId="21" fillId="34" borderId="11" xfId="0" applyFont="1" applyFill="1" applyBorder="1"/>
    <xf numFmtId="10" fontId="23" fillId="34" borderId="12" xfId="43" applyNumberFormat="1" applyFont="1" applyFill="1" applyBorder="1" applyAlignment="1">
      <alignment horizontal="left"/>
    </xf>
    <xf numFmtId="0" fontId="21" fillId="34" borderId="13" xfId="0" applyFont="1" applyFill="1" applyBorder="1"/>
    <xf numFmtId="0" fontId="21" fillId="0" borderId="0" xfId="0" quotePrefix="1" applyFont="1" applyFill="1" applyBorder="1"/>
    <xf numFmtId="0" fontId="21" fillId="0" borderId="20" xfId="0" applyFont="1" applyFill="1" applyBorder="1"/>
    <xf numFmtId="0" fontId="23" fillId="0" borderId="21" xfId="0" applyFont="1" applyFill="1" applyBorder="1"/>
    <xf numFmtId="0" fontId="21" fillId="0" borderId="19" xfId="0" applyFont="1" applyFill="1" applyBorder="1" applyAlignment="1">
      <alignment horizontal="center"/>
    </xf>
    <xf numFmtId="0" fontId="35" fillId="0" borderId="0" xfId="0" applyFont="1" applyFill="1" applyBorder="1" applyAlignment="1">
      <alignment horizontal="right" vertical="top" wrapText="1"/>
    </xf>
    <xf numFmtId="169" fontId="21" fillId="34" borderId="14" xfId="44" applyNumberFormat="1" applyFont="1" applyFill="1" applyBorder="1" applyAlignment="1">
      <alignment horizontal="center" vertical="center" wrapText="1"/>
    </xf>
    <xf numFmtId="169" fontId="21" fillId="34" borderId="17" xfId="44" applyNumberFormat="1" applyFont="1" applyFill="1" applyBorder="1" applyAlignment="1">
      <alignment horizontal="center" vertical="center" wrapText="1"/>
    </xf>
    <xf numFmtId="169" fontId="21" fillId="34" borderId="59" xfId="44" applyNumberFormat="1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/>
    </xf>
    <xf numFmtId="0" fontId="23" fillId="0" borderId="20" xfId="0" applyFont="1" applyFill="1" applyBorder="1" applyAlignment="1">
      <alignment horizontal="center"/>
    </xf>
    <xf numFmtId="0" fontId="23" fillId="0" borderId="12" xfId="0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8" fontId="21" fillId="0" borderId="0" xfId="0" applyNumberFormat="1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27" fillId="0" borderId="11" xfId="0" applyFont="1" applyFill="1" applyBorder="1" applyAlignment="1">
      <alignment horizontal="left"/>
    </xf>
    <xf numFmtId="0" fontId="33" fillId="0" borderId="0" xfId="0" applyFont="1" applyFill="1" applyBorder="1" applyAlignment="1">
      <alignment horizontal="center"/>
    </xf>
    <xf numFmtId="0" fontId="23" fillId="0" borderId="30" xfId="0" applyFont="1" applyFill="1" applyBorder="1" applyAlignment="1">
      <alignment horizontal="left"/>
    </xf>
    <xf numFmtId="0" fontId="23" fillId="0" borderId="31" xfId="0" applyFont="1" applyFill="1" applyBorder="1" applyAlignment="1">
      <alignment horizontal="left"/>
    </xf>
    <xf numFmtId="0" fontId="23" fillId="0" borderId="32" xfId="0" applyFont="1" applyFill="1" applyBorder="1" applyAlignment="1">
      <alignment horizontal="left"/>
    </xf>
    <xf numFmtId="0" fontId="59" fillId="33" borderId="11" xfId="0" applyFont="1" applyFill="1" applyBorder="1" applyAlignment="1">
      <alignment horizontal="center"/>
    </xf>
    <xf numFmtId="0" fontId="59" fillId="33" borderId="13" xfId="0" applyFont="1" applyFill="1" applyBorder="1" applyAlignment="1">
      <alignment horizontal="center"/>
    </xf>
    <xf numFmtId="168" fontId="53" fillId="0" borderId="20" xfId="47" applyNumberFormat="1" applyFont="1" applyFill="1" applyBorder="1" applyAlignment="1">
      <alignment horizontal="center"/>
    </xf>
    <xf numFmtId="168" fontId="55" fillId="0" borderId="21" xfId="47" applyNumberFormat="1" applyFont="1" applyFill="1" applyBorder="1" applyAlignment="1">
      <alignment horizontal="center"/>
    </xf>
    <xf numFmtId="168" fontId="55" fillId="0" borderId="22" xfId="47" applyNumberFormat="1" applyFont="1" applyFill="1" applyBorder="1" applyAlignment="1">
      <alignment horizontal="center"/>
    </xf>
    <xf numFmtId="10" fontId="24" fillId="33" borderId="14" xfId="43" applyNumberFormat="1" applyFont="1" applyFill="1" applyBorder="1" applyAlignment="1">
      <alignment horizontal="center"/>
    </xf>
    <xf numFmtId="168" fontId="24" fillId="33" borderId="14" xfId="44" applyNumberFormat="1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/>
    </xf>
    <xf numFmtId="0" fontId="23" fillId="0" borderId="21" xfId="0" applyFont="1" applyFill="1" applyBorder="1" applyAlignment="1">
      <alignment horizontal="center"/>
    </xf>
    <xf numFmtId="0" fontId="21" fillId="0" borderId="21" xfId="0" applyFont="1" applyFill="1" applyBorder="1" applyAlignment="1"/>
    <xf numFmtId="0" fontId="21" fillId="0" borderId="22" xfId="0" applyFont="1" applyFill="1" applyBorder="1" applyAlignment="1"/>
    <xf numFmtId="0" fontId="23" fillId="0" borderId="20" xfId="0" applyFont="1" applyFill="1" applyBorder="1" applyAlignment="1">
      <alignment horizontal="center"/>
    </xf>
    <xf numFmtId="0" fontId="23" fillId="0" borderId="22" xfId="0" applyFont="1" applyFill="1" applyBorder="1" applyAlignment="1">
      <alignment horizontal="center"/>
    </xf>
    <xf numFmtId="0" fontId="21" fillId="34" borderId="23" xfId="0" applyFont="1" applyFill="1" applyBorder="1" applyAlignment="1">
      <alignment horizontal="right" vertical="center"/>
    </xf>
    <xf numFmtId="0" fontId="21" fillId="34" borderId="15" xfId="0" applyFont="1" applyFill="1" applyBorder="1" applyAlignment="1">
      <alignment horizontal="center"/>
    </xf>
    <xf numFmtId="0" fontId="21" fillId="34" borderId="0" xfId="0" applyFont="1" applyFill="1" applyBorder="1" applyAlignment="1">
      <alignment horizontal="center"/>
    </xf>
    <xf numFmtId="0" fontId="21" fillId="34" borderId="0" xfId="0" applyFont="1" applyFill="1" applyBorder="1" applyAlignment="1">
      <alignment horizontal="center" vertical="center"/>
    </xf>
    <xf numFmtId="164" fontId="21" fillId="34" borderId="16" xfId="43" applyNumberFormat="1" applyFont="1" applyFill="1" applyBorder="1" applyAlignment="1">
      <alignment vertical="center"/>
    </xf>
    <xf numFmtId="164" fontId="21" fillId="34" borderId="17" xfId="43" applyNumberFormat="1" applyFont="1" applyFill="1" applyBorder="1" applyAlignment="1">
      <alignment vertical="center"/>
    </xf>
    <xf numFmtId="0" fontId="24" fillId="36" borderId="23" xfId="0" applyFont="1" applyFill="1" applyBorder="1" applyAlignment="1">
      <alignment horizontal="center"/>
    </xf>
    <xf numFmtId="0" fontId="24" fillId="36" borderId="0" xfId="0" applyFont="1" applyFill="1" applyBorder="1" applyAlignment="1">
      <alignment horizontal="center"/>
    </xf>
    <xf numFmtId="0" fontId="23" fillId="0" borderId="12" xfId="0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3" fillId="0" borderId="23" xfId="0" applyFont="1" applyFill="1" applyBorder="1" applyAlignment="1">
      <alignment horizontal="right"/>
    </xf>
    <xf numFmtId="0" fontId="23" fillId="0" borderId="0" xfId="0" applyFont="1" applyFill="1" applyBorder="1" applyAlignment="1">
      <alignment horizontal="right"/>
    </xf>
    <xf numFmtId="10" fontId="29" fillId="0" borderId="0" xfId="0" applyNumberFormat="1" applyFont="1" applyFill="1" applyBorder="1" applyAlignment="1">
      <alignment horizontal="left"/>
    </xf>
    <xf numFmtId="10" fontId="29" fillId="0" borderId="24" xfId="0" applyNumberFormat="1" applyFont="1" applyFill="1" applyBorder="1" applyAlignment="1">
      <alignment horizontal="left"/>
    </xf>
    <xf numFmtId="0" fontId="27" fillId="0" borderId="18" xfId="0" applyFont="1" applyFill="1" applyBorder="1" applyAlignment="1">
      <alignment horizontal="center"/>
    </xf>
    <xf numFmtId="0" fontId="27" fillId="0" borderId="19" xfId="0" applyFont="1" applyFill="1" applyBorder="1" applyAlignment="1">
      <alignment horizontal="center"/>
    </xf>
    <xf numFmtId="0" fontId="27" fillId="0" borderId="25" xfId="0" applyFont="1" applyFill="1" applyBorder="1" applyAlignment="1">
      <alignment horizontal="center"/>
    </xf>
    <xf numFmtId="0" fontId="27" fillId="0" borderId="11" xfId="0" applyFont="1" applyFill="1" applyBorder="1" applyAlignment="1">
      <alignment horizontal="left"/>
    </xf>
    <xf numFmtId="0" fontId="27" fillId="0" borderId="13" xfId="0" applyFont="1" applyFill="1" applyBorder="1" applyAlignment="1">
      <alignment horizontal="left"/>
    </xf>
    <xf numFmtId="44" fontId="23" fillId="0" borderId="0" xfId="0" applyNumberFormat="1" applyFont="1" applyFill="1" applyBorder="1" applyAlignment="1">
      <alignment horizontal="left"/>
    </xf>
    <xf numFmtId="44" fontId="23" fillId="0" borderId="24" xfId="0" applyNumberFormat="1" applyFont="1" applyFill="1" applyBorder="1" applyAlignment="1">
      <alignment horizontal="left"/>
    </xf>
    <xf numFmtId="0" fontId="27" fillId="0" borderId="23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7" fillId="0" borderId="24" xfId="0" applyFont="1" applyFill="1" applyBorder="1" applyAlignment="1">
      <alignment horizontal="center"/>
    </xf>
    <xf numFmtId="0" fontId="33" fillId="0" borderId="23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33" fillId="0" borderId="24" xfId="0" applyFont="1" applyFill="1" applyBorder="1" applyAlignment="1">
      <alignment horizontal="center"/>
    </xf>
    <xf numFmtId="10" fontId="27" fillId="0" borderId="23" xfId="43" applyNumberFormat="1" applyFont="1" applyFill="1" applyBorder="1" applyAlignment="1">
      <alignment horizontal="right"/>
    </xf>
    <xf numFmtId="10" fontId="27" fillId="0" borderId="0" xfId="43" applyNumberFormat="1" applyFont="1" applyFill="1" applyBorder="1" applyAlignment="1">
      <alignment horizontal="right"/>
    </xf>
    <xf numFmtId="10" fontId="27" fillId="0" borderId="0" xfId="43" applyNumberFormat="1" applyFont="1" applyFill="1" applyBorder="1" applyAlignment="1">
      <alignment horizontal="left"/>
    </xf>
    <xf numFmtId="10" fontId="27" fillId="0" borderId="24" xfId="43" applyNumberFormat="1" applyFont="1" applyFill="1" applyBorder="1" applyAlignment="1">
      <alignment horizontal="left"/>
    </xf>
    <xf numFmtId="44" fontId="27" fillId="0" borderId="23" xfId="0" applyNumberFormat="1" applyFont="1" applyFill="1" applyBorder="1" applyAlignment="1">
      <alignment horizontal="right"/>
    </xf>
    <xf numFmtId="44" fontId="27" fillId="0" borderId="0" xfId="0" applyNumberFormat="1" applyFont="1" applyFill="1" applyBorder="1" applyAlignment="1">
      <alignment horizontal="right"/>
    </xf>
    <xf numFmtId="44" fontId="21" fillId="0" borderId="0" xfId="0" applyNumberFormat="1" applyFont="1" applyFill="1" applyBorder="1" applyAlignment="1">
      <alignment horizontal="left"/>
    </xf>
    <xf numFmtId="44" fontId="21" fillId="0" borderId="24" xfId="0" applyNumberFormat="1" applyFont="1" applyFill="1" applyBorder="1" applyAlignment="1">
      <alignment horizontal="left"/>
    </xf>
    <xf numFmtId="0" fontId="32" fillId="0" borderId="20" xfId="0" applyFont="1" applyFill="1" applyBorder="1" applyAlignment="1">
      <alignment horizontal="center"/>
    </xf>
    <xf numFmtId="0" fontId="32" fillId="0" borderId="21" xfId="0" applyFont="1" applyFill="1" applyBorder="1" applyAlignment="1">
      <alignment horizontal="center"/>
    </xf>
    <xf numFmtId="0" fontId="32" fillId="0" borderId="22" xfId="0" applyFont="1" applyFill="1" applyBorder="1" applyAlignment="1">
      <alignment horizontal="center"/>
    </xf>
    <xf numFmtId="8" fontId="21" fillId="0" borderId="23" xfId="0" applyNumberFormat="1" applyFont="1" applyFill="1" applyBorder="1" applyAlignment="1">
      <alignment horizontal="center"/>
    </xf>
    <xf numFmtId="8" fontId="21" fillId="0" borderId="0" xfId="0" applyNumberFormat="1" applyFont="1" applyFill="1" applyBorder="1" applyAlignment="1">
      <alignment horizontal="center"/>
    </xf>
    <xf numFmtId="8" fontId="21" fillId="0" borderId="24" xfId="0" applyNumberFormat="1" applyFont="1" applyFill="1" applyBorder="1" applyAlignment="1">
      <alignment horizontal="center"/>
    </xf>
    <xf numFmtId="0" fontId="32" fillId="0" borderId="23" xfId="0" applyFont="1" applyFill="1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32" fillId="0" borderId="24" xfId="0" applyFont="1" applyFill="1" applyBorder="1" applyAlignment="1">
      <alignment horizontal="center"/>
    </xf>
    <xf numFmtId="0" fontId="62" fillId="0" borderId="0" xfId="0" applyFont="1"/>
    <xf numFmtId="14" fontId="63" fillId="0" borderId="0" xfId="0" applyNumberFormat="1" applyFont="1"/>
    <xf numFmtId="0" fontId="64" fillId="0" borderId="0" xfId="0" applyFont="1"/>
    <xf numFmtId="0" fontId="65" fillId="0" borderId="0" xfId="0" applyFont="1"/>
    <xf numFmtId="14" fontId="65" fillId="0" borderId="0" xfId="0" applyNumberFormat="1" applyFont="1"/>
    <xf numFmtId="0" fontId="66" fillId="0" borderId="0" xfId="0" applyFont="1"/>
    <xf numFmtId="0" fontId="67" fillId="0" borderId="0" xfId="0" applyFont="1"/>
    <xf numFmtId="3" fontId="67" fillId="0" borderId="0" xfId="0" applyNumberFormat="1" applyFont="1"/>
    <xf numFmtId="3" fontId="62" fillId="0" borderId="0" xfId="0" applyNumberFormat="1" applyFont="1"/>
    <xf numFmtId="0" fontId="68" fillId="0" borderId="0" xfId="0" applyFont="1"/>
    <xf numFmtId="3" fontId="68" fillId="0" borderId="0" xfId="0" applyNumberFormat="1" applyFont="1"/>
    <xf numFmtId="0" fontId="69" fillId="0" borderId="0" xfId="0" applyFont="1"/>
    <xf numFmtId="0" fontId="60" fillId="0" borderId="0" xfId="0" applyFont="1"/>
    <xf numFmtId="0" fontId="72" fillId="0" borderId="0" xfId="50"/>
    <xf numFmtId="0" fontId="71" fillId="0" borderId="0" xfId="0" applyFont="1"/>
    <xf numFmtId="0" fontId="70" fillId="0" borderId="0" xfId="0" applyFont="1"/>
    <xf numFmtId="3" fontId="73" fillId="0" borderId="0" xfId="0" applyNumberFormat="1" applyFont="1"/>
    <xf numFmtId="0" fontId="73" fillId="0" borderId="0" xfId="0" applyFont="1"/>
    <xf numFmtId="44" fontId="21" fillId="0" borderId="27" xfId="0" applyNumberFormat="1" applyFont="1" applyFill="1" applyBorder="1" applyAlignment="1">
      <alignment horizontal="center"/>
    </xf>
    <xf numFmtId="0" fontId="21" fillId="0" borderId="28" xfId="42" applyNumberFormat="1" applyFont="1" applyFill="1" applyBorder="1"/>
    <xf numFmtId="44" fontId="41" fillId="39" borderId="0" xfId="42" applyFont="1" applyFill="1" applyBorder="1"/>
    <xf numFmtId="44" fontId="41" fillId="39" borderId="19" xfId="42" applyFont="1" applyFill="1" applyBorder="1"/>
    <xf numFmtId="44" fontId="43" fillId="0" borderId="24" xfId="0" applyNumberFormat="1" applyFont="1" applyFill="1" applyBorder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p_column_header" xfId="48" xr:uid="{55F102E1-C59A-4556-92B1-8F0A77BAAE39}"/>
    <cellStyle name="Calculation" xfId="11" builtinId="22" customBuiltin="1"/>
    <cellStyle name="Check Cell" xfId="13" builtinId="23" customBuiltin="1"/>
    <cellStyle name="Comma" xfId="44" builtinId="3"/>
    <cellStyle name="Comma 2" xfId="47" xr:uid="{C1541F61-F6F7-4B38-B60D-FB5A42321E80}"/>
    <cellStyle name="Currency" xfId="42" builtinId="4"/>
    <cellStyle name="Explanatory Text" xfId="16" builtinId="53" customBuiltin="1"/>
    <cellStyle name="fa_column_header_bottom" xfId="49" xr:uid="{80C7CD84-B7FF-4832-B83F-F340976998A2}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0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 xr:uid="{B5D86B6C-1F1C-43BB-B70A-925A3934AB1F}"/>
    <cellStyle name="Normal 3" xfId="46" xr:uid="{FEB77352-7DE8-454A-9FE8-B831E0C49E13}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FD0FD"/>
      <color rgb="FF0000FF"/>
      <color rgb="FF339933"/>
      <color rgb="FFFFA7A7"/>
      <color rgb="FFFF7171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u="sng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Target Price </a:t>
            </a:r>
            <a:r>
              <a:rPr lang="en-US" sz="1800" u="sng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87754353286484"/>
          <c:y val="0.14968397818197254"/>
          <c:w val="0.87963434022257536"/>
          <c:h val="0.73682910191210993"/>
        </c:manualLayout>
      </c:layout>
      <c:barChart>
        <c:barDir val="col"/>
        <c:grouping val="stacked"/>
        <c:varyColors val="0"/>
        <c:ser>
          <c:idx val="0"/>
          <c:order val="0"/>
          <c:tx>
            <c:v>Low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Football!$C$23:$H$23</c:f>
              <c:strCache>
                <c:ptCount val="6"/>
                <c:pt idx="0">
                  <c:v> Multiples </c:v>
                </c:pt>
                <c:pt idx="1">
                  <c:v> DDM </c:v>
                </c:pt>
                <c:pt idx="2">
                  <c:v> FCFM </c:v>
                </c:pt>
                <c:pt idx="3">
                  <c:v> RIM </c:v>
                </c:pt>
                <c:pt idx="4">
                  <c:v> MVAM </c:v>
                </c:pt>
                <c:pt idx="5">
                  <c:v>Target Price</c:v>
                </c:pt>
              </c:strCache>
            </c:strRef>
          </c:cat>
          <c:val>
            <c:numRef>
              <c:f>Football!$C$24:$H$24</c:f>
              <c:numCache>
                <c:formatCode>_("$"* #,##0.00_);_("$"* \(#,##0.00\);_("$"* "-"??_);_(@_)</c:formatCode>
                <c:ptCount val="6"/>
                <c:pt idx="0">
                  <c:v>0</c:v>
                </c:pt>
                <c:pt idx="1">
                  <c:v>53.966566039372452</c:v>
                </c:pt>
                <c:pt idx="2">
                  <c:v>194.78234560471338</c:v>
                </c:pt>
                <c:pt idx="3">
                  <c:v>67.014516967675647</c:v>
                </c:pt>
                <c:pt idx="4">
                  <c:v>158.55870753715024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3E-4777-AA93-B7FE41536113}"/>
            </c:ext>
          </c:extLst>
        </c:ser>
        <c:ser>
          <c:idx val="1"/>
          <c:order val="1"/>
          <c:tx>
            <c:v>Difference</c:v>
          </c:tx>
          <c:spPr>
            <a:solidFill>
              <a:schemeClr val="bg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Football!$C$23:$H$23</c:f>
              <c:strCache>
                <c:ptCount val="6"/>
                <c:pt idx="0">
                  <c:v> Multiples </c:v>
                </c:pt>
                <c:pt idx="1">
                  <c:v> DDM </c:v>
                </c:pt>
                <c:pt idx="2">
                  <c:v> FCFM </c:v>
                </c:pt>
                <c:pt idx="3">
                  <c:v> RIM </c:v>
                </c:pt>
                <c:pt idx="4">
                  <c:v> MVAM </c:v>
                </c:pt>
                <c:pt idx="5">
                  <c:v>Target Price</c:v>
                </c:pt>
              </c:strCache>
            </c:strRef>
          </c:cat>
          <c:val>
            <c:numRef>
              <c:f>Football!$C$25:$H$25</c:f>
              <c:numCache>
                <c:formatCode>_("$"* #,##0.00_);_("$"* \(#,##0.00\);_("$"* "-"??_);_(@_)</c:formatCode>
                <c:ptCount val="6"/>
                <c:pt idx="0">
                  <c:v>0</c:v>
                </c:pt>
                <c:pt idx="1">
                  <c:v>0.85044009758704675</c:v>
                </c:pt>
                <c:pt idx="2">
                  <c:v>2.4203512444497051</c:v>
                </c:pt>
                <c:pt idx="3">
                  <c:v>1.8901217042757281</c:v>
                </c:pt>
                <c:pt idx="4">
                  <c:v>-1.6206908557861937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3E-4777-AA93-B7FE41536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694485744"/>
        <c:axId val="694487056"/>
      </c:barChart>
      <c:catAx>
        <c:axId val="69448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E7E6E6">
                <a:lumMod val="5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94487056"/>
        <c:crosses val="autoZero"/>
        <c:auto val="1"/>
        <c:lblAlgn val="ctr"/>
        <c:lblOffset val="100"/>
        <c:noMultiLvlLbl val="0"/>
      </c:catAx>
      <c:valAx>
        <c:axId val="694487056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solidFill>
              <a:sysClr val="windowText" lastClr="000000">
                <a:lumMod val="50000"/>
                <a:lumOff val="50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9448574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EV Target Price </a:t>
            </a:r>
            <a:r>
              <a:rPr lang="en-US" sz="180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87758346581878"/>
          <c:y val="0.14968404447196926"/>
          <c:w val="0.87963434022257536"/>
          <c:h val="0.769143214478898"/>
        </c:manualLayout>
      </c:layout>
      <c:barChart>
        <c:barDir val="col"/>
        <c:grouping val="stacked"/>
        <c:varyColors val="0"/>
        <c:ser>
          <c:idx val="0"/>
          <c:order val="0"/>
          <c:tx>
            <c:v>Low</c:v>
          </c:tx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cat>
            <c:strRef>
              <c:f>'EV Football'!$D$28:$I$28</c:f>
              <c:strCache>
                <c:ptCount val="6"/>
                <c:pt idx="0">
                  <c:v> Market Multiples </c:v>
                </c:pt>
                <c:pt idx="1">
                  <c:v> DDM </c:v>
                </c:pt>
                <c:pt idx="2">
                  <c:v> FCFM </c:v>
                </c:pt>
                <c:pt idx="3">
                  <c:v> RIM </c:v>
                </c:pt>
                <c:pt idx="4">
                  <c:v> MVAM </c:v>
                </c:pt>
                <c:pt idx="5">
                  <c:v>Target Price</c:v>
                </c:pt>
              </c:strCache>
            </c:strRef>
          </c:cat>
          <c:val>
            <c:numRef>
              <c:f>'EV Football'!$D$29:$I$29</c:f>
              <c:numCache>
                <c:formatCode>_("$"* #,##0.00_);_("$"* \(#,##0.00\);_("$"* "-"??_);_(@_)</c:formatCode>
                <c:ptCount val="6"/>
                <c:pt idx="0">
                  <c:v>0</c:v>
                </c:pt>
                <c:pt idx="1">
                  <c:v>21478.693283670236</c:v>
                </c:pt>
                <c:pt idx="2">
                  <c:v>77523.373550675926</c:v>
                </c:pt>
                <c:pt idx="3">
                  <c:v>26671.777753134906</c:v>
                </c:pt>
                <c:pt idx="4">
                  <c:v>63106.365599785793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C-4F77-8005-7F9FA2AB1C66}"/>
            </c:ext>
          </c:extLst>
        </c:ser>
        <c:ser>
          <c:idx val="1"/>
          <c:order val="1"/>
          <c:tx>
            <c:v>Difference</c:v>
          </c:tx>
          <c:spPr>
            <a:solidFill>
              <a:schemeClr val="bg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'EV Football'!$D$28:$I$28</c:f>
              <c:strCache>
                <c:ptCount val="6"/>
                <c:pt idx="0">
                  <c:v> Market Multiples </c:v>
                </c:pt>
                <c:pt idx="1">
                  <c:v> DDM </c:v>
                </c:pt>
                <c:pt idx="2">
                  <c:v> FCFM </c:v>
                </c:pt>
                <c:pt idx="3">
                  <c:v> RIM </c:v>
                </c:pt>
                <c:pt idx="4">
                  <c:v> MVAM </c:v>
                </c:pt>
                <c:pt idx="5">
                  <c:v>Target Price</c:v>
                </c:pt>
              </c:strCache>
            </c:strRef>
          </c:cat>
          <c:val>
            <c:numRef>
              <c:f>'EV Football'!$D$30:$I$30</c:f>
              <c:numCache>
                <c:formatCode>_("$"* #,##0.00_);_("$"* \(#,##0.00\);_("$"* "-"??_);_(@_)</c:formatCode>
                <c:ptCount val="6"/>
                <c:pt idx="0">
                  <c:v>0</c:v>
                </c:pt>
                <c:pt idx="1">
                  <c:v>338.47515883964297</c:v>
                </c:pt>
                <c:pt idx="2">
                  <c:v>963.29979529097909</c:v>
                </c:pt>
                <c:pt idx="3">
                  <c:v>752.26843830174039</c:v>
                </c:pt>
                <c:pt idx="4">
                  <c:v>-645.0349606029049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6C-4F77-8005-7F9FA2AB1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694485744"/>
        <c:axId val="694487056"/>
      </c:barChart>
      <c:catAx>
        <c:axId val="69448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E7E6E6">
                <a:lumMod val="5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94487056"/>
        <c:crosses val="autoZero"/>
        <c:auto val="1"/>
        <c:lblAlgn val="ctr"/>
        <c:lblOffset val="100"/>
        <c:noMultiLvlLbl val="0"/>
      </c:catAx>
      <c:valAx>
        <c:axId val="694487056"/>
        <c:scaling>
          <c:orientation val="minMax"/>
        </c:scaling>
        <c:delete val="0"/>
        <c:axPos val="l"/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solidFill>
              <a:sysClr val="windowText" lastClr="000000">
                <a:lumMod val="50000"/>
                <a:lumOff val="50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9448574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178077</xdr:colOff>
      <xdr:row>0</xdr:row>
      <xdr:rowOff>178628</xdr:rowOff>
    </xdr:from>
    <xdr:to>
      <xdr:col>9</xdr:col>
      <xdr:colOff>11320</xdr:colOff>
      <xdr:row>20</xdr:row>
      <xdr:rowOff>157645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069054-3E61-42A2-944A-B733173D21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259557</xdr:colOff>
      <xdr:row>10</xdr:row>
      <xdr:rowOff>102577</xdr:rowOff>
    </xdr:from>
    <xdr:to>
      <xdr:col>10</xdr:col>
      <xdr:colOff>371231</xdr:colOff>
      <xdr:row>10</xdr:row>
      <xdr:rowOff>103982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018CC62-21C6-4F60-9B2D-52110F14FDEC}"/>
            </a:ext>
          </a:extLst>
        </xdr:cNvPr>
        <xdr:cNvCxnSpPr/>
      </xdr:nvCxnSpPr>
      <xdr:spPr>
        <a:xfrm flipV="1">
          <a:off x="8729480" y="2075962"/>
          <a:ext cx="111674" cy="1405"/>
        </a:xfrm>
        <a:prstGeom prst="line">
          <a:avLst/>
        </a:prstGeom>
        <a:ln w="15875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265907</xdr:colOff>
      <xdr:row>12</xdr:row>
      <xdr:rowOff>114300</xdr:rowOff>
    </xdr:from>
    <xdr:to>
      <xdr:col>10</xdr:col>
      <xdr:colOff>387350</xdr:colOff>
      <xdr:row>12</xdr:row>
      <xdr:rowOff>116682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58A636B-9D47-45AC-99FC-DCF7D5EC7E1D}"/>
            </a:ext>
          </a:extLst>
        </xdr:cNvPr>
        <xdr:cNvCxnSpPr/>
      </xdr:nvCxnSpPr>
      <xdr:spPr>
        <a:xfrm flipV="1">
          <a:off x="8717757" y="2774950"/>
          <a:ext cx="121443" cy="2382"/>
        </a:xfrm>
        <a:prstGeom prst="line">
          <a:avLst/>
        </a:prstGeom>
        <a:ln w="15875" cmpd="sng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6350</xdr:rowOff>
    </xdr:from>
    <xdr:to>
      <xdr:col>8</xdr:col>
      <xdr:colOff>1085850</xdr:colOff>
      <xdr:row>25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9268F5-8C65-4A93-B646-9F5E9111E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apman Red Lines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3_white" id="{7EBC9D31-4EB0-DE49-BA49-AF62ECC1C27C}" vid="{68113EC4-E98F-8E4C-A9DF-C76ABA941FA5}"/>
    </a:ext>
  </a:extLst>
</a:theme>
</file>

<file path=xl/theme/themeOverride1.xml><?xml version="1.0" encoding="utf-8"?>
<a:themeOverride xmlns:a="http://schemas.openxmlformats.org/drawingml/2006/main">
  <a:clrScheme name="Custom 2">
    <a:dk1>
      <a:srgbClr val="000000"/>
    </a:dk1>
    <a:lt1>
      <a:srgbClr val="000000"/>
    </a:lt1>
    <a:dk2>
      <a:srgbClr val="FEFFFF"/>
    </a:dk2>
    <a:lt2>
      <a:srgbClr val="A50034"/>
    </a:lt2>
    <a:accent1>
      <a:srgbClr val="A50034"/>
    </a:accent1>
    <a:accent2>
      <a:srgbClr val="00966C"/>
    </a:accent2>
    <a:accent3>
      <a:srgbClr val="009CA6"/>
    </a:accent3>
    <a:accent4>
      <a:srgbClr val="6E6159"/>
    </a:accent4>
    <a:accent5>
      <a:srgbClr val="DDCBA3"/>
    </a:accent5>
    <a:accent6>
      <a:srgbClr val="FFFFFF"/>
    </a:accent6>
    <a:hlink>
      <a:srgbClr val="009CA6"/>
    </a:hlink>
    <a:folHlink>
      <a:srgbClr val="231F20"/>
    </a:folHlink>
  </a:clrScheme>
  <a:fontScheme name="Arial">
    <a:majorFont>
      <a:latin typeface="Arial" panose="020B0604020202020204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ajorFont>
    <a:minorFont>
      <a:latin typeface="Arial" panose="020B0604020202020204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ustom 2">
    <a:dk1>
      <a:srgbClr val="000000"/>
    </a:dk1>
    <a:lt1>
      <a:srgbClr val="000000"/>
    </a:lt1>
    <a:dk2>
      <a:srgbClr val="FEFFFF"/>
    </a:dk2>
    <a:lt2>
      <a:srgbClr val="A50034"/>
    </a:lt2>
    <a:accent1>
      <a:srgbClr val="A50034"/>
    </a:accent1>
    <a:accent2>
      <a:srgbClr val="00966C"/>
    </a:accent2>
    <a:accent3>
      <a:srgbClr val="009CA6"/>
    </a:accent3>
    <a:accent4>
      <a:srgbClr val="6E6159"/>
    </a:accent4>
    <a:accent5>
      <a:srgbClr val="DDCBA3"/>
    </a:accent5>
    <a:accent6>
      <a:srgbClr val="FFFFFF"/>
    </a:accent6>
    <a:hlink>
      <a:srgbClr val="009CA6"/>
    </a:hlink>
    <a:folHlink>
      <a:srgbClr val="231F20"/>
    </a:folHlink>
  </a:clrScheme>
  <a:fontScheme name="Arial">
    <a:majorFont>
      <a:latin typeface="Arial" panose="020B0604020202020204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ajorFont>
    <a:minorFont>
      <a:latin typeface="Arial" panose="020B0604020202020204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1FB9-27FC-40B9-98D9-EDA73255FB63}">
  <sheetPr codeName="Sheet10">
    <tabColor rgb="FFFFA7A7"/>
    <pageSetUpPr fitToPage="1"/>
  </sheetPr>
  <dimension ref="B1:N14"/>
  <sheetViews>
    <sheetView showGridLines="0" zoomScale="130" zoomScaleNormal="130" zoomScaleSheetLayoutView="100" workbookViewId="0">
      <selection activeCell="D7" sqref="D7"/>
    </sheetView>
  </sheetViews>
  <sheetFormatPr baseColWidth="10" defaultColWidth="8.83203125" defaultRowHeight="16"/>
  <cols>
    <col min="1" max="3" width="2.5" style="189" customWidth="1"/>
    <col min="4" max="4" width="9.1640625" style="189" bestFit="1" customWidth="1"/>
    <col min="5" max="12" width="8.83203125" style="189"/>
    <col min="13" max="13" width="8.83203125" style="189" customWidth="1"/>
    <col min="14" max="16384" width="8.83203125" style="189"/>
  </cols>
  <sheetData>
    <row r="1" spans="2:14" ht="17" thickBot="1"/>
    <row r="2" spans="2:14">
      <c r="B2" s="494"/>
      <c r="C2" s="57"/>
      <c r="D2" s="57"/>
      <c r="E2" s="57"/>
      <c r="F2" s="57"/>
      <c r="G2" s="495" t="s">
        <v>0</v>
      </c>
      <c r="H2" s="57"/>
      <c r="I2" s="57"/>
      <c r="J2" s="57"/>
      <c r="K2" s="57"/>
      <c r="L2" s="57"/>
      <c r="M2" s="57"/>
      <c r="N2" s="58"/>
    </row>
    <row r="3" spans="2:14">
      <c r="B3" s="322"/>
      <c r="C3" s="46" t="s">
        <v>1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34"/>
    </row>
    <row r="4" spans="2:14">
      <c r="B4" s="100"/>
      <c r="C4" s="19">
        <v>1</v>
      </c>
      <c r="D4" s="17" t="s">
        <v>2</v>
      </c>
      <c r="E4" s="17"/>
      <c r="F4" s="17"/>
      <c r="G4" s="17"/>
      <c r="H4" s="17"/>
      <c r="I4" s="17"/>
      <c r="J4" s="17"/>
      <c r="K4" s="17"/>
      <c r="L4" s="17"/>
      <c r="M4" s="17"/>
      <c r="N4" s="34"/>
    </row>
    <row r="5" spans="2:14">
      <c r="B5" s="100"/>
      <c r="C5" s="19">
        <v>2</v>
      </c>
      <c r="D5" s="17" t="s">
        <v>3</v>
      </c>
      <c r="E5" s="17"/>
      <c r="F5" s="17"/>
      <c r="G5" s="17"/>
      <c r="H5" s="17"/>
      <c r="I5" s="17"/>
      <c r="J5" s="17"/>
      <c r="K5" s="17"/>
      <c r="L5" s="17"/>
      <c r="M5" s="17"/>
      <c r="N5" s="34"/>
    </row>
    <row r="6" spans="2:14">
      <c r="B6" s="100"/>
      <c r="C6" s="19"/>
      <c r="D6" s="493" t="s">
        <v>4</v>
      </c>
      <c r="E6" s="17"/>
      <c r="F6" s="17"/>
      <c r="G6" s="17"/>
      <c r="H6" s="17"/>
      <c r="I6" s="17"/>
      <c r="J6" s="17"/>
      <c r="K6" s="17"/>
      <c r="L6" s="17"/>
      <c r="M6" s="17"/>
      <c r="N6" s="34"/>
    </row>
    <row r="7" spans="2:14">
      <c r="B7" s="100"/>
      <c r="C7" s="19"/>
      <c r="D7" s="493" t="s">
        <v>5</v>
      </c>
      <c r="E7" s="17"/>
      <c r="F7" s="17"/>
      <c r="G7" s="17"/>
      <c r="H7" s="17"/>
      <c r="I7" s="17"/>
      <c r="J7" s="17"/>
      <c r="K7" s="17"/>
      <c r="L7" s="17"/>
      <c r="M7" s="17"/>
      <c r="N7" s="34"/>
    </row>
    <row r="8" spans="2:14">
      <c r="B8" s="100"/>
      <c r="C8" s="19">
        <v>3</v>
      </c>
      <c r="D8" s="17" t="s">
        <v>6</v>
      </c>
      <c r="E8" s="17"/>
      <c r="F8" s="17"/>
      <c r="G8" s="17"/>
      <c r="H8" s="17"/>
      <c r="I8" s="17"/>
      <c r="J8" s="17"/>
      <c r="K8" s="17"/>
      <c r="L8" s="17"/>
      <c r="M8" s="17"/>
      <c r="N8" s="34"/>
    </row>
    <row r="9" spans="2:14">
      <c r="B9" s="100"/>
      <c r="C9" s="19">
        <v>4</v>
      </c>
      <c r="D9" s="17" t="s">
        <v>7</v>
      </c>
      <c r="E9" s="17"/>
      <c r="F9" s="17"/>
      <c r="G9" s="17"/>
      <c r="H9" s="17"/>
      <c r="I9" s="17"/>
      <c r="J9" s="17"/>
      <c r="K9" s="17"/>
      <c r="L9" s="17"/>
      <c r="M9" s="17"/>
      <c r="N9" s="34"/>
    </row>
    <row r="10" spans="2:14">
      <c r="B10" s="100"/>
      <c r="C10" s="19">
        <v>5</v>
      </c>
      <c r="D10" s="17" t="s">
        <v>8</v>
      </c>
      <c r="E10" s="17"/>
      <c r="F10" s="17"/>
      <c r="G10" s="17"/>
      <c r="H10" s="17"/>
      <c r="I10" s="17"/>
      <c r="J10" s="17"/>
      <c r="K10" s="17"/>
      <c r="L10" s="17"/>
      <c r="M10" s="17"/>
      <c r="N10" s="34"/>
    </row>
    <row r="11" spans="2:14">
      <c r="B11" s="100"/>
      <c r="C11" s="19"/>
      <c r="D11" s="493" t="s">
        <v>9</v>
      </c>
      <c r="E11" s="17"/>
      <c r="F11" s="17"/>
      <c r="G11" s="17"/>
      <c r="H11" s="17"/>
      <c r="I11" s="17"/>
      <c r="J11" s="17"/>
      <c r="K11" s="17"/>
      <c r="L11" s="17"/>
      <c r="M11" s="17"/>
      <c r="N11" s="34"/>
    </row>
    <row r="12" spans="2:14" ht="17" thickBot="1">
      <c r="B12" s="101"/>
      <c r="C12" s="496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59"/>
    </row>
    <row r="13" spans="2:14">
      <c r="C13" s="190"/>
    </row>
    <row r="14" spans="2:14">
      <c r="C14" s="190"/>
    </row>
  </sheetData>
  <pageMargins left="0.7" right="0.7" top="0.75" bottom="0.75" header="0.3" footer="0.3"/>
  <pageSetup scale="8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6396-CFAC-4A28-84A3-D78E5A90668A}">
  <dimension ref="B2:H76"/>
  <sheetViews>
    <sheetView zoomScale="85" zoomScaleNormal="85" workbookViewId="0">
      <selection activeCell="B1" sqref="B1:H49"/>
    </sheetView>
  </sheetViews>
  <sheetFormatPr baseColWidth="10" defaultColWidth="9.5" defaultRowHeight="16"/>
  <cols>
    <col min="1" max="1" width="2.5" style="63" customWidth="1"/>
    <col min="2" max="2" width="38.1640625" style="63" bestFit="1" customWidth="1"/>
    <col min="3" max="3" width="2.5" style="63" customWidth="1"/>
    <col min="4" max="8" width="10.83203125" style="63" bestFit="1" customWidth="1"/>
    <col min="9" max="16384" width="9.5" style="63"/>
  </cols>
  <sheetData>
    <row r="2" spans="2:8">
      <c r="B2" t="s">
        <v>311</v>
      </c>
      <c r="C2" s="570"/>
      <c r="D2" s="570">
        <v>2016</v>
      </c>
      <c r="E2" s="570">
        <v>2017</v>
      </c>
      <c r="F2" s="570">
        <v>2018</v>
      </c>
      <c r="G2" s="570">
        <v>2019</v>
      </c>
      <c r="H2" s="570">
        <v>2020</v>
      </c>
    </row>
    <row r="3" spans="2:8">
      <c r="B3" t="s">
        <v>312</v>
      </c>
      <c r="C3" s="570"/>
      <c r="D3" s="571">
        <v>42735</v>
      </c>
      <c r="E3" s="571">
        <v>43100</v>
      </c>
      <c r="F3" s="571">
        <v>43465</v>
      </c>
      <c r="G3" s="571">
        <v>43830</v>
      </c>
      <c r="H3" s="571">
        <v>44196</v>
      </c>
    </row>
    <row r="4" spans="2:8">
      <c r="B4"/>
      <c r="C4" s="570"/>
      <c r="D4" s="572" t="s">
        <v>313</v>
      </c>
      <c r="E4" s="572" t="s">
        <v>313</v>
      </c>
      <c r="F4" s="572" t="s">
        <v>313</v>
      </c>
      <c r="G4" s="572" t="s">
        <v>313</v>
      </c>
      <c r="H4" s="572" t="s">
        <v>313</v>
      </c>
    </row>
    <row r="5" spans="2:8">
      <c r="B5"/>
      <c r="C5" s="570"/>
      <c r="D5" s="573" t="s">
        <v>370</v>
      </c>
      <c r="E5"/>
      <c r="F5"/>
      <c r="G5"/>
      <c r="H5"/>
    </row>
    <row r="6" spans="2:8">
      <c r="B6"/>
      <c r="C6" s="570"/>
      <c r="D6" s="574">
        <v>43100</v>
      </c>
      <c r="E6"/>
      <c r="F6"/>
      <c r="G6"/>
      <c r="H6"/>
    </row>
    <row r="7" spans="2:8" ht="18">
      <c r="B7" s="575" t="s">
        <v>371</v>
      </c>
      <c r="C7"/>
      <c r="D7"/>
      <c r="E7"/>
      <c r="F7"/>
      <c r="G7"/>
      <c r="H7"/>
    </row>
    <row r="8" spans="2:8">
      <c r="B8" s="570" t="s">
        <v>133</v>
      </c>
      <c r="C8" s="570"/>
      <c r="D8" s="578">
        <v>1919</v>
      </c>
      <c r="E8" s="578">
        <v>2986</v>
      </c>
      <c r="F8" s="578">
        <v>2146</v>
      </c>
      <c r="G8" s="578">
        <v>2213</v>
      </c>
      <c r="H8" s="578">
        <v>1415</v>
      </c>
    </row>
    <row r="9" spans="2:8">
      <c r="B9" s="570" t="s">
        <v>134</v>
      </c>
      <c r="C9" s="570"/>
      <c r="D9" s="570">
        <v>929</v>
      </c>
      <c r="E9" s="570">
        <v>914</v>
      </c>
      <c r="F9" s="570">
        <v>903</v>
      </c>
      <c r="G9" s="570">
        <v>884</v>
      </c>
      <c r="H9" s="570">
        <v>811</v>
      </c>
    </row>
    <row r="10" spans="2:8">
      <c r="B10" s="570" t="s">
        <v>136</v>
      </c>
      <c r="C10" s="570"/>
      <c r="D10" s="579">
        <v>-83</v>
      </c>
      <c r="E10" s="579">
        <v>-206</v>
      </c>
      <c r="F10" s="579">
        <v>-115</v>
      </c>
      <c r="G10" s="579">
        <v>-71</v>
      </c>
      <c r="H10" s="579">
        <v>-86</v>
      </c>
    </row>
    <row r="11" spans="2:8">
      <c r="B11" s="570" t="s">
        <v>137</v>
      </c>
      <c r="C11" s="570"/>
      <c r="D11" s="570">
        <v>0</v>
      </c>
      <c r="E11" s="579">
        <v>-843</v>
      </c>
      <c r="F11" s="570">
        <v>0</v>
      </c>
      <c r="G11" s="570">
        <v>66</v>
      </c>
      <c r="H11" s="579">
        <v>-91</v>
      </c>
    </row>
    <row r="12" spans="2:8">
      <c r="B12" s="570" t="s">
        <v>138</v>
      </c>
      <c r="C12" s="570"/>
      <c r="D12" s="579">
        <v>-57</v>
      </c>
      <c r="E12" s="579">
        <v>-285</v>
      </c>
      <c r="F12" s="570">
        <v>8</v>
      </c>
      <c r="G12" s="570">
        <v>23</v>
      </c>
      <c r="H12" s="570">
        <v>65</v>
      </c>
    </row>
    <row r="13" spans="2:8">
      <c r="B13" s="570" t="s">
        <v>139</v>
      </c>
      <c r="C13" s="570"/>
      <c r="D13" s="579">
        <v>-57</v>
      </c>
      <c r="E13" s="580">
        <v>-1128</v>
      </c>
      <c r="F13" s="570">
        <v>8</v>
      </c>
      <c r="G13" s="570">
        <v>89</v>
      </c>
      <c r="H13" s="579">
        <v>-26</v>
      </c>
    </row>
    <row r="14" spans="2:8">
      <c r="B14" s="570" t="s">
        <v>140</v>
      </c>
      <c r="C14" s="570"/>
      <c r="D14" s="570">
        <v>272</v>
      </c>
      <c r="E14" s="570">
        <v>288</v>
      </c>
      <c r="F14" s="570">
        <v>371</v>
      </c>
      <c r="G14" s="570">
        <v>425</v>
      </c>
      <c r="H14" s="570">
        <v>391</v>
      </c>
    </row>
    <row r="15" spans="2:8">
      <c r="B15" s="570" t="s">
        <v>141</v>
      </c>
      <c r="C15" s="570"/>
      <c r="D15" s="570">
        <v>266</v>
      </c>
      <c r="E15" s="570">
        <v>293</v>
      </c>
      <c r="F15" s="570">
        <v>313</v>
      </c>
      <c r="G15" s="570">
        <v>279</v>
      </c>
      <c r="H15" s="570">
        <v>216</v>
      </c>
    </row>
    <row r="16" spans="2:8">
      <c r="B16" s="570" t="s">
        <v>142</v>
      </c>
      <c r="C16" s="570"/>
      <c r="D16" s="579">
        <v>-170</v>
      </c>
      <c r="E16" s="579">
        <v>-231</v>
      </c>
      <c r="F16" s="579">
        <v>-123</v>
      </c>
      <c r="G16" s="570">
        <v>200</v>
      </c>
      <c r="H16" s="570">
        <v>219</v>
      </c>
    </row>
    <row r="17" spans="2:8">
      <c r="B17" s="570" t="s">
        <v>143</v>
      </c>
      <c r="C17" s="570"/>
      <c r="D17" s="570">
        <v>34</v>
      </c>
      <c r="E17" s="579">
        <v>-202</v>
      </c>
      <c r="F17" s="579">
        <v>-242</v>
      </c>
      <c r="G17" s="579">
        <v>-60</v>
      </c>
      <c r="H17" s="570">
        <v>371</v>
      </c>
    </row>
    <row r="18" spans="2:8">
      <c r="B18" s="570" t="s">
        <v>144</v>
      </c>
      <c r="C18" s="570"/>
      <c r="D18" s="579">
        <v>-21</v>
      </c>
      <c r="E18" s="570">
        <v>2</v>
      </c>
      <c r="F18" s="570">
        <v>71</v>
      </c>
      <c r="G18" s="579">
        <v>-94</v>
      </c>
      <c r="H18" s="579">
        <v>-67</v>
      </c>
    </row>
    <row r="19" spans="2:8">
      <c r="B19" s="570" t="s">
        <v>106</v>
      </c>
      <c r="C19" s="570"/>
      <c r="D19" s="570">
        <v>0</v>
      </c>
      <c r="E19" s="570">
        <v>388</v>
      </c>
      <c r="F19" s="570">
        <v>23</v>
      </c>
      <c r="G19" s="570">
        <v>147</v>
      </c>
      <c r="H19" s="570">
        <v>76</v>
      </c>
    </row>
    <row r="20" spans="2:8">
      <c r="B20" s="570" t="s">
        <v>107</v>
      </c>
      <c r="C20" s="570"/>
      <c r="D20" s="570">
        <v>20</v>
      </c>
      <c r="E20" s="570">
        <v>59</v>
      </c>
      <c r="F20" s="570">
        <v>23</v>
      </c>
      <c r="G20" s="579">
        <v>-23</v>
      </c>
      <c r="H20" s="579">
        <v>-65</v>
      </c>
    </row>
    <row r="21" spans="2:8">
      <c r="B21" s="570" t="s">
        <v>145</v>
      </c>
      <c r="C21" s="570"/>
      <c r="D21" s="579">
        <v>-138</v>
      </c>
      <c r="E21" s="570">
        <v>100</v>
      </c>
      <c r="F21" s="579">
        <v>-284</v>
      </c>
      <c r="G21" s="570">
        <v>336</v>
      </c>
      <c r="H21" s="570">
        <v>830</v>
      </c>
    </row>
    <row r="22" spans="2:8">
      <c r="B22" s="576" t="s">
        <v>146</v>
      </c>
      <c r="C22" s="576"/>
      <c r="D22" s="577">
        <v>2570</v>
      </c>
      <c r="E22" s="577">
        <v>2666</v>
      </c>
      <c r="F22" s="577">
        <v>2658</v>
      </c>
      <c r="G22" s="577">
        <v>3451</v>
      </c>
      <c r="H22" s="577">
        <v>2944</v>
      </c>
    </row>
    <row r="23" spans="2:8" ht="18">
      <c r="B23" s="575" t="s">
        <v>372</v>
      </c>
      <c r="C23"/>
      <c r="D23"/>
      <c r="E23"/>
      <c r="F23"/>
      <c r="G23"/>
      <c r="H23"/>
    </row>
    <row r="24" spans="2:8">
      <c r="B24" s="570" t="s">
        <v>148</v>
      </c>
      <c r="C24" s="570"/>
      <c r="D24" s="579">
        <v>-497</v>
      </c>
      <c r="E24" s="579">
        <v>-520</v>
      </c>
      <c r="F24" s="579">
        <v>-565</v>
      </c>
      <c r="G24" s="579">
        <v>-587</v>
      </c>
      <c r="H24" s="579">
        <v>-389</v>
      </c>
    </row>
    <row r="25" spans="2:8">
      <c r="B25" s="570" t="s">
        <v>149</v>
      </c>
      <c r="C25" s="570"/>
      <c r="D25" s="570">
        <v>0</v>
      </c>
      <c r="E25" s="570">
        <v>0</v>
      </c>
      <c r="F25" s="570">
        <v>0</v>
      </c>
      <c r="G25" s="580">
        <v>-1216</v>
      </c>
      <c r="H25" s="579">
        <v>-200</v>
      </c>
    </row>
    <row r="26" spans="2:8">
      <c r="B26" s="570" t="s">
        <v>150</v>
      </c>
      <c r="C26" s="570"/>
      <c r="D26" s="570">
        <v>1</v>
      </c>
      <c r="E26" s="570">
        <v>607</v>
      </c>
      <c r="F26" s="570">
        <v>0</v>
      </c>
      <c r="G26" s="570">
        <v>0</v>
      </c>
      <c r="H26" s="578">
        <v>1408</v>
      </c>
    </row>
    <row r="27" spans="2:8">
      <c r="B27" s="570" t="s">
        <v>373</v>
      </c>
      <c r="C27" s="570"/>
      <c r="D27" s="579">
        <v>-40</v>
      </c>
      <c r="E27" s="579">
        <v>-298</v>
      </c>
      <c r="F27" s="570">
        <v>245</v>
      </c>
      <c r="G27" s="579">
        <v>-16</v>
      </c>
      <c r="H27" s="579">
        <v>-347</v>
      </c>
    </row>
    <row r="28" spans="2:8">
      <c r="B28" s="570" t="s">
        <v>154</v>
      </c>
      <c r="C28" s="570"/>
      <c r="D28" s="570">
        <v>7</v>
      </c>
      <c r="E28" s="579">
        <v>-6</v>
      </c>
      <c r="F28" s="579">
        <v>-78</v>
      </c>
      <c r="G28" s="579">
        <v>-47</v>
      </c>
      <c r="H28" s="579">
        <v>-75</v>
      </c>
    </row>
    <row r="29" spans="2:8">
      <c r="B29" s="570" t="s">
        <v>155</v>
      </c>
      <c r="C29" s="570"/>
      <c r="D29" s="579">
        <v>-32</v>
      </c>
      <c r="E29" s="570">
        <v>303</v>
      </c>
      <c r="F29" s="570">
        <v>167</v>
      </c>
      <c r="G29" s="580">
        <v>-1279</v>
      </c>
      <c r="H29" s="570">
        <v>786</v>
      </c>
    </row>
    <row r="30" spans="2:8">
      <c r="B30" s="576" t="s">
        <v>156</v>
      </c>
      <c r="C30" s="576"/>
      <c r="D30" s="587">
        <v>-529</v>
      </c>
      <c r="E30" s="587">
        <v>-217</v>
      </c>
      <c r="F30" s="587">
        <v>-398</v>
      </c>
      <c r="G30" s="586">
        <v>-1866</v>
      </c>
      <c r="H30" s="576">
        <v>397</v>
      </c>
    </row>
    <row r="31" spans="2:8" ht="18">
      <c r="B31" s="575" t="s">
        <v>374</v>
      </c>
      <c r="C31"/>
      <c r="D31"/>
      <c r="E31"/>
      <c r="F31"/>
      <c r="G31"/>
      <c r="H31"/>
    </row>
    <row r="32" spans="2:8">
      <c r="B32" s="570" t="s">
        <v>158</v>
      </c>
      <c r="C32" s="570"/>
      <c r="D32" s="579">
        <v>-23</v>
      </c>
      <c r="E32" s="579">
        <v>-36</v>
      </c>
      <c r="F32" s="579">
        <v>-26</v>
      </c>
      <c r="G32" s="579">
        <v>-55</v>
      </c>
      <c r="H32" s="579">
        <v>-43</v>
      </c>
    </row>
    <row r="33" spans="2:8">
      <c r="B33" s="570" t="s">
        <v>375</v>
      </c>
      <c r="C33" s="570"/>
      <c r="D33" s="580">
        <v>-1037</v>
      </c>
      <c r="E33" s="580">
        <v>-1068</v>
      </c>
      <c r="F33" s="580">
        <v>-1149</v>
      </c>
      <c r="G33" s="580">
        <v>-1201</v>
      </c>
      <c r="H33" s="580">
        <v>-1175</v>
      </c>
    </row>
    <row r="34" spans="2:8">
      <c r="B34" s="570" t="s">
        <v>159</v>
      </c>
      <c r="C34" s="570"/>
      <c r="D34" s="579">
        <v>-730</v>
      </c>
      <c r="E34" s="579">
        <v>-850</v>
      </c>
      <c r="F34" s="580">
        <v>-1271</v>
      </c>
      <c r="G34" s="580">
        <v>-1029</v>
      </c>
      <c r="H34" s="580">
        <v>-1608</v>
      </c>
    </row>
    <row r="35" spans="2:8">
      <c r="B35" s="570" t="s">
        <v>160</v>
      </c>
      <c r="C35" s="570"/>
      <c r="D35" s="579">
        <v>-730</v>
      </c>
      <c r="E35" s="579">
        <v>-850</v>
      </c>
      <c r="F35" s="580">
        <v>-1271</v>
      </c>
      <c r="G35" s="580">
        <v>-1029</v>
      </c>
      <c r="H35" s="580">
        <v>-1608</v>
      </c>
    </row>
    <row r="36" spans="2:8">
      <c r="B36" s="570" t="s">
        <v>376</v>
      </c>
      <c r="C36" s="570"/>
      <c r="D36" s="570">
        <v>74</v>
      </c>
      <c r="E36" s="570">
        <v>66</v>
      </c>
      <c r="F36" s="570">
        <v>29</v>
      </c>
      <c r="G36" s="570">
        <v>66</v>
      </c>
      <c r="H36" s="570">
        <v>71</v>
      </c>
    </row>
    <row r="37" spans="2:8">
      <c r="B37" s="570" t="s">
        <v>161</v>
      </c>
      <c r="C37" s="570"/>
      <c r="D37" s="579">
        <v>-656</v>
      </c>
      <c r="E37" s="579">
        <v>-784</v>
      </c>
      <c r="F37" s="580">
        <v>-1242</v>
      </c>
      <c r="G37" s="579">
        <v>-963</v>
      </c>
      <c r="H37" s="580">
        <v>-1537</v>
      </c>
    </row>
    <row r="38" spans="2:8">
      <c r="B38" s="570" t="s">
        <v>377</v>
      </c>
      <c r="C38" s="570"/>
      <c r="D38" s="570">
        <v>631</v>
      </c>
      <c r="E38" s="578">
        <v>1000</v>
      </c>
      <c r="F38" s="570">
        <v>410</v>
      </c>
      <c r="G38" s="578">
        <v>1232</v>
      </c>
      <c r="H38" s="570">
        <v>1</v>
      </c>
    </row>
    <row r="39" spans="2:8">
      <c r="B39" s="570" t="s">
        <v>378</v>
      </c>
      <c r="C39" s="570"/>
      <c r="D39" s="579">
        <v>-653</v>
      </c>
      <c r="E39" s="580">
        <v>-1554</v>
      </c>
      <c r="F39" s="579">
        <v>-574</v>
      </c>
      <c r="G39" s="579">
        <v>-507</v>
      </c>
      <c r="H39" s="579">
        <v>-504</v>
      </c>
    </row>
    <row r="40" spans="2:8">
      <c r="B40" s="570" t="s">
        <v>165</v>
      </c>
      <c r="C40" s="570"/>
      <c r="D40" s="579">
        <v>-22</v>
      </c>
      <c r="E40" s="579">
        <v>-554</v>
      </c>
      <c r="F40" s="579">
        <v>-164</v>
      </c>
      <c r="G40" s="570">
        <v>725</v>
      </c>
      <c r="H40" s="579">
        <v>-503</v>
      </c>
    </row>
    <row r="41" spans="2:8">
      <c r="B41" s="576" t="s">
        <v>166</v>
      </c>
      <c r="C41" s="576"/>
      <c r="D41" s="586">
        <v>-1738</v>
      </c>
      <c r="E41" s="586">
        <v>-2442</v>
      </c>
      <c r="F41" s="586">
        <v>-2581</v>
      </c>
      <c r="G41" s="586">
        <v>-1494</v>
      </c>
      <c r="H41" s="586">
        <v>-3258</v>
      </c>
    </row>
    <row r="42" spans="2:8" ht="18">
      <c r="B42" s="575" t="s">
        <v>379</v>
      </c>
      <c r="C42"/>
      <c r="D42"/>
      <c r="E42"/>
      <c r="F42"/>
      <c r="G42"/>
      <c r="H42"/>
    </row>
    <row r="43" spans="2:8">
      <c r="B43" s="570" t="s">
        <v>380</v>
      </c>
      <c r="C43" s="570"/>
      <c r="D43" s="579">
        <v>-28</v>
      </c>
      <c r="E43" s="570">
        <v>11</v>
      </c>
      <c r="F43" s="570">
        <v>43</v>
      </c>
      <c r="G43" s="579">
        <v>-4</v>
      </c>
      <c r="H43" s="579">
        <v>-15</v>
      </c>
    </row>
    <row r="44" spans="2:8">
      <c r="B44" s="576" t="s">
        <v>168</v>
      </c>
      <c r="C44" s="576"/>
      <c r="D44" s="576">
        <v>275</v>
      </c>
      <c r="E44" s="576">
        <v>18</v>
      </c>
      <c r="F44" s="587">
        <v>-278</v>
      </c>
      <c r="G44" s="576">
        <v>87</v>
      </c>
      <c r="H44" s="576">
        <v>68</v>
      </c>
    </row>
    <row r="45" spans="2:8">
      <c r="B45" s="570" t="s">
        <v>169</v>
      </c>
      <c r="C45" s="570"/>
      <c r="D45" s="570">
        <v>268</v>
      </c>
      <c r="E45" s="570">
        <v>543</v>
      </c>
      <c r="F45" s="570">
        <v>561</v>
      </c>
      <c r="G45" s="570">
        <v>283</v>
      </c>
      <c r="H45" s="570">
        <v>370</v>
      </c>
    </row>
    <row r="46" spans="2:8">
      <c r="B46" s="570" t="s">
        <v>170</v>
      </c>
      <c r="C46" s="570"/>
      <c r="D46" s="570">
        <v>543</v>
      </c>
      <c r="E46" s="570">
        <v>561</v>
      </c>
      <c r="F46" s="570">
        <v>283</v>
      </c>
      <c r="G46" s="570">
        <v>370</v>
      </c>
      <c r="H46" s="570">
        <v>438</v>
      </c>
    </row>
    <row r="47" spans="2:8">
      <c r="B47" s="570" t="s">
        <v>171</v>
      </c>
      <c r="C47" s="570"/>
      <c r="D47" s="570">
        <v>929</v>
      </c>
      <c r="E47" s="570">
        <v>914</v>
      </c>
      <c r="F47" s="570">
        <v>903</v>
      </c>
      <c r="G47" s="570">
        <v>884</v>
      </c>
      <c r="H47" s="570">
        <v>811</v>
      </c>
    </row>
    <row r="48" spans="2:8">
      <c r="B48" s="570" t="s">
        <v>141</v>
      </c>
      <c r="C48" s="570"/>
      <c r="D48" s="570">
        <v>266</v>
      </c>
      <c r="E48" s="570">
        <v>293</v>
      </c>
      <c r="F48" s="570">
        <v>313</v>
      </c>
      <c r="G48" s="570">
        <v>279</v>
      </c>
      <c r="H48" s="570">
        <v>216</v>
      </c>
    </row>
    <row r="49" spans="2:8">
      <c r="B49" s="570" t="s">
        <v>140</v>
      </c>
      <c r="C49" s="570"/>
      <c r="D49" s="570">
        <v>272</v>
      </c>
      <c r="E49" s="570">
        <v>288</v>
      </c>
      <c r="F49" s="570">
        <v>371</v>
      </c>
      <c r="G49" s="570">
        <v>425</v>
      </c>
      <c r="H49" s="570">
        <v>391</v>
      </c>
    </row>
    <row r="50" spans="2:8">
      <c r="B50" s="581"/>
      <c r="C50"/>
      <c r="D50"/>
      <c r="E50"/>
      <c r="F50"/>
      <c r="G50"/>
      <c r="H50"/>
    </row>
    <row r="51" spans="2:8">
      <c r="B51" s="582"/>
      <c r="C51"/>
      <c r="D51"/>
      <c r="E51"/>
      <c r="F51"/>
      <c r="G51"/>
      <c r="H51"/>
    </row>
    <row r="52" spans="2:8">
      <c r="B52" s="583"/>
      <c r="C52"/>
      <c r="D52"/>
      <c r="E52"/>
      <c r="F52"/>
      <c r="G52"/>
      <c r="H52"/>
    </row>
    <row r="53" spans="2:8">
      <c r="B53" s="584"/>
      <c r="C53"/>
      <c r="D53"/>
      <c r="E53"/>
      <c r="F53"/>
      <c r="G53"/>
      <c r="H53"/>
    </row>
    <row r="54" spans="2:8">
      <c r="B54" s="585"/>
      <c r="C54"/>
      <c r="D54"/>
      <c r="E54"/>
      <c r="F54"/>
      <c r="G54"/>
      <c r="H54"/>
    </row>
    <row r="55" spans="2:8">
      <c r="B55" s="585"/>
      <c r="C55"/>
      <c r="D55"/>
      <c r="E55"/>
      <c r="F55"/>
      <c r="G55"/>
      <c r="H55"/>
    </row>
    <row r="56" spans="2:8">
      <c r="B56" s="585"/>
      <c r="C56"/>
      <c r="D56"/>
      <c r="E56"/>
      <c r="F56"/>
      <c r="G56"/>
      <c r="H56"/>
    </row>
    <row r="57" spans="2:8">
      <c r="B57" s="585"/>
      <c r="C57"/>
      <c r="D57"/>
      <c r="E57"/>
      <c r="F57"/>
      <c r="G57"/>
      <c r="H57"/>
    </row>
    <row r="58" spans="2:8">
      <c r="B58" s="585"/>
      <c r="C58"/>
      <c r="D58"/>
      <c r="E58"/>
      <c r="F58"/>
      <c r="G58"/>
      <c r="H58"/>
    </row>
    <row r="59" spans="2:8">
      <c r="B59" s="572"/>
      <c r="C59"/>
      <c r="D59"/>
      <c r="E59"/>
      <c r="F59"/>
      <c r="G59"/>
      <c r="H59"/>
    </row>
    <row r="60" spans="2:8">
      <c r="B60" s="570"/>
      <c r="C60" s="570"/>
      <c r="D60" s="580"/>
      <c r="E60" s="580"/>
      <c r="F60" s="580"/>
      <c r="G60" s="580"/>
      <c r="H60" s="580"/>
    </row>
    <row r="61" spans="2:8">
      <c r="B61" s="570"/>
      <c r="C61" s="570"/>
      <c r="D61" s="579"/>
      <c r="E61" s="579"/>
      <c r="F61" s="579"/>
      <c r="G61" s="579"/>
      <c r="H61" s="579"/>
    </row>
    <row r="62" spans="2:8">
      <c r="B62" s="570"/>
      <c r="C62" s="570"/>
      <c r="D62" s="580"/>
      <c r="E62" s="580"/>
      <c r="F62" s="580"/>
      <c r="G62" s="580"/>
      <c r="H62" s="580"/>
    </row>
    <row r="63" spans="2:8">
      <c r="B63" s="576"/>
      <c r="C63" s="576"/>
      <c r="D63" s="577"/>
      <c r="E63" s="577"/>
      <c r="F63" s="577"/>
      <c r="G63" s="577"/>
      <c r="H63" s="577"/>
    </row>
    <row r="64" spans="2:8">
      <c r="B64" s="576"/>
      <c r="C64" s="576"/>
      <c r="D64" s="577"/>
      <c r="E64" s="577"/>
      <c r="F64" s="577"/>
      <c r="G64" s="577"/>
      <c r="H64" s="577"/>
    </row>
    <row r="65" spans="2:8">
      <c r="B65" s="570"/>
      <c r="C65" s="570"/>
      <c r="D65" s="570"/>
      <c r="E65" s="570"/>
      <c r="F65" s="570"/>
      <c r="G65" s="570"/>
      <c r="H65" s="570"/>
    </row>
    <row r="66" spans="2:8">
      <c r="B66" s="570"/>
      <c r="C66" s="570"/>
      <c r="D66" s="570"/>
      <c r="E66" s="570"/>
      <c r="F66" s="570"/>
      <c r="G66" s="570"/>
      <c r="H66" s="570"/>
    </row>
    <row r="67" spans="2:8">
      <c r="B67" s="581"/>
      <c r="C67"/>
      <c r="D67"/>
      <c r="E67"/>
      <c r="F67"/>
      <c r="G67"/>
      <c r="H67"/>
    </row>
    <row r="68" spans="2:8">
      <c r="B68" s="582"/>
      <c r="C68"/>
      <c r="D68"/>
      <c r="E68"/>
      <c r="F68"/>
      <c r="G68"/>
      <c r="H68"/>
    </row>
    <row r="69" spans="2:8">
      <c r="B69" s="583"/>
      <c r="C69"/>
      <c r="D69"/>
      <c r="E69"/>
      <c r="F69"/>
      <c r="G69"/>
      <c r="H69"/>
    </row>
    <row r="70" spans="2:8">
      <c r="B70" s="584"/>
      <c r="C70"/>
      <c r="D70"/>
      <c r="E70"/>
      <c r="F70"/>
      <c r="G70"/>
      <c r="H70"/>
    </row>
    <row r="71" spans="2:8">
      <c r="B71" s="585"/>
      <c r="C71"/>
      <c r="D71"/>
      <c r="E71"/>
      <c r="F71"/>
      <c r="G71"/>
      <c r="H71"/>
    </row>
    <row r="72" spans="2:8">
      <c r="B72" s="585"/>
      <c r="C72"/>
      <c r="D72"/>
      <c r="E72"/>
      <c r="F72"/>
      <c r="G72"/>
      <c r="H72"/>
    </row>
    <row r="73" spans="2:8">
      <c r="B73" s="585"/>
      <c r="C73"/>
      <c r="D73"/>
      <c r="E73"/>
      <c r="F73"/>
      <c r="G73"/>
      <c r="H73"/>
    </row>
    <row r="74" spans="2:8">
      <c r="B74" s="585"/>
      <c r="C74"/>
      <c r="D74"/>
      <c r="E74"/>
      <c r="F74"/>
      <c r="G74"/>
      <c r="H74"/>
    </row>
    <row r="75" spans="2:8">
      <c r="B75" s="585"/>
      <c r="C75"/>
      <c r="D75"/>
      <c r="E75"/>
      <c r="F75"/>
      <c r="G75"/>
      <c r="H75"/>
    </row>
    <row r="76" spans="2:8">
      <c r="B76" s="572"/>
      <c r="C76"/>
      <c r="D76"/>
      <c r="E76"/>
      <c r="F76"/>
      <c r="G76"/>
      <c r="H7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E1C1-BBF3-4E85-B0E9-C0AACF416B27}">
  <sheetPr codeName="Sheet11">
    <tabColor theme="5" tint="0.59999389629810485"/>
    <pageSetUpPr fitToPage="1"/>
  </sheetPr>
  <dimension ref="B1:P65"/>
  <sheetViews>
    <sheetView zoomScale="85" zoomScaleNormal="85" workbookViewId="0">
      <selection activeCell="K8" sqref="K8"/>
    </sheetView>
  </sheetViews>
  <sheetFormatPr baseColWidth="10" defaultColWidth="9.5" defaultRowHeight="16"/>
  <cols>
    <col min="1" max="1" width="2.5" style="63" customWidth="1"/>
    <col min="2" max="2" width="38.1640625" style="63" bestFit="1" customWidth="1"/>
    <col min="3" max="3" width="2.5" style="63" customWidth="1"/>
    <col min="4" max="8" width="10.83203125" style="63" bestFit="1" customWidth="1"/>
    <col min="9" max="9" width="9.5" style="63"/>
    <col min="17" max="16384" width="9.5" style="63"/>
  </cols>
  <sheetData>
    <row r="1" spans="2:16">
      <c r="J1" s="63"/>
      <c r="K1" s="63"/>
      <c r="L1" s="63"/>
      <c r="M1" s="63"/>
      <c r="N1" s="63"/>
      <c r="O1" s="63"/>
      <c r="P1" s="63"/>
    </row>
    <row r="2" spans="2:16">
      <c r="B2" t="s">
        <v>311</v>
      </c>
      <c r="C2" s="570"/>
      <c r="D2" s="570">
        <v>2016</v>
      </c>
      <c r="E2" s="570">
        <v>2017</v>
      </c>
      <c r="F2" s="570">
        <v>2018</v>
      </c>
      <c r="G2" s="570">
        <v>2019</v>
      </c>
      <c r="H2" s="570">
        <v>2020</v>
      </c>
      <c r="J2" s="63"/>
      <c r="K2" s="63"/>
      <c r="L2" s="63"/>
      <c r="M2" s="63"/>
      <c r="N2" s="63"/>
      <c r="O2" s="63"/>
      <c r="P2" s="63"/>
    </row>
    <row r="3" spans="2:16">
      <c r="B3" t="s">
        <v>312</v>
      </c>
      <c r="C3" s="570"/>
      <c r="D3" s="571">
        <v>42735</v>
      </c>
      <c r="E3" s="571">
        <v>43100</v>
      </c>
      <c r="F3" s="571">
        <v>43465</v>
      </c>
      <c r="G3" s="571">
        <v>43830</v>
      </c>
      <c r="H3" s="571">
        <v>44196</v>
      </c>
      <c r="J3" s="63"/>
      <c r="K3" s="63"/>
      <c r="L3" s="63"/>
      <c r="M3" s="63"/>
      <c r="N3" s="63"/>
      <c r="O3" s="63"/>
      <c r="P3" s="63"/>
    </row>
    <row r="4" spans="2:16">
      <c r="B4"/>
      <c r="C4" s="570"/>
      <c r="D4" s="572" t="s">
        <v>313</v>
      </c>
      <c r="E4" s="572" t="s">
        <v>313</v>
      </c>
      <c r="F4" s="572" t="s">
        <v>313</v>
      </c>
      <c r="G4" s="572" t="s">
        <v>313</v>
      </c>
      <c r="H4" s="572" t="s">
        <v>313</v>
      </c>
      <c r="J4" s="63"/>
      <c r="K4" s="63"/>
      <c r="L4" s="63"/>
      <c r="M4" s="63"/>
      <c r="N4" s="63"/>
      <c r="O4" s="63"/>
      <c r="P4" s="63"/>
    </row>
    <row r="5" spans="2:16">
      <c r="B5"/>
      <c r="C5" s="570"/>
      <c r="D5" s="573" t="s">
        <v>314</v>
      </c>
      <c r="E5"/>
      <c r="F5"/>
      <c r="G5"/>
      <c r="H5"/>
      <c r="J5" s="63"/>
      <c r="K5" s="63"/>
      <c r="L5" s="63"/>
      <c r="M5" s="63"/>
      <c r="N5" s="63"/>
      <c r="O5" s="63"/>
      <c r="P5" s="63"/>
    </row>
    <row r="6" spans="2:16">
      <c r="B6"/>
      <c r="C6" s="570"/>
      <c r="D6" s="574">
        <v>43100</v>
      </c>
      <c r="E6"/>
      <c r="F6"/>
      <c r="G6"/>
      <c r="H6"/>
      <c r="J6" s="63"/>
      <c r="K6" s="63"/>
      <c r="L6" s="63"/>
      <c r="M6" s="63"/>
      <c r="N6" s="63"/>
      <c r="O6" s="63"/>
      <c r="P6" s="63"/>
    </row>
    <row r="7" spans="2:16" ht="18">
      <c r="B7" s="575" t="s">
        <v>315</v>
      </c>
      <c r="C7"/>
      <c r="D7"/>
      <c r="E7"/>
      <c r="F7"/>
      <c r="G7"/>
      <c r="H7"/>
      <c r="J7" s="63"/>
      <c r="K7" s="63"/>
      <c r="L7" s="63"/>
      <c r="M7" s="63"/>
      <c r="N7" s="63"/>
      <c r="O7" s="63"/>
      <c r="P7" s="63"/>
    </row>
    <row r="8" spans="2:16">
      <c r="B8" s="576" t="s">
        <v>52</v>
      </c>
      <c r="C8" s="576"/>
      <c r="D8" s="577">
        <v>19747</v>
      </c>
      <c r="E8" s="577">
        <v>20404</v>
      </c>
      <c r="F8" s="577">
        <v>21609</v>
      </c>
      <c r="G8" s="577">
        <v>21390</v>
      </c>
      <c r="H8" s="577">
        <v>17858</v>
      </c>
      <c r="J8" s="63"/>
      <c r="K8" s="63"/>
      <c r="L8" s="63"/>
      <c r="M8" s="63"/>
      <c r="N8" s="63"/>
      <c r="O8" s="63"/>
      <c r="P8" s="63"/>
    </row>
    <row r="9" spans="2:16" ht="18">
      <c r="B9" s="575" t="s">
        <v>316</v>
      </c>
      <c r="C9"/>
      <c r="D9"/>
      <c r="E9"/>
      <c r="F9"/>
      <c r="G9"/>
      <c r="H9"/>
      <c r="J9" s="63"/>
      <c r="K9" s="63"/>
      <c r="L9" s="63"/>
      <c r="M9" s="63"/>
      <c r="N9" s="63"/>
      <c r="O9" s="63"/>
      <c r="P9" s="63"/>
    </row>
    <row r="10" spans="2:16">
      <c r="B10" s="570" t="s">
        <v>55</v>
      </c>
      <c r="C10" s="570"/>
      <c r="D10" s="578">
        <v>13416</v>
      </c>
      <c r="E10" s="578">
        <v>13758</v>
      </c>
      <c r="F10" s="578">
        <v>14512</v>
      </c>
      <c r="G10" s="578">
        <v>14338</v>
      </c>
      <c r="H10" s="578">
        <v>12408</v>
      </c>
      <c r="J10" s="63"/>
      <c r="K10" s="63"/>
      <c r="L10" s="63"/>
      <c r="M10" s="63"/>
      <c r="N10" s="63"/>
      <c r="O10" s="63"/>
      <c r="P10" s="63"/>
    </row>
    <row r="11" spans="2:16">
      <c r="B11" s="570" t="s">
        <v>56</v>
      </c>
      <c r="C11" s="570"/>
      <c r="D11" s="578">
        <v>3505</v>
      </c>
      <c r="E11" s="578">
        <v>3561</v>
      </c>
      <c r="F11" s="578">
        <v>3548</v>
      </c>
      <c r="G11" s="578">
        <v>3583</v>
      </c>
      <c r="H11" s="578">
        <v>3075</v>
      </c>
      <c r="J11" s="63"/>
      <c r="K11" s="63"/>
      <c r="L11" s="63"/>
      <c r="M11" s="63"/>
      <c r="N11" s="63"/>
      <c r="O11" s="63"/>
      <c r="P11" s="63"/>
    </row>
    <row r="12" spans="2:16">
      <c r="B12" s="570" t="s">
        <v>317</v>
      </c>
      <c r="C12" s="570"/>
      <c r="D12" s="570">
        <v>589</v>
      </c>
      <c r="E12" s="570">
        <v>584</v>
      </c>
      <c r="F12" s="570">
        <v>584</v>
      </c>
      <c r="G12" s="570">
        <v>606</v>
      </c>
      <c r="H12" s="570">
        <v>551</v>
      </c>
      <c r="J12" s="63"/>
      <c r="K12" s="63"/>
      <c r="L12" s="63"/>
      <c r="M12" s="63"/>
      <c r="N12" s="63"/>
      <c r="O12" s="63"/>
      <c r="P12" s="63"/>
    </row>
    <row r="13" spans="2:16">
      <c r="B13" s="570" t="s">
        <v>318</v>
      </c>
      <c r="C13" s="570"/>
      <c r="D13" s="570">
        <v>0</v>
      </c>
      <c r="E13" s="570">
        <v>0</v>
      </c>
      <c r="F13" s="570">
        <v>275</v>
      </c>
      <c r="G13" s="570">
        <v>0</v>
      </c>
      <c r="H13" s="570">
        <v>0</v>
      </c>
      <c r="J13" s="63"/>
      <c r="K13" s="63"/>
      <c r="L13" s="63"/>
      <c r="M13" s="63"/>
      <c r="N13" s="63"/>
      <c r="O13" s="63"/>
      <c r="P13" s="63"/>
    </row>
    <row r="14" spans="2:16">
      <c r="B14" s="570" t="s">
        <v>319</v>
      </c>
      <c r="C14" s="570"/>
      <c r="D14" s="570">
        <v>0</v>
      </c>
      <c r="E14" s="580">
        <v>-1073</v>
      </c>
      <c r="F14" s="570">
        <v>0</v>
      </c>
      <c r="G14" s="570">
        <v>0</v>
      </c>
      <c r="H14" s="579">
        <v>-221</v>
      </c>
      <c r="J14" s="63"/>
      <c r="K14" s="63"/>
      <c r="L14" s="63"/>
      <c r="M14" s="63"/>
      <c r="N14" s="63"/>
      <c r="O14" s="63"/>
      <c r="P14" s="63"/>
    </row>
    <row r="15" spans="2:16">
      <c r="B15" s="570" t="s">
        <v>320</v>
      </c>
      <c r="C15" s="570"/>
      <c r="D15" s="570">
        <v>0</v>
      </c>
      <c r="E15" s="580">
        <v>-1073</v>
      </c>
      <c r="F15" s="570">
        <v>275</v>
      </c>
      <c r="G15" s="570">
        <v>0</v>
      </c>
      <c r="H15" s="579">
        <v>-221</v>
      </c>
      <c r="J15" s="63"/>
      <c r="K15" s="63"/>
      <c r="L15" s="63"/>
      <c r="M15" s="63"/>
      <c r="N15" s="63"/>
      <c r="O15" s="63"/>
      <c r="P15" s="63"/>
    </row>
    <row r="16" spans="2:16">
      <c r="B16" s="570" t="s">
        <v>321</v>
      </c>
      <c r="C16" s="570"/>
      <c r="D16" s="579">
        <v>-107</v>
      </c>
      <c r="E16" s="579">
        <v>-38</v>
      </c>
      <c r="F16" s="579">
        <v>-4</v>
      </c>
      <c r="G16" s="570">
        <v>36</v>
      </c>
      <c r="H16" s="570">
        <v>150</v>
      </c>
      <c r="J16" s="63"/>
      <c r="K16" s="63"/>
      <c r="L16" s="63"/>
      <c r="M16" s="63"/>
      <c r="N16" s="63"/>
      <c r="O16" s="63"/>
      <c r="P16" s="63"/>
    </row>
    <row r="17" spans="2:16">
      <c r="B17" s="570" t="s">
        <v>57</v>
      </c>
      <c r="C17" s="570"/>
      <c r="D17" s="579">
        <v>-107</v>
      </c>
      <c r="E17" s="579">
        <v>-38</v>
      </c>
      <c r="F17" s="579">
        <v>-4</v>
      </c>
      <c r="G17" s="570">
        <v>36</v>
      </c>
      <c r="H17" s="570">
        <v>150</v>
      </c>
      <c r="J17" s="63"/>
      <c r="K17" s="63"/>
      <c r="L17" s="63"/>
      <c r="M17" s="63"/>
      <c r="N17" s="63"/>
      <c r="O17" s="63"/>
      <c r="P17" s="63"/>
    </row>
    <row r="18" spans="2:16">
      <c r="B18" s="576" t="s">
        <v>58</v>
      </c>
      <c r="C18" s="576"/>
      <c r="D18" s="577">
        <v>17403</v>
      </c>
      <c r="E18" s="577">
        <v>16792</v>
      </c>
      <c r="F18" s="577">
        <v>18915</v>
      </c>
      <c r="G18" s="577">
        <v>18563</v>
      </c>
      <c r="H18" s="577">
        <v>15963</v>
      </c>
      <c r="J18" s="63"/>
      <c r="K18" s="63"/>
      <c r="L18" s="63"/>
      <c r="M18" s="63"/>
      <c r="N18" s="63"/>
      <c r="O18" s="63"/>
      <c r="P18" s="63"/>
    </row>
    <row r="19" spans="2:16" ht="18">
      <c r="B19" s="575" t="s">
        <v>322</v>
      </c>
      <c r="C19"/>
      <c r="D19"/>
      <c r="E19"/>
      <c r="F19"/>
      <c r="G19"/>
      <c r="H19"/>
      <c r="J19" s="63"/>
      <c r="K19" s="63"/>
      <c r="L19" s="63"/>
      <c r="M19" s="63"/>
      <c r="N19" s="63"/>
      <c r="O19" s="63"/>
      <c r="P19" s="63"/>
    </row>
    <row r="20" spans="2:16">
      <c r="B20" s="576" t="s">
        <v>59</v>
      </c>
      <c r="C20" s="576"/>
      <c r="D20" s="577">
        <v>2344</v>
      </c>
      <c r="E20" s="577">
        <v>3612</v>
      </c>
      <c r="F20" s="577">
        <v>2694</v>
      </c>
      <c r="G20" s="577">
        <v>2827</v>
      </c>
      <c r="H20" s="577">
        <v>1895</v>
      </c>
      <c r="J20" s="63"/>
      <c r="K20" s="63"/>
      <c r="L20" s="63"/>
      <c r="M20" s="63"/>
      <c r="N20" s="63"/>
      <c r="O20" s="63"/>
      <c r="P20" s="63"/>
    </row>
    <row r="21" spans="2:16" ht="18">
      <c r="B21" s="575" t="s">
        <v>323</v>
      </c>
      <c r="C21"/>
      <c r="D21"/>
      <c r="E21"/>
      <c r="F21"/>
      <c r="G21"/>
      <c r="H21"/>
      <c r="J21" s="63"/>
      <c r="K21" s="63"/>
      <c r="L21" s="63"/>
      <c r="M21" s="63"/>
      <c r="N21" s="63"/>
      <c r="O21" s="63"/>
      <c r="P21" s="63"/>
    </row>
    <row r="22" spans="2:16">
      <c r="B22" s="570" t="s">
        <v>324</v>
      </c>
      <c r="C22" s="570"/>
      <c r="D22" s="570">
        <v>7</v>
      </c>
      <c r="E22" s="570">
        <v>2</v>
      </c>
      <c r="F22" s="570">
        <v>1</v>
      </c>
      <c r="G22" s="570">
        <v>0</v>
      </c>
      <c r="H22" s="570">
        <v>0</v>
      </c>
      <c r="J22" s="63"/>
      <c r="K22" s="63"/>
      <c r="L22" s="63"/>
      <c r="M22" s="63"/>
      <c r="N22" s="63"/>
      <c r="O22" s="63"/>
      <c r="P22" s="63"/>
    </row>
    <row r="23" spans="2:16">
      <c r="B23" s="570" t="s">
        <v>325</v>
      </c>
      <c r="C23" s="570"/>
      <c r="D23" s="579">
        <v>-233</v>
      </c>
      <c r="E23" s="579">
        <v>-246</v>
      </c>
      <c r="F23" s="579">
        <v>-271</v>
      </c>
      <c r="G23" s="579">
        <v>-236</v>
      </c>
      <c r="H23" s="579">
        <v>-149</v>
      </c>
      <c r="J23" s="63"/>
      <c r="K23" s="63"/>
      <c r="L23" s="63"/>
      <c r="M23" s="63"/>
      <c r="N23" s="63"/>
      <c r="O23" s="63"/>
      <c r="P23" s="63"/>
    </row>
    <row r="24" spans="2:16">
      <c r="B24" s="570" t="s">
        <v>62</v>
      </c>
      <c r="C24" s="570"/>
      <c r="D24" s="570">
        <v>0</v>
      </c>
      <c r="E24" s="570">
        <v>0</v>
      </c>
      <c r="F24" s="570">
        <v>0</v>
      </c>
      <c r="G24" s="570">
        <v>0</v>
      </c>
      <c r="H24" s="570">
        <v>0</v>
      </c>
      <c r="J24" s="63"/>
      <c r="K24" s="63"/>
      <c r="L24" s="63"/>
      <c r="M24" s="63"/>
      <c r="N24" s="63"/>
      <c r="O24" s="63"/>
      <c r="P24" s="63"/>
    </row>
    <row r="25" spans="2:16">
      <c r="B25" s="570" t="s">
        <v>57</v>
      </c>
      <c r="C25" s="570"/>
      <c r="D25" s="570">
        <v>0</v>
      </c>
      <c r="E25" s="570">
        <v>0</v>
      </c>
      <c r="F25" s="570">
        <v>0</v>
      </c>
      <c r="G25" s="570">
        <v>0</v>
      </c>
      <c r="H25" s="570">
        <v>0</v>
      </c>
      <c r="J25" s="63"/>
      <c r="K25" s="63"/>
      <c r="L25" s="63"/>
      <c r="M25" s="63"/>
      <c r="N25" s="63"/>
      <c r="O25" s="63"/>
      <c r="P25" s="63"/>
    </row>
    <row r="26" spans="2:16">
      <c r="B26" s="576" t="s">
        <v>63</v>
      </c>
      <c r="C26" s="576"/>
      <c r="D26" s="577">
        <v>2118</v>
      </c>
      <c r="E26" s="577">
        <v>3368</v>
      </c>
      <c r="F26" s="577">
        <v>2424</v>
      </c>
      <c r="G26" s="577">
        <v>2591</v>
      </c>
      <c r="H26" s="577">
        <v>1746</v>
      </c>
      <c r="J26" s="63"/>
      <c r="K26" s="63"/>
      <c r="L26" s="63"/>
      <c r="M26" s="63"/>
      <c r="N26" s="63"/>
      <c r="O26" s="63"/>
      <c r="P26" s="63"/>
    </row>
    <row r="27" spans="2:16" ht="18">
      <c r="B27" s="575" t="s">
        <v>326</v>
      </c>
      <c r="C27"/>
      <c r="D27"/>
      <c r="E27"/>
      <c r="F27"/>
      <c r="G27"/>
      <c r="H27"/>
      <c r="J27" s="63"/>
      <c r="K27" s="63"/>
      <c r="L27" s="63"/>
      <c r="M27" s="63"/>
      <c r="N27" s="63"/>
      <c r="O27" s="63"/>
      <c r="P27" s="63"/>
    </row>
    <row r="28" spans="2:16">
      <c r="B28" s="570" t="s">
        <v>64</v>
      </c>
      <c r="C28" s="570"/>
      <c r="D28" s="570">
        <v>199</v>
      </c>
      <c r="E28" s="570">
        <v>444</v>
      </c>
      <c r="F28" s="570">
        <v>278</v>
      </c>
      <c r="G28" s="570">
        <v>378</v>
      </c>
      <c r="H28" s="570">
        <v>331</v>
      </c>
      <c r="J28" s="63"/>
      <c r="K28" s="63"/>
      <c r="L28" s="63"/>
      <c r="M28" s="63"/>
      <c r="N28" s="63"/>
      <c r="O28" s="63"/>
      <c r="P28" s="63"/>
    </row>
    <row r="29" spans="2:16">
      <c r="B29" s="576" t="s">
        <v>65</v>
      </c>
      <c r="C29" s="576"/>
      <c r="D29" s="577">
        <v>1919</v>
      </c>
      <c r="E29" s="577">
        <v>2924</v>
      </c>
      <c r="F29" s="577">
        <v>2146</v>
      </c>
      <c r="G29" s="577">
        <v>2213</v>
      </c>
      <c r="H29" s="577">
        <v>1415</v>
      </c>
      <c r="J29" s="63"/>
      <c r="K29" s="63"/>
      <c r="L29" s="63"/>
      <c r="M29" s="63"/>
      <c r="N29" s="63"/>
      <c r="O29" s="63"/>
      <c r="P29" s="63"/>
    </row>
    <row r="30" spans="2:16" ht="18">
      <c r="B30" s="575" t="s">
        <v>327</v>
      </c>
      <c r="C30"/>
      <c r="D30"/>
      <c r="E30"/>
      <c r="F30"/>
      <c r="G30"/>
      <c r="H30"/>
      <c r="J30" s="63"/>
      <c r="K30" s="63"/>
      <c r="L30" s="63"/>
      <c r="M30" s="63"/>
      <c r="N30" s="63"/>
      <c r="O30" s="63"/>
      <c r="P30" s="63"/>
    </row>
    <row r="31" spans="2:16">
      <c r="B31" s="570" t="s">
        <v>115</v>
      </c>
      <c r="C31" s="570"/>
      <c r="D31" s="579">
        <v>-3</v>
      </c>
      <c r="E31" s="579">
        <v>-1</v>
      </c>
      <c r="F31" s="579">
        <v>-1</v>
      </c>
      <c r="G31" s="579">
        <v>-2</v>
      </c>
      <c r="H31" s="579">
        <v>-5</v>
      </c>
      <c r="J31" s="63"/>
      <c r="K31" s="63"/>
      <c r="L31" s="63"/>
      <c r="M31" s="63"/>
      <c r="N31" s="63"/>
      <c r="O31" s="63"/>
      <c r="P31" s="63"/>
    </row>
    <row r="32" spans="2:16">
      <c r="B32" s="576" t="s">
        <v>328</v>
      </c>
      <c r="C32" s="576"/>
      <c r="D32" s="577">
        <v>1916</v>
      </c>
      <c r="E32" s="577">
        <v>2923</v>
      </c>
      <c r="F32" s="577">
        <v>2145</v>
      </c>
      <c r="G32" s="577">
        <v>2211</v>
      </c>
      <c r="H32" s="577">
        <v>1410</v>
      </c>
      <c r="J32" s="63"/>
      <c r="K32" s="63"/>
      <c r="L32" s="63"/>
      <c r="M32" s="63"/>
      <c r="N32" s="63"/>
      <c r="O32" s="63"/>
      <c r="P32" s="63"/>
    </row>
    <row r="33" spans="2:16" ht="18">
      <c r="B33" s="575" t="s">
        <v>329</v>
      </c>
      <c r="C33"/>
      <c r="D33"/>
      <c r="E33"/>
      <c r="F33"/>
      <c r="G33"/>
      <c r="H33"/>
      <c r="J33" s="63"/>
      <c r="K33" s="63"/>
      <c r="L33" s="63"/>
      <c r="M33" s="63"/>
      <c r="N33" s="63"/>
      <c r="O33" s="63"/>
      <c r="P33" s="63"/>
    </row>
    <row r="34" spans="2:16">
      <c r="B34" s="570" t="s">
        <v>330</v>
      </c>
      <c r="C34" s="570"/>
      <c r="D34" s="570">
        <v>0</v>
      </c>
      <c r="E34" s="570">
        <v>62</v>
      </c>
      <c r="F34" s="570">
        <v>0</v>
      </c>
      <c r="G34" s="570">
        <v>0</v>
      </c>
      <c r="H34" s="570">
        <v>0</v>
      </c>
      <c r="J34" s="63"/>
      <c r="K34" s="63"/>
      <c r="L34" s="63"/>
      <c r="M34" s="63"/>
      <c r="N34" s="63"/>
      <c r="O34" s="63"/>
      <c r="P34" s="63"/>
    </row>
    <row r="35" spans="2:16">
      <c r="B35" s="576" t="s">
        <v>70</v>
      </c>
      <c r="C35" s="576"/>
      <c r="D35" s="576">
        <v>0</v>
      </c>
      <c r="E35" s="576">
        <v>62</v>
      </c>
      <c r="F35" s="576">
        <v>0</v>
      </c>
      <c r="G35" s="576">
        <v>0</v>
      </c>
      <c r="H35" s="576">
        <v>0</v>
      </c>
      <c r="J35" s="63"/>
      <c r="K35" s="63"/>
      <c r="L35" s="63"/>
      <c r="M35" s="63"/>
      <c r="N35" s="63"/>
      <c r="O35" s="63"/>
      <c r="P35" s="63"/>
    </row>
    <row r="36" spans="2:16" ht="18">
      <c r="B36" s="575" t="s">
        <v>133</v>
      </c>
      <c r="C36"/>
      <c r="D36"/>
      <c r="E36"/>
      <c r="F36"/>
      <c r="G36"/>
      <c r="H36"/>
      <c r="J36" s="63"/>
      <c r="K36" s="63"/>
      <c r="L36" s="63"/>
      <c r="M36" s="63"/>
      <c r="N36" s="63"/>
      <c r="O36" s="63"/>
      <c r="P36" s="63"/>
    </row>
    <row r="37" spans="2:16">
      <c r="B37" s="576" t="s">
        <v>133</v>
      </c>
      <c r="C37" s="576"/>
      <c r="D37" s="577">
        <v>1916</v>
      </c>
      <c r="E37" s="577">
        <v>2985</v>
      </c>
      <c r="F37" s="577">
        <v>2145</v>
      </c>
      <c r="G37" s="577">
        <v>2211</v>
      </c>
      <c r="H37" s="577">
        <v>1410</v>
      </c>
      <c r="J37" s="63"/>
      <c r="K37" s="63"/>
      <c r="L37" s="63"/>
      <c r="M37" s="63"/>
      <c r="N37" s="63"/>
      <c r="O37" s="63"/>
      <c r="P37" s="63"/>
    </row>
    <row r="38" spans="2:16" ht="18">
      <c r="B38" s="575" t="s">
        <v>331</v>
      </c>
      <c r="C38"/>
      <c r="D38"/>
      <c r="E38"/>
      <c r="F38"/>
      <c r="G38"/>
      <c r="H38"/>
      <c r="J38" s="63"/>
      <c r="K38" s="63"/>
      <c r="L38" s="63"/>
      <c r="M38" s="63"/>
      <c r="N38" s="63"/>
      <c r="O38" s="63"/>
      <c r="P38" s="63"/>
    </row>
    <row r="39" spans="2:16">
      <c r="B39" s="576" t="s">
        <v>71</v>
      </c>
      <c r="C39" s="576"/>
      <c r="D39" s="577">
        <v>1916</v>
      </c>
      <c r="E39" s="577">
        <v>2923</v>
      </c>
      <c r="F39" s="577">
        <v>2145</v>
      </c>
      <c r="G39" s="577">
        <v>2211</v>
      </c>
      <c r="H39" s="577">
        <v>1410</v>
      </c>
      <c r="J39" s="63"/>
      <c r="K39" s="63"/>
      <c r="L39" s="63"/>
      <c r="M39" s="63"/>
      <c r="N39" s="63"/>
      <c r="O39" s="63"/>
      <c r="P39" s="63"/>
    </row>
    <row r="40" spans="2:16">
      <c r="B40" s="576" t="s">
        <v>72</v>
      </c>
      <c r="C40" s="576"/>
      <c r="D40" s="577">
        <v>1916</v>
      </c>
      <c r="E40" s="577">
        <v>2985</v>
      </c>
      <c r="F40" s="577">
        <v>2145</v>
      </c>
      <c r="G40" s="577">
        <v>2211</v>
      </c>
      <c r="H40" s="577">
        <v>1410</v>
      </c>
      <c r="J40" s="63"/>
      <c r="K40" s="63"/>
      <c r="L40" s="63"/>
      <c r="M40" s="63"/>
      <c r="N40" s="63"/>
      <c r="O40" s="63"/>
      <c r="P40" s="63"/>
    </row>
    <row r="41" spans="2:16" ht="18">
      <c r="B41" s="575" t="s">
        <v>332</v>
      </c>
      <c r="C41"/>
      <c r="D41"/>
      <c r="E41"/>
      <c r="F41"/>
      <c r="G41"/>
      <c r="H41"/>
      <c r="J41" s="63"/>
      <c r="K41" s="63"/>
      <c r="L41" s="63"/>
      <c r="M41" s="63"/>
      <c r="N41" s="63"/>
      <c r="O41" s="63"/>
      <c r="P41" s="63"/>
    </row>
    <row r="42" spans="2:16">
      <c r="B42" s="570" t="s">
        <v>74</v>
      </c>
      <c r="C42" s="570"/>
      <c r="D42" s="570">
        <v>455</v>
      </c>
      <c r="E42" s="570">
        <v>445</v>
      </c>
      <c r="F42" s="570">
        <v>434</v>
      </c>
      <c r="G42" s="570">
        <v>419</v>
      </c>
      <c r="H42" s="570">
        <v>402</v>
      </c>
      <c r="J42" s="63"/>
      <c r="K42" s="63"/>
      <c r="L42" s="63"/>
      <c r="M42" s="63"/>
      <c r="N42" s="63"/>
      <c r="O42" s="63"/>
      <c r="P42" s="63"/>
    </row>
    <row r="43" spans="2:16">
      <c r="B43" s="570" t="s">
        <v>75</v>
      </c>
      <c r="C43" s="570"/>
      <c r="D43" s="570">
        <v>4.21</v>
      </c>
      <c r="E43" s="570">
        <v>6.58</v>
      </c>
      <c r="F43" s="570">
        <v>4.9400000000000004</v>
      </c>
      <c r="G43" s="570">
        <v>5.28</v>
      </c>
      <c r="H43" s="570">
        <v>3.51</v>
      </c>
      <c r="J43" s="63"/>
      <c r="K43" s="63"/>
      <c r="L43" s="63"/>
      <c r="M43" s="63"/>
      <c r="N43" s="63"/>
      <c r="O43" s="63"/>
      <c r="P43" s="63"/>
    </row>
    <row r="44" spans="2:16">
      <c r="B44" s="570" t="s">
        <v>76</v>
      </c>
      <c r="C44" s="570"/>
      <c r="D44" s="570">
        <v>4.21</v>
      </c>
      <c r="E44" s="570">
        <v>6.72</v>
      </c>
      <c r="F44" s="570">
        <v>4.9400000000000004</v>
      </c>
      <c r="G44" s="570">
        <v>5.28</v>
      </c>
      <c r="H44" s="570">
        <v>3.51</v>
      </c>
      <c r="J44" s="63"/>
      <c r="K44" s="63"/>
      <c r="L44" s="63"/>
      <c r="M44" s="63"/>
      <c r="N44" s="63"/>
      <c r="O44" s="63"/>
      <c r="P44" s="63"/>
    </row>
    <row r="45" spans="2:16">
      <c r="B45" s="570" t="s">
        <v>78</v>
      </c>
      <c r="C45" s="570"/>
      <c r="D45" s="570">
        <v>457</v>
      </c>
      <c r="E45" s="570">
        <v>447</v>
      </c>
      <c r="F45" s="570">
        <v>437</v>
      </c>
      <c r="G45" s="570">
        <v>421</v>
      </c>
      <c r="H45" s="570">
        <v>404</v>
      </c>
      <c r="J45" s="63"/>
      <c r="K45" s="63"/>
      <c r="L45" s="63"/>
      <c r="M45" s="63"/>
      <c r="N45" s="63"/>
      <c r="O45" s="63"/>
      <c r="P45" s="63"/>
    </row>
    <row r="46" spans="2:16">
      <c r="B46" s="570" t="s">
        <v>79</v>
      </c>
      <c r="C46" s="570"/>
      <c r="D46" s="570">
        <v>4.2</v>
      </c>
      <c r="E46" s="570">
        <v>6.54</v>
      </c>
      <c r="F46" s="570">
        <v>4.91</v>
      </c>
      <c r="G46" s="570">
        <v>5.25</v>
      </c>
      <c r="H46" s="570">
        <v>3.49</v>
      </c>
      <c r="J46" s="63"/>
      <c r="K46" s="63"/>
      <c r="L46" s="63"/>
      <c r="M46" s="63"/>
      <c r="N46" s="63"/>
      <c r="O46" s="63"/>
      <c r="P46" s="63"/>
    </row>
    <row r="47" spans="2:16">
      <c r="B47" s="570" t="s">
        <v>80</v>
      </c>
      <c r="C47" s="570"/>
      <c r="D47" s="570">
        <v>4.2</v>
      </c>
      <c r="E47" s="570">
        <v>6.68</v>
      </c>
      <c r="F47" s="570">
        <v>4.91</v>
      </c>
      <c r="G47" s="570">
        <v>5.25</v>
      </c>
      <c r="H47" s="570">
        <v>3.49</v>
      </c>
      <c r="J47" s="63"/>
      <c r="K47" s="63"/>
      <c r="L47" s="63"/>
      <c r="M47" s="63"/>
      <c r="N47" s="63"/>
      <c r="O47" s="63"/>
      <c r="P47" s="63"/>
    </row>
    <row r="48" spans="2:16" ht="18">
      <c r="B48" s="575" t="s">
        <v>81</v>
      </c>
      <c r="C48"/>
      <c r="D48"/>
      <c r="E48"/>
      <c r="F48"/>
      <c r="G48"/>
      <c r="H48"/>
      <c r="J48" s="63"/>
      <c r="K48" s="63"/>
      <c r="L48" s="63"/>
      <c r="M48" s="63"/>
      <c r="N48" s="63"/>
      <c r="O48" s="63"/>
      <c r="P48" s="63"/>
    </row>
    <row r="49" spans="2:16">
      <c r="B49" s="570" t="s">
        <v>333</v>
      </c>
      <c r="C49" s="570"/>
      <c r="D49" s="570">
        <v>2.2799999999999998</v>
      </c>
      <c r="E49" s="570">
        <v>2.4</v>
      </c>
      <c r="F49" s="570">
        <v>2.64</v>
      </c>
      <c r="G49" s="570">
        <v>2.84</v>
      </c>
      <c r="H49" s="570">
        <v>2.92</v>
      </c>
      <c r="J49" s="63"/>
      <c r="K49" s="63"/>
      <c r="L49" s="63"/>
      <c r="M49" s="63"/>
      <c r="N49" s="63"/>
      <c r="O49" s="63"/>
      <c r="P49" s="63"/>
    </row>
    <row r="50" spans="2:16">
      <c r="B50" s="570" t="s">
        <v>82</v>
      </c>
      <c r="C50" s="570"/>
      <c r="D50" s="578">
        <v>1037</v>
      </c>
      <c r="E50" s="578">
        <v>1068</v>
      </c>
      <c r="F50" s="578">
        <v>1149</v>
      </c>
      <c r="G50" s="578">
        <v>1201</v>
      </c>
      <c r="H50" s="578">
        <v>1175</v>
      </c>
      <c r="J50" s="63"/>
      <c r="K50" s="63"/>
      <c r="L50" s="63"/>
      <c r="M50" s="63"/>
      <c r="N50" s="63"/>
      <c r="O50" s="63"/>
      <c r="P50" s="63"/>
    </row>
    <row r="51" spans="2:16" ht="18">
      <c r="B51" s="575" t="s">
        <v>334</v>
      </c>
      <c r="C51"/>
      <c r="D51"/>
      <c r="E51"/>
      <c r="F51"/>
      <c r="G51"/>
      <c r="H51"/>
      <c r="J51" s="63"/>
      <c r="K51" s="63"/>
      <c r="L51" s="63"/>
      <c r="M51" s="63"/>
      <c r="N51" s="63"/>
      <c r="O51" s="63"/>
      <c r="P51" s="63"/>
    </row>
    <row r="52" spans="2:16">
      <c r="B52" s="576" t="s">
        <v>334</v>
      </c>
      <c r="C52" s="576"/>
      <c r="D52" s="576">
        <v>0</v>
      </c>
      <c r="E52" s="576">
        <v>0</v>
      </c>
      <c r="F52" s="576">
        <v>0</v>
      </c>
      <c r="G52" s="576">
        <v>0</v>
      </c>
      <c r="H52" s="576">
        <v>0</v>
      </c>
      <c r="J52" s="63"/>
      <c r="K52" s="63"/>
      <c r="L52" s="63"/>
      <c r="M52" s="63"/>
      <c r="N52" s="63"/>
      <c r="O52" s="63"/>
      <c r="P52" s="63"/>
    </row>
    <row r="53" spans="2:16" ht="18">
      <c r="B53" s="575" t="s">
        <v>335</v>
      </c>
      <c r="C53"/>
      <c r="D53"/>
      <c r="E53"/>
      <c r="F53"/>
      <c r="G53"/>
      <c r="H53"/>
      <c r="J53" s="63"/>
      <c r="K53" s="63"/>
      <c r="L53" s="63"/>
      <c r="M53" s="63"/>
      <c r="N53" s="63"/>
      <c r="O53" s="63"/>
      <c r="P53" s="63"/>
    </row>
    <row r="54" spans="2:16">
      <c r="B54" s="570" t="s">
        <v>336</v>
      </c>
      <c r="C54" s="570"/>
      <c r="D54" s="570">
        <v>228</v>
      </c>
      <c r="E54" s="570">
        <v>262</v>
      </c>
      <c r="F54" s="570">
        <v>0</v>
      </c>
      <c r="G54" s="570">
        <v>1</v>
      </c>
      <c r="H54" s="570">
        <v>1</v>
      </c>
      <c r="J54" s="63"/>
      <c r="K54" s="63"/>
      <c r="L54" s="63"/>
      <c r="M54" s="63"/>
      <c r="N54" s="63"/>
      <c r="O54" s="63"/>
      <c r="P54" s="63"/>
    </row>
    <row r="55" spans="2:16">
      <c r="B55" s="570" t="s">
        <v>337</v>
      </c>
      <c r="C55" s="570"/>
      <c r="D55" s="579">
        <v>-12</v>
      </c>
      <c r="E55" s="579">
        <v>-11</v>
      </c>
      <c r="F55" s="570">
        <v>0</v>
      </c>
      <c r="G55" s="570">
        <v>0</v>
      </c>
      <c r="H55" s="570">
        <v>0</v>
      </c>
      <c r="J55" s="63"/>
      <c r="K55" s="63"/>
      <c r="L55" s="63"/>
      <c r="M55" s="63"/>
      <c r="N55" s="63"/>
      <c r="O55" s="63"/>
      <c r="P55" s="63"/>
    </row>
    <row r="56" spans="2:16">
      <c r="B56" s="570" t="s">
        <v>171</v>
      </c>
      <c r="C56" s="570"/>
      <c r="D56" s="570">
        <v>537</v>
      </c>
      <c r="E56" s="570">
        <v>526</v>
      </c>
      <c r="F56" s="570">
        <v>521</v>
      </c>
      <c r="G56" s="570">
        <v>517</v>
      </c>
      <c r="H56" s="570">
        <v>457</v>
      </c>
      <c r="J56" s="63"/>
      <c r="K56" s="63"/>
      <c r="L56" s="63"/>
      <c r="M56" s="63"/>
      <c r="N56" s="63"/>
      <c r="O56" s="63"/>
      <c r="P56" s="63"/>
    </row>
    <row r="57" spans="2:16" ht="18">
      <c r="B57" s="575" t="s">
        <v>338</v>
      </c>
      <c r="C57"/>
      <c r="D57"/>
      <c r="E57"/>
      <c r="F57"/>
      <c r="G57"/>
      <c r="H57"/>
      <c r="J57" s="63"/>
      <c r="K57" s="63"/>
      <c r="L57" s="63"/>
      <c r="M57" s="63"/>
      <c r="N57" s="63"/>
      <c r="O57" s="63"/>
      <c r="P57" s="63"/>
    </row>
    <row r="58" spans="2:16">
      <c r="B58" s="570" t="s">
        <v>339</v>
      </c>
      <c r="C58" s="570"/>
      <c r="D58" s="570">
        <v>215</v>
      </c>
      <c r="E58" s="579">
        <v>-957</v>
      </c>
      <c r="F58" s="570">
        <v>396</v>
      </c>
      <c r="G58" s="570">
        <v>198</v>
      </c>
      <c r="H58" s="570">
        <v>281</v>
      </c>
      <c r="J58" s="63"/>
      <c r="K58" s="63"/>
      <c r="L58" s="63"/>
      <c r="M58" s="63"/>
      <c r="N58" s="63"/>
      <c r="O58" s="63"/>
      <c r="P58" s="63"/>
    </row>
    <row r="59" spans="2:16">
      <c r="B59" s="576" t="s">
        <v>340</v>
      </c>
      <c r="C59" s="576"/>
      <c r="D59" s="577">
        <v>2333</v>
      </c>
      <c r="E59" s="577">
        <v>2411</v>
      </c>
      <c r="F59" s="577">
        <v>2820</v>
      </c>
      <c r="G59" s="577">
        <v>2789</v>
      </c>
      <c r="H59" s="577">
        <v>2027</v>
      </c>
      <c r="J59" s="63"/>
      <c r="K59" s="63"/>
      <c r="L59" s="63"/>
      <c r="M59" s="63"/>
      <c r="N59" s="63"/>
      <c r="O59" s="63"/>
      <c r="P59" s="63"/>
    </row>
    <row r="60" spans="2:16">
      <c r="B60" s="570" t="s">
        <v>341</v>
      </c>
      <c r="C60" s="570"/>
      <c r="D60" s="570">
        <v>20</v>
      </c>
      <c r="E60" s="579">
        <v>-126</v>
      </c>
      <c r="F60" s="570">
        <v>45</v>
      </c>
      <c r="G60" s="570">
        <v>29</v>
      </c>
      <c r="H60" s="570">
        <v>66</v>
      </c>
    </row>
    <row r="61" spans="2:16">
      <c r="B61" s="570" t="s">
        <v>342</v>
      </c>
      <c r="C61" s="570"/>
      <c r="D61" s="570">
        <v>219</v>
      </c>
      <c r="E61" s="570">
        <v>318</v>
      </c>
      <c r="F61" s="570">
        <v>323</v>
      </c>
      <c r="G61" s="570">
        <v>407</v>
      </c>
      <c r="H61" s="570">
        <v>397</v>
      </c>
    </row>
    <row r="62" spans="2:16">
      <c r="B62" s="576" t="s">
        <v>343</v>
      </c>
      <c r="C62" s="576"/>
      <c r="D62" s="577">
        <v>2114</v>
      </c>
      <c r="E62" s="577">
        <v>2093</v>
      </c>
      <c r="F62" s="577">
        <v>2497</v>
      </c>
      <c r="G62" s="577">
        <v>2382</v>
      </c>
      <c r="H62" s="577">
        <v>1630</v>
      </c>
    </row>
    <row r="63" spans="2:16">
      <c r="B63" s="576" t="s">
        <v>344</v>
      </c>
      <c r="C63" s="576"/>
      <c r="D63" s="577">
        <v>2111</v>
      </c>
      <c r="E63" s="577">
        <v>2092</v>
      </c>
      <c r="F63" s="577">
        <v>2496</v>
      </c>
      <c r="G63" s="577">
        <v>2380</v>
      </c>
      <c r="H63" s="577">
        <v>1625</v>
      </c>
    </row>
    <row r="64" spans="2:16">
      <c r="B64" s="570" t="s">
        <v>84</v>
      </c>
      <c r="C64" s="570"/>
      <c r="D64" s="570">
        <v>4.6399999999999997</v>
      </c>
      <c r="E64" s="570">
        <v>4.71</v>
      </c>
      <c r="F64" s="570">
        <v>5.75</v>
      </c>
      <c r="G64" s="570">
        <v>5.68</v>
      </c>
      <c r="H64" s="570">
        <v>4.04</v>
      </c>
    </row>
    <row r="65" spans="2:8">
      <c r="B65" s="570" t="s">
        <v>85</v>
      </c>
      <c r="C65" s="570"/>
      <c r="D65" s="570">
        <v>4.62</v>
      </c>
      <c r="E65" s="570">
        <v>4.68</v>
      </c>
      <c r="F65" s="570">
        <v>5.71</v>
      </c>
      <c r="G65" s="570">
        <v>5.66</v>
      </c>
      <c r="H65" s="570">
        <v>4.0199999999999996</v>
      </c>
    </row>
  </sheetData>
  <pageMargins left="0.7" right="0.7" top="0.75" bottom="0.75" header="0.3" footer="0.3"/>
  <pageSetup scale="6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3FB4-E70A-4110-9D15-574CA9FBD1B8}">
  <sheetPr codeName="Sheet12">
    <tabColor theme="5" tint="0.59999389629810485"/>
    <pageSetUpPr fitToPage="1"/>
  </sheetPr>
  <dimension ref="B1:L66"/>
  <sheetViews>
    <sheetView zoomScale="85" zoomScaleNormal="85" workbookViewId="0">
      <selection activeCell="K1" sqref="K1"/>
    </sheetView>
  </sheetViews>
  <sheetFormatPr baseColWidth="10" defaultColWidth="9.5" defaultRowHeight="16"/>
  <cols>
    <col min="1" max="1" width="2.5" style="63" customWidth="1"/>
    <col min="2" max="2" width="38.1640625" style="63" bestFit="1" customWidth="1"/>
    <col min="3" max="3" width="2.5" style="63" customWidth="1"/>
    <col min="4" max="8" width="10.83203125" style="63" bestFit="1" customWidth="1"/>
    <col min="13" max="16384" width="9.5" style="63"/>
  </cols>
  <sheetData>
    <row r="1" spans="2:12">
      <c r="I1" s="63"/>
      <c r="J1" s="63"/>
      <c r="K1" s="63"/>
      <c r="L1" s="63"/>
    </row>
    <row r="2" spans="2:12">
      <c r="B2" t="s">
        <v>311</v>
      </c>
      <c r="C2" s="570"/>
      <c r="D2" s="570">
        <v>2016</v>
      </c>
      <c r="E2" s="570">
        <v>2017</v>
      </c>
      <c r="F2" s="570">
        <v>2018</v>
      </c>
      <c r="G2" s="570">
        <v>2019</v>
      </c>
      <c r="H2" s="570">
        <v>2020</v>
      </c>
      <c r="I2" s="63"/>
      <c r="J2" s="63"/>
      <c r="K2" s="63"/>
      <c r="L2" s="63"/>
    </row>
    <row r="3" spans="2:12">
      <c r="B3" t="s">
        <v>312</v>
      </c>
      <c r="C3" s="570"/>
      <c r="D3" s="571">
        <v>42735</v>
      </c>
      <c r="E3" s="571">
        <v>43100</v>
      </c>
      <c r="F3" s="571">
        <v>43465</v>
      </c>
      <c r="G3" s="571">
        <v>43830</v>
      </c>
      <c r="H3" s="571">
        <v>44196</v>
      </c>
      <c r="I3" s="63"/>
      <c r="J3" s="63"/>
      <c r="K3" s="63"/>
      <c r="L3" s="63"/>
    </row>
    <row r="4" spans="2:12">
      <c r="B4"/>
      <c r="C4" s="570"/>
      <c r="D4" s="573" t="s">
        <v>314</v>
      </c>
      <c r="E4"/>
      <c r="F4"/>
      <c r="G4"/>
      <c r="H4"/>
      <c r="I4" s="63"/>
      <c r="J4" s="63"/>
      <c r="K4" s="63"/>
      <c r="L4" s="63"/>
    </row>
    <row r="5" spans="2:12">
      <c r="B5"/>
      <c r="C5" s="570"/>
      <c r="D5" s="574">
        <v>43100</v>
      </c>
      <c r="E5"/>
      <c r="F5"/>
      <c r="G5"/>
      <c r="H5"/>
      <c r="I5" s="63"/>
      <c r="J5" s="63"/>
      <c r="K5" s="63"/>
      <c r="L5" s="63"/>
    </row>
    <row r="6" spans="2:12" ht="18">
      <c r="B6" s="575" t="s">
        <v>185</v>
      </c>
      <c r="C6"/>
      <c r="D6"/>
      <c r="E6"/>
      <c r="F6"/>
      <c r="G6"/>
      <c r="H6"/>
      <c r="I6" s="63"/>
      <c r="J6" s="63"/>
      <c r="K6" s="63"/>
      <c r="L6" s="63"/>
    </row>
    <row r="7" spans="2:12">
      <c r="B7" s="570" t="s">
        <v>345</v>
      </c>
      <c r="C7" s="570"/>
      <c r="D7" s="570">
        <v>543</v>
      </c>
      <c r="E7" s="570">
        <v>561</v>
      </c>
      <c r="F7" s="570">
        <v>283</v>
      </c>
      <c r="G7" s="570">
        <v>370</v>
      </c>
      <c r="H7" s="570">
        <v>438</v>
      </c>
      <c r="I7" s="63"/>
      <c r="J7" s="63"/>
      <c r="K7" s="63"/>
      <c r="L7" s="63"/>
    </row>
    <row r="8" spans="2:12">
      <c r="B8" s="570" t="s">
        <v>346</v>
      </c>
      <c r="C8" s="570"/>
      <c r="D8" s="570">
        <v>203</v>
      </c>
      <c r="E8" s="570">
        <v>534</v>
      </c>
      <c r="F8" s="570">
        <v>157</v>
      </c>
      <c r="G8" s="570">
        <v>221</v>
      </c>
      <c r="H8" s="570">
        <v>664</v>
      </c>
      <c r="I8" s="63"/>
      <c r="J8" s="63"/>
      <c r="K8" s="63"/>
      <c r="L8" s="63"/>
    </row>
    <row r="9" spans="2:12">
      <c r="B9" s="570" t="s">
        <v>89</v>
      </c>
      <c r="C9" s="570"/>
      <c r="D9" s="570">
        <v>746</v>
      </c>
      <c r="E9" s="578">
        <v>1095</v>
      </c>
      <c r="F9" s="570">
        <v>440</v>
      </c>
      <c r="G9" s="570">
        <v>591</v>
      </c>
      <c r="H9" s="578">
        <v>1102</v>
      </c>
      <c r="I9" s="63"/>
      <c r="J9" s="63"/>
      <c r="K9" s="63"/>
      <c r="L9" s="63"/>
    </row>
    <row r="10" spans="2:12">
      <c r="B10" s="570" t="s">
        <v>347</v>
      </c>
      <c r="C10" s="570"/>
      <c r="D10" s="578">
        <v>3610</v>
      </c>
      <c r="E10" s="578">
        <v>4000</v>
      </c>
      <c r="F10" s="578">
        <v>3913</v>
      </c>
      <c r="G10" s="578">
        <v>3486</v>
      </c>
      <c r="H10" s="578">
        <v>2952</v>
      </c>
      <c r="I10" s="63"/>
      <c r="J10" s="63"/>
      <c r="K10" s="63"/>
      <c r="L10" s="63"/>
    </row>
    <row r="11" spans="2:12">
      <c r="B11" s="570" t="s">
        <v>348</v>
      </c>
      <c r="C11" s="570"/>
      <c r="D11" s="579">
        <v>-50</v>
      </c>
      <c r="E11" s="579">
        <v>-57</v>
      </c>
      <c r="F11" s="579">
        <v>-55</v>
      </c>
      <c r="G11" s="579">
        <v>-49</v>
      </c>
      <c r="H11" s="579">
        <v>-48</v>
      </c>
      <c r="I11" s="63"/>
      <c r="J11" s="63"/>
      <c r="K11" s="63"/>
      <c r="L11" s="63"/>
    </row>
    <row r="12" spans="2:12">
      <c r="B12" s="570" t="s">
        <v>349</v>
      </c>
      <c r="C12" s="570"/>
      <c r="D12" s="578">
        <v>3560</v>
      </c>
      <c r="E12" s="578">
        <v>3943</v>
      </c>
      <c r="F12" s="578">
        <v>3858</v>
      </c>
      <c r="G12" s="578">
        <v>3437</v>
      </c>
      <c r="H12" s="578">
        <v>2904</v>
      </c>
      <c r="I12" s="63"/>
      <c r="J12" s="63"/>
      <c r="K12" s="63"/>
      <c r="L12" s="63"/>
    </row>
    <row r="13" spans="2:12">
      <c r="B13" s="570" t="s">
        <v>90</v>
      </c>
      <c r="C13" s="570"/>
      <c r="D13" s="578">
        <v>3560</v>
      </c>
      <c r="E13" s="578">
        <v>3943</v>
      </c>
      <c r="F13" s="578">
        <v>3858</v>
      </c>
      <c r="G13" s="578">
        <v>3437</v>
      </c>
      <c r="H13" s="578">
        <v>2904</v>
      </c>
      <c r="I13" s="63"/>
      <c r="J13" s="63"/>
      <c r="K13" s="63"/>
      <c r="L13" s="63"/>
    </row>
    <row r="14" spans="2:12">
      <c r="B14" s="570" t="s">
        <v>350</v>
      </c>
      <c r="C14" s="570"/>
      <c r="D14" s="578">
        <v>1072</v>
      </c>
      <c r="E14" s="578">
        <v>1196</v>
      </c>
      <c r="F14" s="578">
        <v>1208</v>
      </c>
      <c r="G14" s="578">
        <v>1179</v>
      </c>
      <c r="H14" s="570">
        <v>808</v>
      </c>
      <c r="I14" s="63"/>
      <c r="J14" s="63"/>
      <c r="K14" s="63"/>
      <c r="L14" s="63"/>
    </row>
    <row r="15" spans="2:12">
      <c r="B15" s="570" t="s">
        <v>351</v>
      </c>
      <c r="C15" s="570"/>
      <c r="D15" s="570">
        <v>395</v>
      </c>
      <c r="E15" s="570">
        <v>471</v>
      </c>
      <c r="F15" s="570">
        <v>500</v>
      </c>
      <c r="G15" s="570">
        <v>640</v>
      </c>
      <c r="H15" s="570">
        <v>498</v>
      </c>
      <c r="I15" s="63"/>
      <c r="J15" s="63"/>
      <c r="K15" s="63"/>
      <c r="L15" s="63"/>
    </row>
    <row r="16" spans="2:12">
      <c r="B16" s="570" t="s">
        <v>352</v>
      </c>
      <c r="C16" s="570"/>
      <c r="D16" s="570">
        <v>879</v>
      </c>
      <c r="E16" s="570">
        <v>953</v>
      </c>
      <c r="F16" s="578">
        <v>1077</v>
      </c>
      <c r="G16" s="570">
        <v>986</v>
      </c>
      <c r="H16" s="570">
        <v>803</v>
      </c>
      <c r="I16" s="63"/>
      <c r="J16" s="63"/>
      <c r="K16" s="63"/>
      <c r="L16" s="63"/>
    </row>
    <row r="17" spans="2:12">
      <c r="B17" s="570" t="s">
        <v>91</v>
      </c>
      <c r="C17" s="570"/>
      <c r="D17" s="578">
        <v>2346</v>
      </c>
      <c r="E17" s="578">
        <v>2620</v>
      </c>
      <c r="F17" s="578">
        <v>2785</v>
      </c>
      <c r="G17" s="578">
        <v>2805</v>
      </c>
      <c r="H17" s="578">
        <v>2109</v>
      </c>
      <c r="I17" s="63"/>
      <c r="J17" s="63"/>
      <c r="K17" s="63"/>
      <c r="L17" s="63"/>
    </row>
    <row r="18" spans="2:12">
      <c r="B18" s="570" t="s">
        <v>92</v>
      </c>
      <c r="C18" s="570"/>
      <c r="D18" s="570">
        <v>336</v>
      </c>
      <c r="E18" s="570">
        <v>631</v>
      </c>
      <c r="F18" s="570">
        <v>448</v>
      </c>
      <c r="G18" s="570">
        <v>456</v>
      </c>
      <c r="H18" s="570">
        <v>576</v>
      </c>
      <c r="I18" s="63"/>
      <c r="J18" s="63"/>
      <c r="K18" s="63"/>
      <c r="L18" s="63"/>
    </row>
    <row r="19" spans="2:12">
      <c r="B19" s="570" t="s">
        <v>353</v>
      </c>
      <c r="C19" s="570"/>
      <c r="D19" s="570">
        <v>0</v>
      </c>
      <c r="E19" s="570">
        <v>0</v>
      </c>
      <c r="F19" s="570">
        <v>0</v>
      </c>
      <c r="G19" s="578">
        <v>1377</v>
      </c>
      <c r="H19" s="578">
        <v>2487</v>
      </c>
      <c r="I19" s="63"/>
      <c r="J19" s="63"/>
      <c r="K19" s="63"/>
      <c r="L19" s="63"/>
    </row>
    <row r="20" spans="2:12">
      <c r="B20" s="570" t="s">
        <v>94</v>
      </c>
      <c r="C20" s="570"/>
      <c r="D20" s="570">
        <v>45</v>
      </c>
      <c r="E20" s="570">
        <v>48</v>
      </c>
      <c r="F20" s="570">
        <v>59</v>
      </c>
      <c r="G20" s="570">
        <v>62</v>
      </c>
      <c r="H20" s="570">
        <v>0</v>
      </c>
      <c r="I20" s="63"/>
      <c r="J20" s="63"/>
      <c r="K20" s="63"/>
      <c r="L20" s="63"/>
    </row>
    <row r="21" spans="2:12">
      <c r="B21" s="570" t="s">
        <v>354</v>
      </c>
      <c r="C21" s="570"/>
      <c r="D21" s="570">
        <v>45</v>
      </c>
      <c r="E21" s="570">
        <v>48</v>
      </c>
      <c r="F21" s="570">
        <v>59</v>
      </c>
      <c r="G21" s="578">
        <v>1439</v>
      </c>
      <c r="H21" s="578">
        <v>2487</v>
      </c>
      <c r="I21" s="63"/>
      <c r="J21" s="63"/>
      <c r="K21" s="63"/>
      <c r="L21" s="63"/>
    </row>
    <row r="22" spans="2:12">
      <c r="B22" s="576" t="s">
        <v>95</v>
      </c>
      <c r="C22" s="576"/>
      <c r="D22" s="577">
        <v>7033</v>
      </c>
      <c r="E22" s="577">
        <v>8337</v>
      </c>
      <c r="F22" s="577">
        <v>7590</v>
      </c>
      <c r="G22" s="577">
        <v>8728</v>
      </c>
      <c r="H22" s="577">
        <v>9178</v>
      </c>
      <c r="I22" s="63"/>
      <c r="J22" s="63"/>
      <c r="K22" s="63"/>
      <c r="L22" s="63"/>
    </row>
    <row r="23" spans="2:12">
      <c r="B23" s="570" t="s">
        <v>355</v>
      </c>
      <c r="C23" s="570"/>
      <c r="D23" s="578">
        <v>2369</v>
      </c>
      <c r="E23" s="578">
        <v>2491</v>
      </c>
      <c r="F23" s="578">
        <v>2466</v>
      </c>
      <c r="G23" s="578">
        <v>2416</v>
      </c>
      <c r="H23" s="578">
        <v>2168</v>
      </c>
      <c r="I23" s="63"/>
      <c r="J23" s="63"/>
      <c r="K23" s="63"/>
      <c r="L23" s="63"/>
    </row>
    <row r="24" spans="2:12">
      <c r="B24" s="570" t="s">
        <v>356</v>
      </c>
      <c r="C24" s="570"/>
      <c r="D24" s="578">
        <v>5670</v>
      </c>
      <c r="E24" s="578">
        <v>6014</v>
      </c>
      <c r="F24" s="578">
        <v>6106</v>
      </c>
      <c r="G24" s="578">
        <v>6248</v>
      </c>
      <c r="H24" s="578">
        <v>5366</v>
      </c>
      <c r="I24" s="63"/>
      <c r="J24" s="63"/>
      <c r="K24" s="63"/>
      <c r="L24" s="63"/>
    </row>
    <row r="25" spans="2:12">
      <c r="B25" s="570" t="s">
        <v>357</v>
      </c>
      <c r="C25" s="570"/>
      <c r="D25" s="570">
        <v>0</v>
      </c>
      <c r="E25" s="570">
        <v>0</v>
      </c>
      <c r="F25" s="570">
        <v>0</v>
      </c>
      <c r="G25" s="570">
        <v>478</v>
      </c>
      <c r="H25" s="570">
        <v>482</v>
      </c>
      <c r="I25" s="63"/>
      <c r="J25" s="63"/>
      <c r="K25" s="63"/>
      <c r="L25" s="63"/>
    </row>
    <row r="26" spans="2:12">
      <c r="B26" s="570" t="s">
        <v>358</v>
      </c>
      <c r="C26" s="570"/>
      <c r="D26" s="578">
        <v>8039</v>
      </c>
      <c r="E26" s="578">
        <v>8505</v>
      </c>
      <c r="F26" s="578">
        <v>8572</v>
      </c>
      <c r="G26" s="578">
        <v>9142</v>
      </c>
      <c r="H26" s="578">
        <v>8016</v>
      </c>
      <c r="I26" s="63"/>
      <c r="J26" s="63"/>
      <c r="K26" s="63"/>
      <c r="L26" s="63"/>
    </row>
    <row r="27" spans="2:12">
      <c r="B27" s="570" t="s">
        <v>96</v>
      </c>
      <c r="C27" s="570"/>
      <c r="D27" s="580">
        <v>-4596</v>
      </c>
      <c r="E27" s="580">
        <v>-5003</v>
      </c>
      <c r="F27" s="580">
        <v>-5105</v>
      </c>
      <c r="G27" s="580">
        <v>-5210</v>
      </c>
      <c r="H27" s="580">
        <v>-4624</v>
      </c>
      <c r="I27" s="63"/>
      <c r="J27" s="63"/>
      <c r="K27" s="63"/>
      <c r="L27" s="63"/>
    </row>
    <row r="28" spans="2:12">
      <c r="B28" s="570" t="s">
        <v>97</v>
      </c>
      <c r="C28" s="570"/>
      <c r="D28" s="578">
        <v>3443</v>
      </c>
      <c r="E28" s="578">
        <v>3502</v>
      </c>
      <c r="F28" s="578">
        <v>3467</v>
      </c>
      <c r="G28" s="578">
        <v>3932</v>
      </c>
      <c r="H28" s="578">
        <v>3392</v>
      </c>
      <c r="I28" s="63"/>
      <c r="J28" s="63"/>
      <c r="K28" s="63"/>
      <c r="L28" s="63"/>
    </row>
    <row r="29" spans="2:12">
      <c r="B29" s="570" t="s">
        <v>98</v>
      </c>
      <c r="C29" s="570"/>
      <c r="D29" s="578">
        <v>13201</v>
      </c>
      <c r="E29" s="578">
        <v>13568</v>
      </c>
      <c r="F29" s="578">
        <v>13328</v>
      </c>
      <c r="G29" s="578">
        <v>13456</v>
      </c>
      <c r="H29" s="578">
        <v>12903</v>
      </c>
      <c r="I29" s="63"/>
      <c r="J29" s="63"/>
      <c r="K29" s="63"/>
      <c r="L29" s="63"/>
    </row>
    <row r="30" spans="2:12">
      <c r="B30" s="570" t="s">
        <v>99</v>
      </c>
      <c r="C30" s="570"/>
      <c r="D30" s="578">
        <v>7636</v>
      </c>
      <c r="E30" s="578">
        <v>7871</v>
      </c>
      <c r="F30" s="578">
        <v>7542</v>
      </c>
      <c r="G30" s="578">
        <v>7467</v>
      </c>
      <c r="H30" s="578">
        <v>7286</v>
      </c>
      <c r="I30" s="63"/>
      <c r="J30" s="63"/>
      <c r="K30" s="63"/>
      <c r="L30" s="63"/>
    </row>
    <row r="31" spans="2:12">
      <c r="B31" s="570" t="s">
        <v>100</v>
      </c>
      <c r="C31" s="570"/>
      <c r="D31" s="580">
        <v>-2122</v>
      </c>
      <c r="E31" s="580">
        <v>-2606</v>
      </c>
      <c r="F31" s="580">
        <v>-2696</v>
      </c>
      <c r="G31" s="580">
        <v>-2829</v>
      </c>
      <c r="H31" s="580">
        <v>-3111</v>
      </c>
      <c r="I31" s="63"/>
      <c r="J31" s="63"/>
      <c r="K31" s="63"/>
      <c r="L31" s="63"/>
    </row>
    <row r="32" spans="2:12">
      <c r="B32" s="570" t="s">
        <v>359</v>
      </c>
      <c r="C32" s="570"/>
      <c r="D32" s="578">
        <v>5514</v>
      </c>
      <c r="E32" s="578">
        <v>5265</v>
      </c>
      <c r="F32" s="578">
        <v>4846</v>
      </c>
      <c r="G32" s="578">
        <v>4638</v>
      </c>
      <c r="H32" s="578">
        <v>4175</v>
      </c>
      <c r="I32" s="63"/>
      <c r="J32" s="63"/>
      <c r="K32" s="63"/>
      <c r="L32" s="63"/>
    </row>
    <row r="33" spans="2:12">
      <c r="B33" s="570" t="s">
        <v>102</v>
      </c>
      <c r="C33" s="570"/>
      <c r="D33" s="570">
        <v>325</v>
      </c>
      <c r="E33" s="570">
        <v>253</v>
      </c>
      <c r="F33" s="570">
        <v>293</v>
      </c>
      <c r="G33" s="570">
        <v>372</v>
      </c>
      <c r="H33" s="570">
        <v>426</v>
      </c>
      <c r="I33" s="63"/>
      <c r="J33" s="63"/>
      <c r="K33" s="63"/>
      <c r="L33" s="63"/>
    </row>
    <row r="34" spans="2:12">
      <c r="B34" s="570" t="s">
        <v>103</v>
      </c>
      <c r="C34" s="570"/>
      <c r="D34" s="570">
        <v>960</v>
      </c>
      <c r="E34" s="578">
        <v>1698</v>
      </c>
      <c r="F34" s="578">
        <v>1568</v>
      </c>
      <c r="G34" s="578">
        <v>1679</v>
      </c>
      <c r="H34" s="578">
        <v>1750</v>
      </c>
      <c r="I34" s="63"/>
      <c r="J34" s="63"/>
      <c r="K34" s="63"/>
      <c r="L34" s="63"/>
    </row>
    <row r="35" spans="2:12">
      <c r="B35" s="576" t="s">
        <v>104</v>
      </c>
      <c r="C35" s="576"/>
      <c r="D35" s="577">
        <v>30476</v>
      </c>
      <c r="E35" s="577">
        <v>32623</v>
      </c>
      <c r="F35" s="577">
        <v>31092</v>
      </c>
      <c r="G35" s="577">
        <v>32805</v>
      </c>
      <c r="H35" s="577">
        <v>31824</v>
      </c>
      <c r="I35" s="63"/>
      <c r="J35" s="63"/>
      <c r="K35" s="63"/>
      <c r="L35" s="63"/>
    </row>
    <row r="36" spans="2:12" ht="18">
      <c r="B36" s="575" t="s">
        <v>360</v>
      </c>
      <c r="C36"/>
      <c r="D36"/>
      <c r="E36"/>
      <c r="F36"/>
      <c r="G36"/>
      <c r="H36"/>
      <c r="I36" s="63"/>
      <c r="J36" s="63"/>
      <c r="K36" s="63"/>
      <c r="L36" s="63"/>
    </row>
    <row r="37" spans="2:12">
      <c r="B37" s="570" t="s">
        <v>106</v>
      </c>
      <c r="C37" s="570"/>
      <c r="D37" s="578">
        <v>1718</v>
      </c>
      <c r="E37" s="578">
        <v>2166</v>
      </c>
      <c r="F37" s="578">
        <v>2130</v>
      </c>
      <c r="G37" s="578">
        <v>2114</v>
      </c>
      <c r="H37" s="578">
        <v>1987</v>
      </c>
      <c r="I37" s="63"/>
      <c r="J37" s="63"/>
      <c r="K37" s="63"/>
      <c r="L37" s="63"/>
    </row>
    <row r="38" spans="2:12">
      <c r="B38" s="570" t="s">
        <v>107</v>
      </c>
      <c r="C38" s="570"/>
      <c r="D38" s="570">
        <v>379</v>
      </c>
      <c r="E38" s="570">
        <v>453</v>
      </c>
      <c r="F38" s="570">
        <v>457</v>
      </c>
      <c r="G38" s="570">
        <v>570</v>
      </c>
      <c r="H38" s="570">
        <v>467</v>
      </c>
      <c r="I38" s="63"/>
      <c r="J38" s="63"/>
      <c r="K38" s="63"/>
      <c r="L38" s="63"/>
    </row>
    <row r="39" spans="2:12">
      <c r="B39" s="570" t="s">
        <v>108</v>
      </c>
      <c r="C39" s="570"/>
      <c r="D39" s="570">
        <v>14</v>
      </c>
      <c r="E39" s="570">
        <v>6</v>
      </c>
      <c r="F39" s="570">
        <v>414</v>
      </c>
      <c r="G39" s="570">
        <v>255</v>
      </c>
      <c r="H39" s="570">
        <v>1</v>
      </c>
      <c r="I39" s="63"/>
      <c r="J39" s="63"/>
      <c r="K39" s="63"/>
      <c r="L39" s="63"/>
    </row>
    <row r="40" spans="2:12">
      <c r="B40" s="570" t="s">
        <v>109</v>
      </c>
      <c r="C40" s="570"/>
      <c r="D40" s="578">
        <v>1552</v>
      </c>
      <c r="E40" s="570">
        <v>578</v>
      </c>
      <c r="F40" s="570">
        <v>339</v>
      </c>
      <c r="G40" s="570">
        <v>248</v>
      </c>
      <c r="H40" s="578">
        <v>1047</v>
      </c>
      <c r="I40" s="63"/>
      <c r="J40" s="63"/>
      <c r="K40" s="63"/>
      <c r="L40" s="63"/>
    </row>
    <row r="41" spans="2:12">
      <c r="B41" s="570" t="s">
        <v>93</v>
      </c>
      <c r="C41" s="570"/>
      <c r="D41" s="570">
        <v>0</v>
      </c>
      <c r="E41" s="570">
        <v>0</v>
      </c>
      <c r="F41" s="570">
        <v>0</v>
      </c>
      <c r="G41" s="570">
        <v>325</v>
      </c>
      <c r="H41" s="570">
        <v>468</v>
      </c>
      <c r="I41" s="63"/>
      <c r="J41" s="63"/>
      <c r="K41" s="63"/>
      <c r="L41" s="63"/>
    </row>
    <row r="42" spans="2:12">
      <c r="B42" s="570" t="s">
        <v>361</v>
      </c>
      <c r="C42" s="570"/>
      <c r="D42" s="578">
        <v>1822</v>
      </c>
      <c r="E42" s="578">
        <v>1872</v>
      </c>
      <c r="F42" s="578">
        <v>1814</v>
      </c>
      <c r="G42" s="578">
        <v>1620</v>
      </c>
      <c r="H42" s="578">
        <v>1911</v>
      </c>
      <c r="I42" s="63"/>
      <c r="J42" s="63"/>
      <c r="K42" s="63"/>
      <c r="L42" s="63"/>
    </row>
    <row r="43" spans="2:12">
      <c r="B43" s="570" t="s">
        <v>110</v>
      </c>
      <c r="C43" s="570"/>
      <c r="D43" s="578">
        <v>1822</v>
      </c>
      <c r="E43" s="578">
        <v>1872</v>
      </c>
      <c r="F43" s="578">
        <v>1814</v>
      </c>
      <c r="G43" s="578">
        <v>1945</v>
      </c>
      <c r="H43" s="578">
        <v>2379</v>
      </c>
      <c r="I43" s="63"/>
      <c r="J43" s="63"/>
      <c r="K43" s="63"/>
      <c r="L43" s="63"/>
    </row>
    <row r="44" spans="2:12">
      <c r="B44" s="576" t="s">
        <v>111</v>
      </c>
      <c r="C44" s="576"/>
      <c r="D44" s="577">
        <v>5485</v>
      </c>
      <c r="E44" s="577">
        <v>5075</v>
      </c>
      <c r="F44" s="577">
        <v>5154</v>
      </c>
      <c r="G44" s="577">
        <v>5132</v>
      </c>
      <c r="H44" s="577">
        <v>5881</v>
      </c>
      <c r="I44" s="63"/>
      <c r="J44" s="63"/>
      <c r="K44" s="63"/>
      <c r="L44" s="63"/>
    </row>
    <row r="45" spans="2:12">
      <c r="B45" s="570" t="s">
        <v>362</v>
      </c>
      <c r="C45" s="570"/>
      <c r="D45" s="570">
        <v>0</v>
      </c>
      <c r="E45" s="570">
        <v>0</v>
      </c>
      <c r="F45" s="570">
        <v>0</v>
      </c>
      <c r="G45" s="570">
        <v>21</v>
      </c>
      <c r="H45" s="570">
        <v>30</v>
      </c>
      <c r="I45" s="63"/>
      <c r="J45" s="63"/>
      <c r="K45" s="63"/>
      <c r="L45" s="63"/>
    </row>
    <row r="46" spans="2:12">
      <c r="B46" s="570" t="s">
        <v>112</v>
      </c>
      <c r="C46" s="570"/>
      <c r="D46" s="578">
        <v>6711</v>
      </c>
      <c r="E46" s="578">
        <v>7167</v>
      </c>
      <c r="F46" s="578">
        <v>6768</v>
      </c>
      <c r="G46" s="578">
        <v>7819</v>
      </c>
      <c r="H46" s="578">
        <v>7010</v>
      </c>
      <c r="I46" s="63"/>
      <c r="J46" s="63"/>
      <c r="K46" s="63"/>
      <c r="L46" s="63"/>
    </row>
    <row r="47" spans="2:12">
      <c r="B47" s="576" t="s">
        <v>113</v>
      </c>
      <c r="C47" s="576"/>
      <c r="D47" s="577">
        <v>8277</v>
      </c>
      <c r="E47" s="577">
        <v>7751</v>
      </c>
      <c r="F47" s="577">
        <v>7521</v>
      </c>
      <c r="G47" s="577">
        <v>8322</v>
      </c>
      <c r="H47" s="577">
        <v>8058</v>
      </c>
      <c r="I47" s="63"/>
      <c r="J47" s="63"/>
      <c r="K47" s="63"/>
      <c r="L47" s="63"/>
    </row>
    <row r="48" spans="2:12">
      <c r="B48" s="570" t="s">
        <v>363</v>
      </c>
      <c r="C48" s="570"/>
      <c r="D48" s="570">
        <v>321</v>
      </c>
      <c r="E48" s="570">
        <v>538</v>
      </c>
      <c r="F48" s="570">
        <v>349</v>
      </c>
      <c r="G48" s="570">
        <v>396</v>
      </c>
      <c r="H48" s="570">
        <v>277</v>
      </c>
      <c r="I48" s="63"/>
      <c r="J48" s="63"/>
      <c r="K48" s="63"/>
      <c r="L48" s="63"/>
    </row>
    <row r="49" spans="2:12">
      <c r="B49" s="570" t="s">
        <v>115</v>
      </c>
      <c r="C49" s="570"/>
      <c r="D49" s="570">
        <v>44</v>
      </c>
      <c r="E49" s="570">
        <v>37</v>
      </c>
      <c r="F49" s="570">
        <v>35</v>
      </c>
      <c r="G49" s="570">
        <v>51</v>
      </c>
      <c r="H49" s="570">
        <v>43</v>
      </c>
      <c r="I49" s="63"/>
      <c r="J49" s="63"/>
      <c r="K49" s="63"/>
      <c r="L49" s="63"/>
    </row>
    <row r="50" spans="2:12">
      <c r="B50" s="570" t="s">
        <v>364</v>
      </c>
      <c r="C50" s="570"/>
      <c r="D50" s="578">
        <v>2027</v>
      </c>
      <c r="E50" s="578">
        <v>1588</v>
      </c>
      <c r="F50" s="578">
        <v>1625</v>
      </c>
      <c r="G50" s="578">
        <v>1790</v>
      </c>
      <c r="H50" s="578">
        <v>1918</v>
      </c>
      <c r="I50" s="63"/>
      <c r="J50" s="63"/>
      <c r="K50" s="63"/>
      <c r="L50" s="63"/>
    </row>
    <row r="51" spans="2:12">
      <c r="B51" s="570" t="s">
        <v>114</v>
      </c>
      <c r="C51" s="570"/>
      <c r="D51" s="570">
        <v>934</v>
      </c>
      <c r="E51" s="570">
        <v>965</v>
      </c>
      <c r="F51" s="578">
        <v>1054</v>
      </c>
      <c r="G51" s="578">
        <v>1535</v>
      </c>
      <c r="H51" s="578">
        <v>1765</v>
      </c>
      <c r="I51" s="63"/>
      <c r="J51" s="63"/>
      <c r="K51" s="63"/>
      <c r="L51" s="63"/>
    </row>
    <row r="52" spans="2:12">
      <c r="B52" s="570" t="s">
        <v>116</v>
      </c>
      <c r="C52" s="570"/>
      <c r="D52" s="578">
        <v>2961</v>
      </c>
      <c r="E52" s="578">
        <v>2553</v>
      </c>
      <c r="F52" s="578">
        <v>2679</v>
      </c>
      <c r="G52" s="578">
        <v>3325</v>
      </c>
      <c r="H52" s="578">
        <v>3683</v>
      </c>
      <c r="I52" s="63"/>
      <c r="J52" s="63"/>
      <c r="K52" s="63"/>
      <c r="L52" s="63"/>
    </row>
    <row r="53" spans="2:12">
      <c r="B53" s="576" t="s">
        <v>117</v>
      </c>
      <c r="C53" s="576"/>
      <c r="D53" s="577">
        <v>15522</v>
      </c>
      <c r="E53" s="577">
        <v>15370</v>
      </c>
      <c r="F53" s="577">
        <v>14985</v>
      </c>
      <c r="G53" s="577">
        <v>16723</v>
      </c>
      <c r="H53" s="577">
        <v>16894</v>
      </c>
      <c r="I53" s="63"/>
      <c r="J53" s="63"/>
      <c r="K53" s="63"/>
      <c r="L53" s="63"/>
    </row>
    <row r="54" spans="2:12" ht="18">
      <c r="B54" s="575" t="s">
        <v>365</v>
      </c>
      <c r="C54"/>
      <c r="D54"/>
      <c r="E54"/>
      <c r="F54"/>
      <c r="G54"/>
      <c r="H54"/>
      <c r="I54" s="63"/>
      <c r="J54" s="63"/>
      <c r="K54" s="63"/>
      <c r="L54" s="63"/>
    </row>
    <row r="55" spans="2:12">
      <c r="B55" s="570" t="s">
        <v>120</v>
      </c>
      <c r="C55" s="570"/>
      <c r="D55" s="570">
        <v>5</v>
      </c>
      <c r="E55" s="570">
        <v>4</v>
      </c>
      <c r="F55" s="570">
        <v>4</v>
      </c>
      <c r="G55" s="570">
        <v>4</v>
      </c>
      <c r="H55" s="570">
        <v>4</v>
      </c>
      <c r="I55" s="63"/>
      <c r="J55" s="63"/>
      <c r="K55" s="63"/>
      <c r="L55" s="63"/>
    </row>
    <row r="56" spans="2:12">
      <c r="B56" s="570" t="s">
        <v>366</v>
      </c>
      <c r="C56" s="570"/>
      <c r="D56" s="578">
        <v>11845</v>
      </c>
      <c r="E56" s="578">
        <v>11987</v>
      </c>
      <c r="F56" s="578">
        <v>12090</v>
      </c>
      <c r="G56" s="578">
        <v>12200</v>
      </c>
      <c r="H56" s="578">
        <v>12329</v>
      </c>
      <c r="I56" s="63"/>
      <c r="J56" s="63"/>
      <c r="K56" s="63"/>
      <c r="L56" s="63"/>
    </row>
    <row r="57" spans="2:12">
      <c r="B57" s="570" t="s">
        <v>121</v>
      </c>
      <c r="C57" s="570"/>
      <c r="D57" s="578">
        <v>7555</v>
      </c>
      <c r="E57" s="578">
        <v>8669</v>
      </c>
      <c r="F57" s="578">
        <v>8161</v>
      </c>
      <c r="G57" s="578">
        <v>8170</v>
      </c>
      <c r="H57" s="578">
        <v>6794</v>
      </c>
      <c r="I57" s="63"/>
      <c r="J57" s="63"/>
      <c r="K57" s="63"/>
      <c r="L57" s="63"/>
    </row>
    <row r="58" spans="2:12">
      <c r="B58" s="570" t="s">
        <v>367</v>
      </c>
      <c r="C58" s="570"/>
      <c r="D58" s="580">
        <v>-3062</v>
      </c>
      <c r="E58" s="580">
        <v>-2255</v>
      </c>
      <c r="F58" s="580">
        <v>-2864</v>
      </c>
      <c r="G58" s="580">
        <v>-2848</v>
      </c>
      <c r="H58" s="580">
        <v>-2647</v>
      </c>
      <c r="I58" s="63"/>
      <c r="J58" s="63"/>
      <c r="K58" s="63"/>
      <c r="L58" s="63"/>
    </row>
    <row r="59" spans="2:12">
      <c r="B59" s="570" t="s">
        <v>123</v>
      </c>
      <c r="C59" s="570"/>
      <c r="D59" s="579">
        <v>-3</v>
      </c>
      <c r="E59" s="579">
        <v>-3</v>
      </c>
      <c r="F59" s="579">
        <v>-3</v>
      </c>
      <c r="G59" s="579">
        <v>-2</v>
      </c>
      <c r="H59" s="579">
        <v>-2</v>
      </c>
      <c r="I59" s="63"/>
      <c r="J59" s="63"/>
      <c r="K59" s="63"/>
      <c r="L59" s="63"/>
    </row>
    <row r="60" spans="2:12">
      <c r="B60" s="570" t="s">
        <v>124</v>
      </c>
      <c r="C60" s="570"/>
      <c r="D60" s="580">
        <v>-1380</v>
      </c>
      <c r="E60" s="580">
        <v>-1139</v>
      </c>
      <c r="F60" s="580">
        <v>-1278</v>
      </c>
      <c r="G60" s="580">
        <v>-1408</v>
      </c>
      <c r="H60" s="580">
        <v>-1481</v>
      </c>
    </row>
    <row r="61" spans="2:12">
      <c r="B61" s="570" t="s">
        <v>368</v>
      </c>
      <c r="C61" s="570"/>
      <c r="D61" s="579">
        <v>-6</v>
      </c>
      <c r="E61" s="579">
        <v>-10</v>
      </c>
      <c r="F61" s="579">
        <v>-3</v>
      </c>
      <c r="G61" s="579">
        <v>-34</v>
      </c>
      <c r="H61" s="579">
        <v>-67</v>
      </c>
    </row>
    <row r="62" spans="2:12">
      <c r="B62" s="570" t="s">
        <v>125</v>
      </c>
      <c r="C62" s="570"/>
      <c r="D62" s="580">
        <v>-4451</v>
      </c>
      <c r="E62" s="580">
        <v>-3407</v>
      </c>
      <c r="F62" s="580">
        <v>-4148</v>
      </c>
      <c r="G62" s="580">
        <v>-4292</v>
      </c>
      <c r="H62" s="580">
        <v>-4197</v>
      </c>
    </row>
    <row r="63" spans="2:12">
      <c r="B63" s="576" t="s">
        <v>126</v>
      </c>
      <c r="C63" s="576"/>
      <c r="D63" s="577">
        <v>14954</v>
      </c>
      <c r="E63" s="577">
        <v>17253</v>
      </c>
      <c r="F63" s="577">
        <v>16107</v>
      </c>
      <c r="G63" s="577">
        <v>16082</v>
      </c>
      <c r="H63" s="577">
        <v>14930</v>
      </c>
    </row>
    <row r="64" spans="2:12">
      <c r="B64" s="576" t="s">
        <v>127</v>
      </c>
      <c r="C64" s="576"/>
      <c r="D64" s="577">
        <v>30476</v>
      </c>
      <c r="E64" s="577">
        <v>32623</v>
      </c>
      <c r="F64" s="577">
        <v>31092</v>
      </c>
      <c r="G64" s="577">
        <v>32805</v>
      </c>
      <c r="H64" s="577">
        <v>31824</v>
      </c>
    </row>
    <row r="65" spans="2:8">
      <c r="B65" s="570" t="s">
        <v>130</v>
      </c>
      <c r="C65" s="570"/>
      <c r="D65" s="570">
        <v>449</v>
      </c>
      <c r="E65" s="570">
        <v>440</v>
      </c>
      <c r="F65" s="570">
        <v>424</v>
      </c>
      <c r="G65" s="570">
        <v>413</v>
      </c>
      <c r="H65" s="570">
        <v>398</v>
      </c>
    </row>
    <row r="66" spans="2:8">
      <c r="B66" s="570" t="s">
        <v>369</v>
      </c>
      <c r="C66" s="570"/>
      <c r="D66" s="570">
        <v>0</v>
      </c>
      <c r="E66" s="570">
        <v>0</v>
      </c>
      <c r="F66" s="570">
        <v>0</v>
      </c>
      <c r="G66" s="570">
        <v>0</v>
      </c>
      <c r="H66" s="570">
        <v>0</v>
      </c>
    </row>
  </sheetData>
  <pageMargins left="0.7" right="0.7" top="0.75" bottom="0.75" header="0.3" footer="0.3"/>
  <pageSetup scale="6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6A76-B4CB-4023-86D7-B349E97233D1}">
  <sheetPr codeName="Sheet13">
    <tabColor theme="5" tint="0.59999389629810485"/>
    <pageSetUpPr fitToPage="1"/>
  </sheetPr>
  <dimension ref="B2:H60"/>
  <sheetViews>
    <sheetView zoomScale="85" zoomScaleNormal="85" workbookViewId="0">
      <selection activeCell="L16" sqref="L16"/>
    </sheetView>
  </sheetViews>
  <sheetFormatPr baseColWidth="10" defaultColWidth="9.5" defaultRowHeight="16"/>
  <cols>
    <col min="1" max="1" width="2.5" style="63" customWidth="1"/>
    <col min="2" max="2" width="38.1640625" style="63" bestFit="1" customWidth="1"/>
    <col min="3" max="3" width="2.5" style="63" customWidth="1"/>
    <col min="4" max="8" width="10.83203125" style="63" bestFit="1" customWidth="1"/>
    <col min="9" max="16384" width="9.5" style="63"/>
  </cols>
  <sheetData>
    <row r="2" spans="2:8">
      <c r="B2" t="s">
        <v>311</v>
      </c>
      <c r="C2" s="570"/>
      <c r="D2" s="570">
        <v>2016</v>
      </c>
      <c r="E2" s="570">
        <v>2017</v>
      </c>
      <c r="F2" s="570">
        <v>2018</v>
      </c>
      <c r="G2" s="570">
        <v>2019</v>
      </c>
      <c r="H2" s="570">
        <v>2020</v>
      </c>
    </row>
    <row r="3" spans="2:8">
      <c r="B3" t="s">
        <v>312</v>
      </c>
      <c r="C3" s="570"/>
      <c r="D3" s="571">
        <v>42735</v>
      </c>
      <c r="E3" s="571">
        <v>43100</v>
      </c>
      <c r="F3" s="571">
        <v>43465</v>
      </c>
      <c r="G3" s="571">
        <v>43830</v>
      </c>
      <c r="H3" s="571">
        <v>44196</v>
      </c>
    </row>
    <row r="4" spans="2:8">
      <c r="B4"/>
      <c r="C4" s="570"/>
      <c r="D4" s="572" t="s">
        <v>313</v>
      </c>
      <c r="E4" s="572" t="s">
        <v>313</v>
      </c>
      <c r="F4" s="572" t="s">
        <v>313</v>
      </c>
      <c r="G4" s="572" t="s">
        <v>313</v>
      </c>
      <c r="H4" s="572" t="s">
        <v>313</v>
      </c>
    </row>
    <row r="5" spans="2:8">
      <c r="B5"/>
      <c r="C5" s="570"/>
      <c r="D5" s="573" t="s">
        <v>370</v>
      </c>
      <c r="E5"/>
      <c r="F5"/>
      <c r="G5"/>
      <c r="H5"/>
    </row>
    <row r="6" spans="2:8">
      <c r="B6"/>
      <c r="C6" s="570"/>
      <c r="D6" s="574">
        <v>43100</v>
      </c>
      <c r="E6"/>
      <c r="F6"/>
      <c r="G6"/>
      <c r="H6"/>
    </row>
    <row r="7" spans="2:8" ht="18">
      <c r="B7" s="575" t="s">
        <v>371</v>
      </c>
      <c r="C7"/>
      <c r="D7"/>
      <c r="E7"/>
      <c r="F7"/>
      <c r="G7"/>
      <c r="H7"/>
    </row>
    <row r="8" spans="2:8">
      <c r="B8" s="570" t="s">
        <v>133</v>
      </c>
      <c r="C8" s="570"/>
      <c r="D8" s="578">
        <v>1919</v>
      </c>
      <c r="E8" s="578">
        <v>2986</v>
      </c>
      <c r="F8" s="578">
        <v>2146</v>
      </c>
      <c r="G8" s="578">
        <v>2213</v>
      </c>
      <c r="H8" s="578">
        <v>1415</v>
      </c>
    </row>
    <row r="9" spans="2:8">
      <c r="B9" s="570" t="s">
        <v>134</v>
      </c>
      <c r="C9" s="570"/>
      <c r="D9" s="570">
        <v>929</v>
      </c>
      <c r="E9" s="570">
        <v>914</v>
      </c>
      <c r="F9" s="570">
        <v>903</v>
      </c>
      <c r="G9" s="570">
        <v>884</v>
      </c>
      <c r="H9" s="570">
        <v>811</v>
      </c>
    </row>
    <row r="10" spans="2:8">
      <c r="B10" s="570" t="s">
        <v>136</v>
      </c>
      <c r="C10" s="570"/>
      <c r="D10" s="579">
        <v>-83</v>
      </c>
      <c r="E10" s="579">
        <v>-206</v>
      </c>
      <c r="F10" s="579">
        <v>-115</v>
      </c>
      <c r="G10" s="579">
        <v>-71</v>
      </c>
      <c r="H10" s="579">
        <v>-86</v>
      </c>
    </row>
    <row r="11" spans="2:8">
      <c r="B11" s="570" t="s">
        <v>137</v>
      </c>
      <c r="C11" s="570"/>
      <c r="D11" s="570">
        <v>0</v>
      </c>
      <c r="E11" s="579">
        <v>-843</v>
      </c>
      <c r="F11" s="570">
        <v>0</v>
      </c>
      <c r="G11" s="570">
        <v>66</v>
      </c>
      <c r="H11" s="579">
        <v>-91</v>
      </c>
    </row>
    <row r="12" spans="2:8">
      <c r="B12" s="570" t="s">
        <v>138</v>
      </c>
      <c r="C12" s="570"/>
      <c r="D12" s="579">
        <v>-57</v>
      </c>
      <c r="E12" s="579">
        <v>-285</v>
      </c>
      <c r="F12" s="570">
        <v>8</v>
      </c>
      <c r="G12" s="570">
        <v>23</v>
      </c>
      <c r="H12" s="570">
        <v>65</v>
      </c>
    </row>
    <row r="13" spans="2:8">
      <c r="B13" s="570" t="s">
        <v>139</v>
      </c>
      <c r="C13" s="570"/>
      <c r="D13" s="579">
        <v>-57</v>
      </c>
      <c r="E13" s="580">
        <v>-1128</v>
      </c>
      <c r="F13" s="570">
        <v>8</v>
      </c>
      <c r="G13" s="570">
        <v>89</v>
      </c>
      <c r="H13" s="579">
        <v>-26</v>
      </c>
    </row>
    <row r="14" spans="2:8">
      <c r="B14" s="570" t="s">
        <v>140</v>
      </c>
      <c r="C14" s="570"/>
      <c r="D14" s="570">
        <v>272</v>
      </c>
      <c r="E14" s="570">
        <v>288</v>
      </c>
      <c r="F14" s="570">
        <v>371</v>
      </c>
      <c r="G14" s="570">
        <v>425</v>
      </c>
      <c r="H14" s="570">
        <v>391</v>
      </c>
    </row>
    <row r="15" spans="2:8">
      <c r="B15" s="570" t="s">
        <v>141</v>
      </c>
      <c r="C15" s="570"/>
      <c r="D15" s="570">
        <v>266</v>
      </c>
      <c r="E15" s="570">
        <v>293</v>
      </c>
      <c r="F15" s="570">
        <v>313</v>
      </c>
      <c r="G15" s="570">
        <v>279</v>
      </c>
      <c r="H15" s="570">
        <v>216</v>
      </c>
    </row>
    <row r="16" spans="2:8">
      <c r="B16" s="570" t="s">
        <v>142</v>
      </c>
      <c r="C16" s="570"/>
      <c r="D16" s="579">
        <v>-170</v>
      </c>
      <c r="E16" s="579">
        <v>-231</v>
      </c>
      <c r="F16" s="579">
        <v>-123</v>
      </c>
      <c r="G16" s="570">
        <v>200</v>
      </c>
      <c r="H16" s="570">
        <v>219</v>
      </c>
    </row>
    <row r="17" spans="2:8">
      <c r="B17" s="570" t="s">
        <v>143</v>
      </c>
      <c r="C17" s="570"/>
      <c r="D17" s="570">
        <v>34</v>
      </c>
      <c r="E17" s="579">
        <v>-202</v>
      </c>
      <c r="F17" s="579">
        <v>-242</v>
      </c>
      <c r="G17" s="579">
        <v>-60</v>
      </c>
      <c r="H17" s="570">
        <v>371</v>
      </c>
    </row>
    <row r="18" spans="2:8">
      <c r="B18" s="570" t="s">
        <v>144</v>
      </c>
      <c r="C18" s="570"/>
      <c r="D18" s="579">
        <v>-21</v>
      </c>
      <c r="E18" s="570">
        <v>2</v>
      </c>
      <c r="F18" s="570">
        <v>71</v>
      </c>
      <c r="G18" s="579">
        <v>-94</v>
      </c>
      <c r="H18" s="579">
        <v>-67</v>
      </c>
    </row>
    <row r="19" spans="2:8">
      <c r="B19" s="570" t="s">
        <v>106</v>
      </c>
      <c r="C19" s="570"/>
      <c r="D19" s="570">
        <v>0</v>
      </c>
      <c r="E19" s="570">
        <v>388</v>
      </c>
      <c r="F19" s="570">
        <v>23</v>
      </c>
      <c r="G19" s="570">
        <v>147</v>
      </c>
      <c r="H19" s="570">
        <v>76</v>
      </c>
    </row>
    <row r="20" spans="2:8">
      <c r="B20" s="570" t="s">
        <v>107</v>
      </c>
      <c r="C20" s="570"/>
      <c r="D20" s="570">
        <v>20</v>
      </c>
      <c r="E20" s="570">
        <v>59</v>
      </c>
      <c r="F20" s="570">
        <v>23</v>
      </c>
      <c r="G20" s="579">
        <v>-23</v>
      </c>
      <c r="H20" s="579">
        <v>-65</v>
      </c>
    </row>
    <row r="21" spans="2:8">
      <c r="B21" s="570" t="s">
        <v>145</v>
      </c>
      <c r="C21" s="570"/>
      <c r="D21" s="579">
        <v>-138</v>
      </c>
      <c r="E21" s="570">
        <v>100</v>
      </c>
      <c r="F21" s="579">
        <v>-284</v>
      </c>
      <c r="G21" s="570">
        <v>336</v>
      </c>
      <c r="H21" s="570">
        <v>830</v>
      </c>
    </row>
    <row r="22" spans="2:8">
      <c r="B22" s="576" t="s">
        <v>146</v>
      </c>
      <c r="C22" s="576"/>
      <c r="D22" s="577">
        <v>2570</v>
      </c>
      <c r="E22" s="577">
        <v>2666</v>
      </c>
      <c r="F22" s="577">
        <v>2658</v>
      </c>
      <c r="G22" s="577">
        <v>3451</v>
      </c>
      <c r="H22" s="577">
        <v>2944</v>
      </c>
    </row>
    <row r="23" spans="2:8" ht="18">
      <c r="B23" s="575" t="s">
        <v>372</v>
      </c>
      <c r="C23"/>
      <c r="D23"/>
      <c r="E23"/>
      <c r="F23"/>
      <c r="G23"/>
      <c r="H23"/>
    </row>
    <row r="24" spans="2:8">
      <c r="B24" s="570" t="s">
        <v>148</v>
      </c>
      <c r="C24" s="570"/>
      <c r="D24" s="579">
        <v>-497</v>
      </c>
      <c r="E24" s="579">
        <v>-520</v>
      </c>
      <c r="F24" s="579">
        <v>-565</v>
      </c>
      <c r="G24" s="579">
        <v>-587</v>
      </c>
      <c r="H24" s="579">
        <v>-389</v>
      </c>
    </row>
    <row r="25" spans="2:8">
      <c r="B25" s="570" t="s">
        <v>149</v>
      </c>
      <c r="C25" s="570"/>
      <c r="D25" s="570">
        <v>0</v>
      </c>
      <c r="E25" s="570">
        <v>0</v>
      </c>
      <c r="F25" s="570">
        <v>0</v>
      </c>
      <c r="G25" s="580">
        <v>-1216</v>
      </c>
      <c r="H25" s="579">
        <v>-200</v>
      </c>
    </row>
    <row r="26" spans="2:8">
      <c r="B26" s="570" t="s">
        <v>150</v>
      </c>
      <c r="C26" s="570"/>
      <c r="D26" s="570">
        <v>1</v>
      </c>
      <c r="E26" s="570">
        <v>607</v>
      </c>
      <c r="F26" s="570">
        <v>0</v>
      </c>
      <c r="G26" s="570">
        <v>0</v>
      </c>
      <c r="H26" s="578">
        <v>1408</v>
      </c>
    </row>
    <row r="27" spans="2:8">
      <c r="B27" s="570" t="s">
        <v>373</v>
      </c>
      <c r="C27" s="570"/>
      <c r="D27" s="579">
        <v>-40</v>
      </c>
      <c r="E27" s="579">
        <v>-298</v>
      </c>
      <c r="F27" s="570">
        <v>245</v>
      </c>
      <c r="G27" s="579">
        <v>-16</v>
      </c>
      <c r="H27" s="579">
        <v>-347</v>
      </c>
    </row>
    <row r="28" spans="2:8">
      <c r="B28" s="570" t="s">
        <v>154</v>
      </c>
      <c r="C28" s="570"/>
      <c r="D28" s="570">
        <v>7</v>
      </c>
      <c r="E28" s="579">
        <v>-6</v>
      </c>
      <c r="F28" s="579">
        <v>-78</v>
      </c>
      <c r="G28" s="579">
        <v>-47</v>
      </c>
      <c r="H28" s="579">
        <v>-75</v>
      </c>
    </row>
    <row r="29" spans="2:8">
      <c r="B29" s="570" t="s">
        <v>155</v>
      </c>
      <c r="C29" s="570"/>
      <c r="D29" s="579">
        <v>-32</v>
      </c>
      <c r="E29" s="570">
        <v>303</v>
      </c>
      <c r="F29" s="570">
        <v>167</v>
      </c>
      <c r="G29" s="580">
        <v>-1279</v>
      </c>
      <c r="H29" s="570">
        <v>786</v>
      </c>
    </row>
    <row r="30" spans="2:8">
      <c r="B30" s="576" t="s">
        <v>156</v>
      </c>
      <c r="C30" s="576"/>
      <c r="D30" s="587">
        <v>-529</v>
      </c>
      <c r="E30" s="587">
        <v>-217</v>
      </c>
      <c r="F30" s="587">
        <v>-398</v>
      </c>
      <c r="G30" s="586">
        <v>-1866</v>
      </c>
      <c r="H30" s="576">
        <v>397</v>
      </c>
    </row>
    <row r="31" spans="2:8" ht="18">
      <c r="B31" s="575" t="s">
        <v>374</v>
      </c>
      <c r="C31"/>
      <c r="D31"/>
      <c r="E31"/>
      <c r="F31"/>
      <c r="G31"/>
      <c r="H31"/>
    </row>
    <row r="32" spans="2:8">
      <c r="B32" s="570" t="s">
        <v>158</v>
      </c>
      <c r="C32" s="570"/>
      <c r="D32" s="579">
        <v>-23</v>
      </c>
      <c r="E32" s="579">
        <v>-36</v>
      </c>
      <c r="F32" s="579">
        <v>-26</v>
      </c>
      <c r="G32" s="579">
        <v>-55</v>
      </c>
      <c r="H32" s="579">
        <v>-43</v>
      </c>
    </row>
    <row r="33" spans="2:8">
      <c r="B33" s="570" t="s">
        <v>375</v>
      </c>
      <c r="C33" s="570"/>
      <c r="D33" s="580">
        <v>-1037</v>
      </c>
      <c r="E33" s="580">
        <v>-1068</v>
      </c>
      <c r="F33" s="580">
        <v>-1149</v>
      </c>
      <c r="G33" s="580">
        <v>-1201</v>
      </c>
      <c r="H33" s="580">
        <v>-1175</v>
      </c>
    </row>
    <row r="34" spans="2:8">
      <c r="B34" s="570" t="s">
        <v>159</v>
      </c>
      <c r="C34" s="570"/>
      <c r="D34" s="579">
        <v>-730</v>
      </c>
      <c r="E34" s="579">
        <v>-850</v>
      </c>
      <c r="F34" s="580">
        <v>-1271</v>
      </c>
      <c r="G34" s="580">
        <v>-1029</v>
      </c>
      <c r="H34" s="580">
        <v>-1608</v>
      </c>
    </row>
    <row r="35" spans="2:8">
      <c r="B35" s="570" t="s">
        <v>160</v>
      </c>
      <c r="C35" s="570"/>
      <c r="D35" s="579">
        <v>-730</v>
      </c>
      <c r="E35" s="579">
        <v>-850</v>
      </c>
      <c r="F35" s="580">
        <v>-1271</v>
      </c>
      <c r="G35" s="580">
        <v>-1029</v>
      </c>
      <c r="H35" s="580">
        <v>-1608</v>
      </c>
    </row>
    <row r="36" spans="2:8">
      <c r="B36" s="570" t="s">
        <v>376</v>
      </c>
      <c r="C36" s="570"/>
      <c r="D36" s="570">
        <v>74</v>
      </c>
      <c r="E36" s="570">
        <v>66</v>
      </c>
      <c r="F36" s="570">
        <v>29</v>
      </c>
      <c r="G36" s="570">
        <v>66</v>
      </c>
      <c r="H36" s="570">
        <v>71</v>
      </c>
    </row>
    <row r="37" spans="2:8">
      <c r="B37" s="570" t="s">
        <v>161</v>
      </c>
      <c r="C37" s="570"/>
      <c r="D37" s="579">
        <v>-656</v>
      </c>
      <c r="E37" s="579">
        <v>-784</v>
      </c>
      <c r="F37" s="580">
        <v>-1242</v>
      </c>
      <c r="G37" s="579">
        <v>-963</v>
      </c>
      <c r="H37" s="580">
        <v>-1537</v>
      </c>
    </row>
    <row r="38" spans="2:8">
      <c r="B38" s="570" t="s">
        <v>377</v>
      </c>
      <c r="C38" s="570"/>
      <c r="D38" s="570">
        <v>631</v>
      </c>
      <c r="E38" s="578">
        <v>1000</v>
      </c>
      <c r="F38" s="570">
        <v>410</v>
      </c>
      <c r="G38" s="578">
        <v>1232</v>
      </c>
      <c r="H38" s="570">
        <v>1</v>
      </c>
    </row>
    <row r="39" spans="2:8">
      <c r="B39" s="570" t="s">
        <v>378</v>
      </c>
      <c r="C39" s="570"/>
      <c r="D39" s="579">
        <v>-653</v>
      </c>
      <c r="E39" s="580">
        <v>-1554</v>
      </c>
      <c r="F39" s="579">
        <v>-574</v>
      </c>
      <c r="G39" s="579">
        <v>-507</v>
      </c>
      <c r="H39" s="579">
        <v>-504</v>
      </c>
    </row>
    <row r="40" spans="2:8">
      <c r="B40" s="570" t="s">
        <v>165</v>
      </c>
      <c r="C40" s="570"/>
      <c r="D40" s="579">
        <v>-22</v>
      </c>
      <c r="E40" s="579">
        <v>-554</v>
      </c>
      <c r="F40" s="579">
        <v>-164</v>
      </c>
      <c r="G40" s="570">
        <v>725</v>
      </c>
      <c r="H40" s="579">
        <v>-503</v>
      </c>
    </row>
    <row r="41" spans="2:8">
      <c r="B41" s="576" t="s">
        <v>166</v>
      </c>
      <c r="C41" s="576"/>
      <c r="D41" s="586">
        <v>-1738</v>
      </c>
      <c r="E41" s="586">
        <v>-2442</v>
      </c>
      <c r="F41" s="586">
        <v>-2581</v>
      </c>
      <c r="G41" s="586">
        <v>-1494</v>
      </c>
      <c r="H41" s="586">
        <v>-3258</v>
      </c>
    </row>
    <row r="42" spans="2:8" ht="18">
      <c r="B42" s="575" t="s">
        <v>379</v>
      </c>
      <c r="C42"/>
      <c r="D42"/>
      <c r="E42"/>
      <c r="F42"/>
      <c r="G42"/>
      <c r="H42"/>
    </row>
    <row r="43" spans="2:8">
      <c r="B43" s="570" t="s">
        <v>380</v>
      </c>
      <c r="C43" s="570"/>
      <c r="D43" s="579">
        <v>-28</v>
      </c>
      <c r="E43" s="570">
        <v>11</v>
      </c>
      <c r="F43" s="570">
        <v>43</v>
      </c>
      <c r="G43" s="579">
        <v>-4</v>
      </c>
      <c r="H43" s="579">
        <v>-15</v>
      </c>
    </row>
    <row r="44" spans="2:8">
      <c r="B44" s="576" t="s">
        <v>168</v>
      </c>
      <c r="C44" s="576"/>
      <c r="D44" s="576">
        <v>275</v>
      </c>
      <c r="E44" s="576">
        <v>18</v>
      </c>
      <c r="F44" s="587">
        <v>-278</v>
      </c>
      <c r="G44" s="576">
        <v>87</v>
      </c>
      <c r="H44" s="576">
        <v>68</v>
      </c>
    </row>
    <row r="45" spans="2:8">
      <c r="B45" s="570" t="s">
        <v>169</v>
      </c>
      <c r="C45" s="570"/>
      <c r="D45" s="570">
        <v>268</v>
      </c>
      <c r="E45" s="570">
        <v>543</v>
      </c>
      <c r="F45" s="570">
        <v>561</v>
      </c>
      <c r="G45" s="570">
        <v>283</v>
      </c>
      <c r="H45" s="570">
        <v>370</v>
      </c>
    </row>
    <row r="46" spans="2:8">
      <c r="B46" s="570" t="s">
        <v>170</v>
      </c>
      <c r="C46" s="570"/>
      <c r="D46" s="570">
        <v>543</v>
      </c>
      <c r="E46" s="570">
        <v>561</v>
      </c>
      <c r="F46" s="570">
        <v>283</v>
      </c>
      <c r="G46" s="570">
        <v>370</v>
      </c>
      <c r="H46" s="570">
        <v>438</v>
      </c>
    </row>
    <row r="47" spans="2:8">
      <c r="B47" s="570" t="s">
        <v>171</v>
      </c>
      <c r="C47" s="570"/>
      <c r="D47" s="570">
        <v>929</v>
      </c>
      <c r="E47" s="570">
        <v>914</v>
      </c>
      <c r="F47" s="570">
        <v>903</v>
      </c>
      <c r="G47" s="570">
        <v>884</v>
      </c>
      <c r="H47" s="570">
        <v>811</v>
      </c>
    </row>
    <row r="48" spans="2:8">
      <c r="B48" s="570" t="s">
        <v>141</v>
      </c>
      <c r="C48" s="570"/>
      <c r="D48" s="570">
        <v>266</v>
      </c>
      <c r="E48" s="570">
        <v>293</v>
      </c>
      <c r="F48" s="570">
        <v>313</v>
      </c>
      <c r="G48" s="570">
        <v>279</v>
      </c>
      <c r="H48" s="570">
        <v>216</v>
      </c>
    </row>
    <row r="49" spans="2:8">
      <c r="B49" s="570" t="s">
        <v>140</v>
      </c>
      <c r="C49" s="570"/>
      <c r="D49" s="570">
        <v>272</v>
      </c>
      <c r="E49" s="570">
        <v>288</v>
      </c>
      <c r="F49" s="570">
        <v>371</v>
      </c>
      <c r="G49" s="570">
        <v>425</v>
      </c>
      <c r="H49" s="570">
        <v>391</v>
      </c>
    </row>
    <row r="50" spans="2:8">
      <c r="B50" s="64"/>
      <c r="C50" s="66"/>
      <c r="D50" s="68"/>
      <c r="E50" s="68"/>
      <c r="F50" s="68"/>
      <c r="G50" s="68"/>
      <c r="H50" s="68"/>
    </row>
    <row r="51" spans="2:8">
      <c r="B51" s="66"/>
      <c r="C51" s="66"/>
      <c r="D51" s="67"/>
      <c r="E51" s="67"/>
      <c r="F51" s="67"/>
      <c r="G51" s="67"/>
      <c r="H51" s="67"/>
    </row>
    <row r="52" spans="2:8">
      <c r="B52" s="64"/>
      <c r="C52" s="66"/>
      <c r="D52" s="65"/>
      <c r="E52" s="65"/>
      <c r="F52" s="65"/>
      <c r="G52" s="65"/>
      <c r="H52" s="65"/>
    </row>
    <row r="53" spans="2:8">
      <c r="B53" s="64"/>
      <c r="C53" s="66"/>
      <c r="D53" s="65"/>
      <c r="E53" s="65"/>
      <c r="F53" s="65"/>
      <c r="G53" s="65"/>
      <c r="H53" s="65"/>
    </row>
    <row r="54" spans="2:8">
      <c r="B54" s="66"/>
      <c r="C54" s="66"/>
      <c r="D54" s="66"/>
      <c r="E54" s="66"/>
      <c r="F54" s="66"/>
      <c r="G54" s="66"/>
      <c r="H54" s="66"/>
    </row>
    <row r="55" spans="2:8">
      <c r="B55" s="64"/>
      <c r="C55" s="66"/>
      <c r="D55" s="65"/>
      <c r="E55" s="69"/>
      <c r="F55" s="65"/>
      <c r="G55" s="65"/>
      <c r="H55" s="65"/>
    </row>
    <row r="56" spans="2:8">
      <c r="B56" s="64"/>
      <c r="C56" s="66"/>
      <c r="D56" s="65"/>
      <c r="E56" s="69"/>
      <c r="F56" s="65"/>
      <c r="G56" s="69"/>
      <c r="H56" s="69"/>
    </row>
    <row r="57" spans="2:8">
      <c r="B57" s="64"/>
      <c r="C57" s="66"/>
      <c r="D57" s="68"/>
      <c r="E57" s="69"/>
      <c r="F57" s="65"/>
      <c r="G57" s="68"/>
      <c r="H57" s="68"/>
    </row>
    <row r="58" spans="2:8">
      <c r="B58" s="64"/>
      <c r="C58" s="66"/>
      <c r="D58" s="68"/>
      <c r="E58" s="497"/>
      <c r="F58" s="68"/>
      <c r="G58" s="68"/>
      <c r="H58" s="68"/>
    </row>
    <row r="59" spans="2:8">
      <c r="B59" s="64"/>
      <c r="C59" s="66"/>
      <c r="D59" s="68"/>
      <c r="E59" s="497"/>
      <c r="F59" s="68"/>
      <c r="G59" s="68"/>
      <c r="H59" s="68"/>
    </row>
    <row r="60" spans="2:8">
      <c r="B60" s="64"/>
      <c r="C60" s="66"/>
      <c r="D60" s="68"/>
      <c r="E60" s="497"/>
      <c r="F60" s="68"/>
      <c r="G60" s="68"/>
      <c r="H60" s="68"/>
    </row>
  </sheetData>
  <pageMargins left="0.7" right="0.7" top="0.75" bottom="0.75" header="0.3" footer="0.3"/>
  <pageSetup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39997558519241921"/>
    <pageSetUpPr fitToPage="1"/>
  </sheetPr>
  <dimension ref="B1:O29"/>
  <sheetViews>
    <sheetView showGridLines="0" tabSelected="1" zoomScaleNormal="100" workbookViewId="0">
      <selection activeCell="N5" sqref="N5"/>
    </sheetView>
  </sheetViews>
  <sheetFormatPr baseColWidth="10" defaultColWidth="8.83203125" defaultRowHeight="16"/>
  <cols>
    <col min="1" max="1" width="2.5" style="15" customWidth="1"/>
    <col min="2" max="2" width="35.5" style="15" bestFit="1" customWidth="1"/>
    <col min="3" max="3" width="12.33203125" style="15" bestFit="1" customWidth="1"/>
    <col min="4" max="7" width="12.5" style="15" customWidth="1"/>
    <col min="8" max="8" width="12.5" style="17" customWidth="1"/>
    <col min="9" max="9" width="11.1640625" style="17" customWidth="1"/>
    <col min="10" max="10" width="2.5" style="17" customWidth="1"/>
    <col min="11" max="11" width="11.5" style="15" customWidth="1"/>
    <col min="12" max="12" width="2.5" style="15" customWidth="1"/>
    <col min="13" max="13" width="12.5" style="15" bestFit="1" customWidth="1"/>
    <col min="14" max="14" width="12" style="15" bestFit="1" customWidth="1"/>
    <col min="15" max="16384" width="8.83203125" style="15"/>
  </cols>
  <sheetData>
    <row r="1" spans="2:15" ht="17" thickBot="1"/>
    <row r="2" spans="2:15" ht="21" thickBot="1">
      <c r="B2" s="55" t="s">
        <v>10</v>
      </c>
      <c r="C2" s="300" t="s">
        <v>381</v>
      </c>
      <c r="E2" s="56" t="s">
        <v>11</v>
      </c>
      <c r="F2" s="57"/>
      <c r="G2" s="82">
        <f>N15</f>
        <v>5.1750752044544976E-2</v>
      </c>
      <c r="M2" s="513" t="s">
        <v>11</v>
      </c>
      <c r="N2" s="514"/>
    </row>
    <row r="3" spans="2:15" ht="21" thickBot="1">
      <c r="B3" s="51" t="s">
        <v>12</v>
      </c>
      <c r="C3" s="299">
        <f ca="1">TODAY()</f>
        <v>44284</v>
      </c>
      <c r="D3" s="142"/>
      <c r="E3" s="51" t="s">
        <v>13</v>
      </c>
      <c r="F3" s="17"/>
      <c r="G3" s="143">
        <f>G4*C4</f>
        <v>55142.9</v>
      </c>
      <c r="M3" s="287" t="s">
        <v>14</v>
      </c>
      <c r="N3" s="468">
        <v>1.1599999999999999</v>
      </c>
      <c r="O3" s="15" t="s">
        <v>382</v>
      </c>
    </row>
    <row r="4" spans="2:15" ht="21" thickBot="1">
      <c r="B4" s="61" t="s">
        <v>15</v>
      </c>
      <c r="C4" s="301">
        <v>138.55000000000001</v>
      </c>
      <c r="E4" s="61" t="s">
        <v>16</v>
      </c>
      <c r="F4" s="38"/>
      <c r="G4" s="144">
        <f>'Sourced From Original'!G106</f>
        <v>398</v>
      </c>
      <c r="M4" s="288" t="s">
        <v>17</v>
      </c>
      <c r="N4" s="469">
        <v>7.0999999999999994E-2</v>
      </c>
    </row>
    <row r="5" spans="2:15" ht="21" thickBot="1">
      <c r="H5" s="145"/>
      <c r="I5" s="145"/>
      <c r="J5" s="145"/>
      <c r="M5" s="289" t="s">
        <v>18</v>
      </c>
      <c r="N5" s="469">
        <v>1.6740000000000001E-2</v>
      </c>
    </row>
    <row r="6" spans="2:15" ht="21" thickBot="1">
      <c r="B6" s="510" t="s">
        <v>19</v>
      </c>
      <c r="C6" s="511"/>
      <c r="D6" s="511"/>
      <c r="E6" s="511"/>
      <c r="F6" s="511"/>
      <c r="G6" s="512"/>
      <c r="H6" s="19"/>
      <c r="I6" s="19"/>
      <c r="J6" s="19"/>
      <c r="M6" s="288" t="s">
        <v>20</v>
      </c>
      <c r="N6" s="290">
        <f>'Sourced From Original'!G25/'Sourced From Original'!G23</f>
        <v>0.18957617411225658</v>
      </c>
    </row>
    <row r="7" spans="2:15" ht="20">
      <c r="B7" s="136" t="s">
        <v>21</v>
      </c>
      <c r="C7" s="464">
        <v>1</v>
      </c>
      <c r="D7" s="464">
        <v>2</v>
      </c>
      <c r="E7" s="464">
        <v>3</v>
      </c>
      <c r="F7" s="464">
        <v>4</v>
      </c>
      <c r="G7" s="465">
        <v>5</v>
      </c>
      <c r="H7" s="146"/>
      <c r="I7" s="146"/>
      <c r="J7" s="146"/>
      <c r="M7" s="287" t="s">
        <v>22</v>
      </c>
      <c r="N7" s="291">
        <f>Forecast!I32</f>
        <v>7.9681599999999991E-2</v>
      </c>
    </row>
    <row r="8" spans="2:15" ht="21" thickBot="1">
      <c r="B8" s="137" t="s">
        <v>23</v>
      </c>
      <c r="C8" s="466">
        <f>Forecast!F27</f>
        <v>2.3858612785352437E-2</v>
      </c>
      <c r="D8" s="466">
        <f>C8-($C$8-$G$8)/4</f>
        <v>2.1643959589014328E-2</v>
      </c>
      <c r="E8" s="466">
        <f>D8-($C$8-$G$8)/4</f>
        <v>1.9429306392676218E-2</v>
      </c>
      <c r="F8" s="466">
        <f t="shared" ref="F8" si="0">E8-($C$8-$G$8)/4</f>
        <v>1.7214653196338109E-2</v>
      </c>
      <c r="G8" s="467">
        <v>1.4999999999999999E-2</v>
      </c>
      <c r="H8" s="146"/>
      <c r="I8" s="146"/>
      <c r="J8" s="146"/>
      <c r="K8" s="29"/>
      <c r="M8" s="292" t="s">
        <v>24</v>
      </c>
      <c r="N8" s="293">
        <f>-IFERROR('Sourced From Original'!#REF!/N10,0)</f>
        <v>0</v>
      </c>
    </row>
    <row r="9" spans="2:15" ht="21" thickBot="1">
      <c r="B9" s="17"/>
      <c r="G9" s="28"/>
      <c r="H9" s="28"/>
      <c r="I9" s="28"/>
      <c r="J9" s="28"/>
      <c r="L9" s="30"/>
      <c r="M9" s="289" t="s">
        <v>25</v>
      </c>
      <c r="N9" s="294">
        <f>'Sourced From Original'!G101</f>
        <v>14930</v>
      </c>
    </row>
    <row r="10" spans="2:15" ht="21" thickBot="1">
      <c r="B10" s="147" t="s">
        <v>26</v>
      </c>
      <c r="C10" s="302"/>
      <c r="D10" s="302"/>
      <c r="E10" s="302"/>
      <c r="F10" s="302"/>
      <c r="G10" s="302"/>
      <c r="H10" s="302"/>
      <c r="I10" s="504" t="s">
        <v>27</v>
      </c>
      <c r="J10" s="28"/>
      <c r="K10" s="83" t="str">
        <f>C2</f>
        <v>ETN</v>
      </c>
      <c r="L10" s="30"/>
      <c r="M10" s="289" t="s">
        <v>28</v>
      </c>
      <c r="N10" s="295">
        <f>'Sourced From Original'!G86</f>
        <v>8058</v>
      </c>
    </row>
    <row r="11" spans="2:15" ht="20">
      <c r="B11" s="138" t="s">
        <v>29</v>
      </c>
      <c r="C11" s="303"/>
      <c r="D11" s="303"/>
      <c r="E11" s="303"/>
      <c r="F11" s="303"/>
      <c r="G11" s="303"/>
      <c r="H11" s="304"/>
      <c r="I11" s="109" t="e">
        <f>AVERAGE(C11:H11)</f>
        <v>#DIV/0!</v>
      </c>
      <c r="J11" s="50"/>
      <c r="K11" s="106">
        <f>Overview!G21</f>
        <v>3.69342933690556</v>
      </c>
      <c r="M11" s="296" t="s">
        <v>30</v>
      </c>
      <c r="N11" s="291">
        <f>N9/SUM(N9:N10)</f>
        <v>0.64946928832434314</v>
      </c>
    </row>
    <row r="12" spans="2:15" ht="21" thickBot="1">
      <c r="B12" s="139" t="s">
        <v>31</v>
      </c>
      <c r="C12" s="305"/>
      <c r="D12" s="305"/>
      <c r="E12" s="305"/>
      <c r="F12" s="305"/>
      <c r="G12" s="305"/>
      <c r="H12" s="306"/>
      <c r="I12" s="104" t="e">
        <f t="shared" ref="I12:I15" si="1">AVERAGE(C12:H12)</f>
        <v>#DIV/0!</v>
      </c>
      <c r="J12" s="50"/>
      <c r="K12" s="107">
        <f>Overview!G22</f>
        <v>3.0878541829992163</v>
      </c>
      <c r="M12" s="292" t="s">
        <v>32</v>
      </c>
      <c r="N12" s="293">
        <f>N10/SUM(N9:N10)</f>
        <v>0.35053071167565686</v>
      </c>
    </row>
    <row r="13" spans="2:15" ht="20">
      <c r="B13" s="51" t="s">
        <v>33</v>
      </c>
      <c r="C13" s="305"/>
      <c r="D13" s="305"/>
      <c r="E13" s="305"/>
      <c r="F13" s="305"/>
      <c r="G13" s="305"/>
      <c r="H13" s="306"/>
      <c r="I13" s="104" t="e">
        <f t="shared" si="1"/>
        <v>#DIV/0!</v>
      </c>
      <c r="J13" s="50"/>
      <c r="K13" s="107">
        <f>'Sourced From Original'!G39</f>
        <v>3.51</v>
      </c>
      <c r="M13" s="289" t="s">
        <v>34</v>
      </c>
      <c r="N13" s="290">
        <f>N11*N7</f>
        <v>5.1750752044544976E-2</v>
      </c>
    </row>
    <row r="14" spans="2:15" ht="21" thickBot="1">
      <c r="B14" s="139" t="s">
        <v>35</v>
      </c>
      <c r="C14" s="305"/>
      <c r="D14" s="305"/>
      <c r="E14" s="305"/>
      <c r="F14" s="305"/>
      <c r="G14" s="305"/>
      <c r="H14" s="306"/>
      <c r="I14" s="104" t="e">
        <f t="shared" si="1"/>
        <v>#DIV/0!</v>
      </c>
      <c r="J14" s="50"/>
      <c r="K14" s="107">
        <f>Overview!G24</f>
        <v>21.582348336594912</v>
      </c>
      <c r="M14" s="292" t="s">
        <v>36</v>
      </c>
      <c r="N14" s="293">
        <f>N12*N8*(1-N6)</f>
        <v>0</v>
      </c>
    </row>
    <row r="15" spans="2:15" ht="21" thickBot="1">
      <c r="B15" s="140" t="s">
        <v>37</v>
      </c>
      <c r="C15" s="307"/>
      <c r="D15" s="305"/>
      <c r="E15" s="305"/>
      <c r="F15" s="305"/>
      <c r="G15" s="305"/>
      <c r="H15" s="306"/>
      <c r="I15" s="105" t="e">
        <f t="shared" si="1"/>
        <v>#DIV/0!</v>
      </c>
      <c r="J15" s="50"/>
      <c r="K15" s="108">
        <f>Overview!G25</f>
        <v>21.565467344544388</v>
      </c>
      <c r="M15" s="297" t="s">
        <v>38</v>
      </c>
      <c r="N15" s="298">
        <f>SUM(N13:N14)</f>
        <v>5.1750752044544976E-2</v>
      </c>
    </row>
    <row r="16" spans="2:15" ht="17" thickBot="1">
      <c r="B16" s="141" t="s">
        <v>39</v>
      </c>
      <c r="C16" s="498"/>
      <c r="D16" s="499"/>
      <c r="E16" s="499"/>
      <c r="F16" s="499"/>
      <c r="G16" s="499"/>
      <c r="H16" s="500"/>
      <c r="I16" s="103"/>
      <c r="J16" s="50"/>
      <c r="K16" s="149"/>
      <c r="M16" s="29"/>
      <c r="N16" s="102"/>
    </row>
    <row r="17" spans="2:13" ht="17" thickBot="1">
      <c r="C17" s="28"/>
      <c r="D17" s="28"/>
      <c r="E17" s="28"/>
      <c r="F17" s="28"/>
    </row>
    <row r="18" spans="2:13" ht="17" thickBot="1">
      <c r="B18" s="150" t="s">
        <v>40</v>
      </c>
      <c r="C18" s="308"/>
      <c r="D18" s="151"/>
      <c r="E18" s="151"/>
      <c r="F18" s="151"/>
      <c r="G18" s="152"/>
    </row>
    <row r="19" spans="2:13">
      <c r="B19" s="118" t="s">
        <v>41</v>
      </c>
      <c r="C19" s="119">
        <v>42735</v>
      </c>
      <c r="D19" s="119">
        <v>43100</v>
      </c>
      <c r="E19" s="119">
        <v>43465</v>
      </c>
      <c r="F19" s="119">
        <v>43830</v>
      </c>
      <c r="G19" s="119">
        <f ca="1">C3</f>
        <v>44284</v>
      </c>
      <c r="L19" s="45"/>
      <c r="M19" s="45"/>
    </row>
    <row r="20" spans="2:13" ht="17" thickBot="1">
      <c r="B20" s="62" t="s">
        <v>42</v>
      </c>
      <c r="C20" s="309">
        <v>67.09</v>
      </c>
      <c r="D20" s="309">
        <v>79.010000000000005</v>
      </c>
      <c r="E20" s="309">
        <v>68.66</v>
      </c>
      <c r="F20" s="309">
        <v>94.72</v>
      </c>
      <c r="G20" s="120">
        <f>C4</f>
        <v>138.55000000000001</v>
      </c>
      <c r="M20" s="45"/>
    </row>
    <row r="21" spans="2:13">
      <c r="C21" s="47"/>
      <c r="D21" s="41"/>
      <c r="E21" s="17"/>
      <c r="M21" s="45"/>
    </row>
    <row r="22" spans="2:13">
      <c r="E22" s="17"/>
      <c r="L22" s="20"/>
      <c r="M22" s="45"/>
    </row>
    <row r="23" spans="2:13">
      <c r="E23" s="17"/>
      <c r="L23" s="17"/>
      <c r="M23" s="45"/>
    </row>
    <row r="24" spans="2:13">
      <c r="E24" s="17"/>
      <c r="L24" s="17"/>
      <c r="M24" s="45"/>
    </row>
    <row r="25" spans="2:13">
      <c r="B25" s="39"/>
      <c r="C25" s="41"/>
      <c r="F25" s="43"/>
      <c r="G25" s="17"/>
    </row>
    <row r="26" spans="2:13">
      <c r="B26" s="39"/>
      <c r="C26" s="41"/>
      <c r="D26" s="17"/>
      <c r="E26" s="40"/>
      <c r="F26" s="43"/>
      <c r="G26" s="39"/>
      <c r="H26" s="39"/>
      <c r="I26" s="39"/>
      <c r="J26" s="39"/>
    </row>
    <row r="27" spans="2:13">
      <c r="B27" s="17"/>
      <c r="C27" s="17"/>
      <c r="D27" s="41"/>
      <c r="E27" s="40"/>
      <c r="F27" s="19"/>
      <c r="G27" s="17"/>
    </row>
    <row r="28" spans="2:13">
      <c r="B28" s="17"/>
      <c r="C28" s="17"/>
      <c r="D28" s="17"/>
      <c r="E28" s="17"/>
      <c r="F28" s="17"/>
      <c r="G28" s="17"/>
    </row>
    <row r="29" spans="2:13">
      <c r="D29" s="17"/>
      <c r="E29" s="40"/>
    </row>
  </sheetData>
  <mergeCells count="2">
    <mergeCell ref="B6:G6"/>
    <mergeCell ref="M2:N2"/>
  </mergeCells>
  <phoneticPr fontId="58" type="noConversion"/>
  <pageMargins left="0.7" right="0.7" top="0.75" bottom="0.75" header="0.3" footer="0.3"/>
  <pageSetup scale="6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9542-CCBD-4E9E-9965-62EED1AB1C98}">
  <sheetPr codeName="Sheet14">
    <tabColor theme="7" tint="0.79998168889431442"/>
    <pageSetUpPr fitToPage="1"/>
  </sheetPr>
  <dimension ref="A1:AJ158"/>
  <sheetViews>
    <sheetView showGridLines="0" zoomScaleNormal="100" zoomScaleSheetLayoutView="85" workbookViewId="0">
      <pane xSplit="13" ySplit="4" topLeftCell="N5" activePane="bottomRight" state="frozen"/>
      <selection pane="topRight" activeCell="G157" sqref="G157"/>
      <selection pane="bottomLeft" activeCell="G157" sqref="G157"/>
      <selection pane="bottomRight" activeCell="K86" sqref="K86"/>
    </sheetView>
  </sheetViews>
  <sheetFormatPr baseColWidth="10" defaultColWidth="8.83203125" defaultRowHeight="12"/>
  <cols>
    <col min="1" max="1" width="2.5" style="177" customWidth="1"/>
    <col min="2" max="2" width="39.5" style="177" bestFit="1" customWidth="1"/>
    <col min="3" max="7" width="7.83203125" style="177" bestFit="1" customWidth="1"/>
    <col min="8" max="12" width="7.1640625" style="177" bestFit="1" customWidth="1"/>
    <col min="13" max="13" width="2.83203125" style="177" customWidth="1"/>
    <col min="14" max="40" width="10" style="177" customWidth="1"/>
    <col min="41" max="16384" width="8.83203125" style="177"/>
  </cols>
  <sheetData>
    <row r="1" spans="1:36" ht="13" thickBot="1"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</row>
    <row r="2" spans="1:36" ht="13" thickBot="1">
      <c r="B2" s="193"/>
      <c r="C2" s="515" t="s">
        <v>43</v>
      </c>
      <c r="D2" s="516"/>
      <c r="E2" s="516"/>
      <c r="F2" s="516"/>
      <c r="G2" s="517"/>
      <c r="H2" s="515" t="s">
        <v>44</v>
      </c>
      <c r="I2" s="516"/>
      <c r="J2" s="516"/>
      <c r="K2" s="516"/>
      <c r="L2" s="517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</row>
    <row r="3" spans="1:36" ht="13" thickBot="1">
      <c r="B3" s="194"/>
      <c r="C3" s="195" t="s">
        <v>45</v>
      </c>
      <c r="D3" s="196" t="s">
        <v>46</v>
      </c>
      <c r="E3" s="197" t="s">
        <v>47</v>
      </c>
      <c r="F3" s="197" t="s">
        <v>48</v>
      </c>
      <c r="G3" s="283" t="s">
        <v>49</v>
      </c>
      <c r="H3" s="284"/>
      <c r="I3" s="285"/>
      <c r="J3" s="285"/>
      <c r="K3" s="285"/>
      <c r="L3" s="286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2"/>
      <c r="AH3" s="192"/>
      <c r="AI3" s="192"/>
      <c r="AJ3" s="192"/>
    </row>
    <row r="4" spans="1:36" ht="13" hidden="1" thickBot="1">
      <c r="B4" s="192"/>
      <c r="C4" s="199">
        <f>IS!D2</f>
        <v>2016</v>
      </c>
      <c r="D4" s="200">
        <f>IS!E2</f>
        <v>2017</v>
      </c>
      <c r="E4" s="200">
        <f>IS!F2</f>
        <v>2018</v>
      </c>
      <c r="F4" s="200">
        <f>IS!G2</f>
        <v>2019</v>
      </c>
      <c r="G4" s="200">
        <f>IS!H2</f>
        <v>2020</v>
      </c>
      <c r="H4" s="198"/>
      <c r="I4" s="201"/>
      <c r="J4" s="201"/>
      <c r="K4" s="201"/>
      <c r="L4" s="20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</row>
    <row r="5" spans="1:36">
      <c r="B5" s="203" t="s">
        <v>50</v>
      </c>
      <c r="C5" s="204"/>
      <c r="D5" s="205"/>
      <c r="E5" s="205"/>
      <c r="F5" s="205"/>
      <c r="G5" s="206"/>
      <c r="H5" s="207"/>
      <c r="I5" s="208"/>
      <c r="J5" s="208"/>
      <c r="K5" s="208"/>
      <c r="L5" s="209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201"/>
      <c r="AB5" s="176"/>
      <c r="AC5" s="176"/>
      <c r="AD5" s="176"/>
      <c r="AE5" s="176"/>
      <c r="AF5" s="201"/>
      <c r="AG5" s="176"/>
      <c r="AH5" s="176"/>
      <c r="AI5" s="176"/>
      <c r="AJ5" s="176"/>
    </row>
    <row r="6" spans="1:36">
      <c r="B6" s="210"/>
      <c r="C6" s="211"/>
      <c r="D6" s="212"/>
      <c r="E6" s="212"/>
      <c r="F6" s="212"/>
      <c r="G6" s="213"/>
      <c r="H6" s="214"/>
      <c r="I6" s="192"/>
      <c r="J6" s="192"/>
      <c r="K6" s="192"/>
      <c r="L6" s="215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201"/>
      <c r="AB6" s="201"/>
      <c r="AC6" s="201"/>
      <c r="AD6" s="201"/>
      <c r="AE6" s="201"/>
      <c r="AF6" s="201"/>
      <c r="AG6" s="201"/>
      <c r="AH6" s="201"/>
      <c r="AI6" s="201"/>
      <c r="AJ6" s="201"/>
    </row>
    <row r="7" spans="1:36" ht="16" thickBot="1">
      <c r="B7" s="216" t="s">
        <v>51</v>
      </c>
      <c r="C7" s="211"/>
      <c r="D7" s="212"/>
      <c r="E7" s="212"/>
      <c r="F7" s="212"/>
      <c r="G7" s="213"/>
      <c r="H7" s="214"/>
      <c r="I7" s="192"/>
      <c r="J7" s="192"/>
      <c r="K7" s="192"/>
      <c r="L7" s="215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</row>
    <row r="8" spans="1:36" ht="13">
      <c r="B8" s="217" t="s">
        <v>52</v>
      </c>
      <c r="C8" s="204" cm="1">
        <f t="array" ref="C8:G8">_xlfn.XLOOKUP($B8,IS!B:B,IS!D:H,0)</f>
        <v>19747</v>
      </c>
      <c r="D8" s="205">
        <v>20404</v>
      </c>
      <c r="E8" s="205">
        <v>21609</v>
      </c>
      <c r="F8" s="205">
        <v>21390</v>
      </c>
      <c r="G8" s="206">
        <v>17858</v>
      </c>
      <c r="H8" s="214"/>
      <c r="I8" s="192"/>
      <c r="J8" s="192"/>
      <c r="K8" s="192"/>
      <c r="L8" s="215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AJ8" s="192"/>
    </row>
    <row r="9" spans="1:36" s="191" customFormat="1" ht="13">
      <c r="B9" s="218" t="s">
        <v>53</v>
      </c>
      <c r="C9" s="219"/>
      <c r="D9" s="220">
        <f>D8/C8-1</f>
        <v>3.3270876588848974E-2</v>
      </c>
      <c r="E9" s="220">
        <f t="shared" ref="E9:G9" si="0">E8/D8-1</f>
        <v>5.905704763771813E-2</v>
      </c>
      <c r="F9" s="220">
        <f t="shared" si="0"/>
        <v>-1.0134666111342505E-2</v>
      </c>
      <c r="G9" s="221">
        <f t="shared" si="0"/>
        <v>-0.16512388966806923</v>
      </c>
      <c r="H9" s="222"/>
      <c r="I9" s="223"/>
      <c r="J9" s="223"/>
      <c r="K9" s="223"/>
      <c r="L9" s="224"/>
      <c r="M9" s="225"/>
      <c r="N9" s="225"/>
      <c r="O9" s="225"/>
      <c r="P9" s="225"/>
      <c r="Q9" s="225"/>
      <c r="R9" s="225"/>
      <c r="S9" s="225"/>
      <c r="T9" s="225"/>
      <c r="U9" s="225"/>
      <c r="V9" s="225"/>
      <c r="W9" s="225"/>
      <c r="X9" s="225"/>
      <c r="Y9" s="225"/>
      <c r="Z9" s="225"/>
      <c r="AA9" s="225"/>
      <c r="AB9" s="225"/>
      <c r="AC9" s="225"/>
      <c r="AD9" s="225"/>
      <c r="AE9" s="225"/>
      <c r="AF9" s="225"/>
      <c r="AG9" s="225"/>
      <c r="AH9" s="225"/>
      <c r="AI9" s="225"/>
      <c r="AJ9" s="225"/>
    </row>
    <row r="10" spans="1:36" s="191" customFormat="1">
      <c r="B10" s="218"/>
      <c r="C10" s="219"/>
      <c r="D10" s="220"/>
      <c r="E10" s="220"/>
      <c r="F10" s="220"/>
      <c r="G10" s="221"/>
      <c r="H10" s="226"/>
      <c r="I10" s="225"/>
      <c r="J10" s="225"/>
      <c r="K10" s="225"/>
      <c r="L10" s="227"/>
      <c r="M10" s="225"/>
      <c r="N10" s="225"/>
      <c r="O10" s="225"/>
      <c r="P10" s="225"/>
      <c r="Q10" s="225"/>
      <c r="R10" s="225"/>
      <c r="S10" s="225"/>
      <c r="T10" s="225"/>
      <c r="U10" s="225"/>
      <c r="V10" s="225"/>
      <c r="W10" s="225"/>
      <c r="X10" s="225"/>
      <c r="Y10" s="225"/>
      <c r="Z10" s="225"/>
      <c r="AA10" s="225"/>
      <c r="AB10" s="225"/>
      <c r="AC10" s="225"/>
      <c r="AD10" s="225"/>
      <c r="AE10" s="225"/>
      <c r="AF10" s="225"/>
      <c r="AG10" s="225"/>
      <c r="AH10" s="225"/>
      <c r="AI10" s="225"/>
      <c r="AJ10" s="225"/>
    </row>
    <row r="11" spans="1:36" ht="13">
      <c r="B11" s="228" t="s">
        <v>54</v>
      </c>
      <c r="C11" s="211"/>
      <c r="D11" s="212"/>
      <c r="E11" s="212"/>
      <c r="F11" s="212"/>
      <c r="G11" s="213"/>
      <c r="H11" s="214"/>
      <c r="I11" s="192"/>
      <c r="J11" s="192"/>
      <c r="K11" s="192"/>
      <c r="L11" s="215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</row>
    <row r="12" spans="1:36" ht="13">
      <c r="B12" s="229" t="s">
        <v>55</v>
      </c>
      <c r="C12" s="211" cm="1">
        <f t="array" ref="C12:G12">_xlfn.XLOOKUP($B12,IS!B:B,IS!D:H,0)</f>
        <v>13416</v>
      </c>
      <c r="D12" s="212">
        <v>13758</v>
      </c>
      <c r="E12" s="212">
        <v>14512</v>
      </c>
      <c r="F12" s="212">
        <v>14338</v>
      </c>
      <c r="G12" s="213">
        <v>12408</v>
      </c>
      <c r="H12" s="214"/>
      <c r="I12" s="192"/>
      <c r="J12" s="192"/>
      <c r="K12" s="192"/>
      <c r="L12" s="215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</row>
    <row r="13" spans="1:36" ht="13">
      <c r="B13" s="229" t="s">
        <v>56</v>
      </c>
      <c r="C13" s="211" cm="1">
        <f t="array" ref="C13:G13">_xlfn.XLOOKUP($B13,IS!B:B,IS!D:H,0)</f>
        <v>3505</v>
      </c>
      <c r="D13" s="212">
        <v>3561</v>
      </c>
      <c r="E13" s="212">
        <v>3548</v>
      </c>
      <c r="F13" s="212">
        <v>3583</v>
      </c>
      <c r="G13" s="213">
        <v>3075</v>
      </c>
      <c r="H13" s="214"/>
      <c r="I13" s="192"/>
      <c r="J13" s="192"/>
      <c r="K13" s="192"/>
      <c r="L13" s="215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</row>
    <row r="14" spans="1:36" ht="13">
      <c r="B14" s="229" t="s">
        <v>57</v>
      </c>
      <c r="C14" s="230">
        <f>C15-SUM(C12:C13)</f>
        <v>482</v>
      </c>
      <c r="D14" s="212">
        <f>D15-SUM(D12:D13)</f>
        <v>-527</v>
      </c>
      <c r="E14" s="212">
        <f>E15-SUM(E12:E13)</f>
        <v>855</v>
      </c>
      <c r="F14" s="212">
        <f>F15-SUM(F12:F13)</f>
        <v>642</v>
      </c>
      <c r="G14" s="213">
        <f>G15-SUM(G12:G13)</f>
        <v>480</v>
      </c>
      <c r="H14" s="214"/>
      <c r="I14" s="192"/>
      <c r="J14" s="192"/>
      <c r="K14" s="192"/>
      <c r="L14" s="215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2"/>
    </row>
    <row r="15" spans="1:36" s="231" customFormat="1" ht="13">
      <c r="B15" s="232" t="s">
        <v>58</v>
      </c>
      <c r="C15" s="233" cm="1">
        <f t="array" ref="C15:G15">_xlfn.XLOOKUP($B15,IS!B:B,IS!D:H,0)</f>
        <v>17403</v>
      </c>
      <c r="D15" s="234">
        <v>16792</v>
      </c>
      <c r="E15" s="234">
        <v>18915</v>
      </c>
      <c r="F15" s="234">
        <v>18563</v>
      </c>
      <c r="G15" s="235">
        <v>15963</v>
      </c>
      <c r="H15" s="236"/>
      <c r="L15" s="237"/>
    </row>
    <row r="16" spans="1:36">
      <c r="A16" s="192"/>
      <c r="B16" s="238"/>
      <c r="C16" s="230"/>
      <c r="D16" s="212"/>
      <c r="E16" s="212"/>
      <c r="F16" s="212"/>
      <c r="G16" s="213"/>
      <c r="H16" s="214"/>
      <c r="I16" s="192"/>
      <c r="J16" s="192"/>
      <c r="K16" s="192"/>
      <c r="L16" s="215"/>
    </row>
    <row r="17" spans="1:36" s="231" customFormat="1" ht="13">
      <c r="B17" s="232" t="s">
        <v>59</v>
      </c>
      <c r="C17" s="233" cm="1">
        <f t="array" ref="C17:G17">_xlfn.XLOOKUP($B17,IS!B:B,IS!D:H,0)</f>
        <v>2344</v>
      </c>
      <c r="D17" s="234">
        <v>3612</v>
      </c>
      <c r="E17" s="234">
        <v>2694</v>
      </c>
      <c r="F17" s="234">
        <v>2827</v>
      </c>
      <c r="G17" s="235">
        <v>1895</v>
      </c>
      <c r="H17" s="236"/>
      <c r="L17" s="237"/>
    </row>
    <row r="18" spans="1:36" s="191" customFormat="1" ht="13">
      <c r="B18" s="218" t="s">
        <v>60</v>
      </c>
      <c r="C18" s="239">
        <f>-(C12-C8)/C8</f>
        <v>0.3206056616194865</v>
      </c>
      <c r="D18" s="220">
        <f t="shared" ref="D18:G18" si="1">-(D12-D8)/D8</f>
        <v>0.32572044697118213</v>
      </c>
      <c r="E18" s="220">
        <f t="shared" si="1"/>
        <v>0.32842796982738676</v>
      </c>
      <c r="F18" s="220">
        <f t="shared" si="1"/>
        <v>0.32968676951846659</v>
      </c>
      <c r="G18" s="221">
        <f t="shared" si="1"/>
        <v>0.30518535110314704</v>
      </c>
      <c r="H18" s="222"/>
      <c r="I18" s="223"/>
      <c r="J18" s="223"/>
      <c r="K18" s="223"/>
      <c r="L18" s="224"/>
      <c r="M18" s="225"/>
      <c r="N18" s="225"/>
      <c r="O18" s="225"/>
      <c r="P18" s="225"/>
      <c r="Q18" s="225"/>
      <c r="R18" s="225"/>
      <c r="S18" s="225"/>
      <c r="T18" s="225"/>
      <c r="U18" s="225"/>
      <c r="V18" s="225"/>
      <c r="W18" s="225"/>
      <c r="X18" s="225"/>
      <c r="Y18" s="225"/>
      <c r="Z18" s="225"/>
      <c r="AA18" s="225"/>
      <c r="AB18" s="225"/>
      <c r="AC18" s="225"/>
      <c r="AD18" s="225"/>
      <c r="AE18" s="225"/>
      <c r="AF18" s="225"/>
      <c r="AG18" s="225"/>
      <c r="AH18" s="225"/>
      <c r="AI18" s="225"/>
      <c r="AJ18" s="225"/>
    </row>
    <row r="19" spans="1:36" s="191" customFormat="1">
      <c r="B19" s="218"/>
      <c r="C19" s="219"/>
      <c r="D19" s="220"/>
      <c r="E19" s="220"/>
      <c r="F19" s="220"/>
      <c r="G19" s="221"/>
      <c r="H19" s="226"/>
      <c r="I19" s="225"/>
      <c r="J19" s="225"/>
      <c r="K19" s="225"/>
      <c r="L19" s="227"/>
      <c r="M19" s="225"/>
      <c r="N19" s="225"/>
      <c r="O19" s="225"/>
      <c r="P19" s="225"/>
      <c r="Q19" s="225"/>
      <c r="R19" s="225"/>
      <c r="S19" s="225"/>
      <c r="T19" s="225"/>
      <c r="U19" s="225"/>
      <c r="V19" s="225"/>
      <c r="W19" s="225"/>
      <c r="X19" s="225"/>
      <c r="Y19" s="225"/>
      <c r="Z19" s="225"/>
      <c r="AA19" s="225"/>
      <c r="AB19" s="225"/>
      <c r="AC19" s="225"/>
      <c r="AD19" s="225"/>
      <c r="AE19" s="225"/>
      <c r="AF19" s="225"/>
      <c r="AG19" s="225"/>
      <c r="AH19" s="225"/>
      <c r="AI19" s="225"/>
      <c r="AJ19" s="225"/>
    </row>
    <row r="20" spans="1:36" ht="13">
      <c r="A20" s="192"/>
      <c r="B20" s="228" t="s">
        <v>61</v>
      </c>
      <c r="C20" s="211"/>
      <c r="D20" s="212"/>
      <c r="E20" s="212"/>
      <c r="F20" s="212"/>
      <c r="G20" s="213"/>
      <c r="H20" s="214"/>
      <c r="I20" s="192"/>
      <c r="J20" s="192"/>
      <c r="K20" s="192"/>
      <c r="L20" s="215"/>
    </row>
    <row r="21" spans="1:36" ht="13">
      <c r="A21" s="192"/>
      <c r="B21" s="229" t="s">
        <v>62</v>
      </c>
      <c r="C21" s="211" cm="1">
        <f t="array" ref="C21:G21">_xlfn.XLOOKUP($B21,IS!B:B,IS!D:H,0)</f>
        <v>0</v>
      </c>
      <c r="D21" s="212">
        <v>0</v>
      </c>
      <c r="E21" s="212">
        <v>0</v>
      </c>
      <c r="F21" s="212">
        <v>0</v>
      </c>
      <c r="G21" s="213">
        <v>0</v>
      </c>
      <c r="H21" s="214"/>
      <c r="I21" s="192"/>
      <c r="J21" s="192"/>
      <c r="K21" s="192"/>
      <c r="L21" s="215"/>
    </row>
    <row r="22" spans="1:36" ht="13">
      <c r="A22" s="192"/>
      <c r="B22" s="229" t="s">
        <v>57</v>
      </c>
      <c r="C22" s="230" cm="1">
        <f t="array" ref="C22:G22">_xlfn.XLOOKUP($B22,IS!B:B,IS!D:H,0)</f>
        <v>-107</v>
      </c>
      <c r="D22" s="212">
        <v>-38</v>
      </c>
      <c r="E22" s="212">
        <v>-4</v>
      </c>
      <c r="F22" s="212">
        <v>36</v>
      </c>
      <c r="G22" s="213">
        <v>150</v>
      </c>
      <c r="H22" s="214"/>
      <c r="I22" s="192"/>
      <c r="J22" s="192"/>
      <c r="K22" s="192"/>
      <c r="L22" s="215"/>
    </row>
    <row r="23" spans="1:36" s="231" customFormat="1" ht="13">
      <c r="B23" s="232" t="s">
        <v>63</v>
      </c>
      <c r="C23" s="233" cm="1">
        <f t="array" ref="C23:G23">_xlfn.XLOOKUP($B23,IS!B:B,IS!D:H,0)</f>
        <v>2118</v>
      </c>
      <c r="D23" s="234">
        <v>3368</v>
      </c>
      <c r="E23" s="234">
        <v>2424</v>
      </c>
      <c r="F23" s="234">
        <v>2591</v>
      </c>
      <c r="G23" s="235">
        <v>1746</v>
      </c>
      <c r="H23" s="236"/>
      <c r="L23" s="237"/>
    </row>
    <row r="24" spans="1:36">
      <c r="A24" s="192"/>
      <c r="B24" s="238"/>
      <c r="C24" s="211"/>
      <c r="D24" s="212"/>
      <c r="E24" s="212"/>
      <c r="F24" s="212"/>
      <c r="G24" s="213"/>
      <c r="H24" s="214"/>
      <c r="I24" s="192"/>
      <c r="J24" s="192"/>
      <c r="K24" s="192"/>
      <c r="L24" s="215"/>
    </row>
    <row r="25" spans="1:36" ht="13">
      <c r="A25" s="192"/>
      <c r="B25" s="229" t="s">
        <v>64</v>
      </c>
      <c r="C25" s="230" cm="1">
        <f t="array" ref="C25:G25">_xlfn.XLOOKUP($B25,IS!B:B,IS!D:H,0)</f>
        <v>199</v>
      </c>
      <c r="D25" s="212">
        <v>444</v>
      </c>
      <c r="E25" s="212">
        <v>278</v>
      </c>
      <c r="F25" s="212">
        <v>378</v>
      </c>
      <c r="G25" s="213">
        <v>331</v>
      </c>
      <c r="H25" s="214"/>
      <c r="I25" s="192"/>
      <c r="J25" s="192"/>
      <c r="K25" s="192"/>
      <c r="L25" s="215"/>
    </row>
    <row r="26" spans="1:36" s="231" customFormat="1" ht="13">
      <c r="B26" s="232" t="s">
        <v>65</v>
      </c>
      <c r="C26" s="233" cm="1">
        <f t="array" ref="C26:G26">_xlfn.XLOOKUP($B26,IS!B:B,IS!D:H,0)</f>
        <v>1919</v>
      </c>
      <c r="D26" s="234">
        <v>2924</v>
      </c>
      <c r="E26" s="234">
        <v>2146</v>
      </c>
      <c r="F26" s="234">
        <v>2213</v>
      </c>
      <c r="G26" s="235">
        <v>1415</v>
      </c>
      <c r="H26" s="214"/>
      <c r="I26" s="192"/>
      <c r="J26" s="192"/>
      <c r="K26" s="192"/>
      <c r="L26" s="215"/>
    </row>
    <row r="27" spans="1:36" s="191" customFormat="1" ht="13">
      <c r="B27" s="218" t="s">
        <v>66</v>
      </c>
      <c r="C27" s="239">
        <f>C26/C8</f>
        <v>9.7179318377475066E-2</v>
      </c>
      <c r="D27" s="220">
        <f>D26/D8</f>
        <v>0.14330523426779063</v>
      </c>
      <c r="E27" s="220">
        <f>E26/E8</f>
        <v>9.9310472488315052E-2</v>
      </c>
      <c r="F27" s="220">
        <f>F26/F8</f>
        <v>0.10345956054230949</v>
      </c>
      <c r="G27" s="221">
        <f>G26/G8</f>
        <v>7.9236196662560196E-2</v>
      </c>
      <c r="H27" s="222"/>
      <c r="I27" s="223"/>
      <c r="J27" s="223"/>
      <c r="K27" s="223"/>
      <c r="L27" s="224"/>
      <c r="M27" s="225"/>
      <c r="N27" s="225"/>
      <c r="O27" s="225"/>
      <c r="P27" s="225"/>
      <c r="Q27" s="225"/>
      <c r="R27" s="225"/>
      <c r="S27" s="225"/>
      <c r="T27" s="225"/>
      <c r="U27" s="225"/>
      <c r="V27" s="225"/>
      <c r="W27" s="225"/>
      <c r="X27" s="225"/>
      <c r="Y27" s="225"/>
      <c r="Z27" s="225"/>
      <c r="AA27" s="225"/>
      <c r="AB27" s="225"/>
      <c r="AC27" s="225"/>
      <c r="AD27" s="225"/>
      <c r="AE27" s="225"/>
      <c r="AF27" s="225"/>
      <c r="AG27" s="225"/>
      <c r="AH27" s="225"/>
      <c r="AI27" s="225"/>
      <c r="AJ27" s="225"/>
    </row>
    <row r="28" spans="1:36" s="191" customFormat="1" ht="13">
      <c r="B28" s="218" t="s">
        <v>67</v>
      </c>
      <c r="C28" s="239">
        <f>C25/C23</f>
        <v>9.395656279508971E-2</v>
      </c>
      <c r="D28" s="220">
        <f t="shared" ref="D28:G28" si="2">D25/D23</f>
        <v>0.13182897862232779</v>
      </c>
      <c r="E28" s="220">
        <f t="shared" si="2"/>
        <v>0.11468646864686469</v>
      </c>
      <c r="F28" s="220">
        <f t="shared" si="2"/>
        <v>0.14588961790814359</v>
      </c>
      <c r="G28" s="221">
        <f t="shared" si="2"/>
        <v>0.18957617411225658</v>
      </c>
      <c r="H28" s="222"/>
      <c r="I28" s="223"/>
      <c r="J28" s="223"/>
      <c r="K28" s="223"/>
      <c r="L28" s="224"/>
      <c r="M28" s="225"/>
      <c r="N28" s="225"/>
      <c r="O28" s="225"/>
      <c r="P28" s="225"/>
      <c r="Q28" s="225"/>
      <c r="R28" s="225"/>
      <c r="S28" s="225"/>
      <c r="T28" s="225"/>
      <c r="U28" s="225"/>
      <c r="V28" s="225"/>
      <c r="W28" s="225"/>
      <c r="X28" s="225"/>
      <c r="Y28" s="225"/>
      <c r="Z28" s="225"/>
      <c r="AA28" s="225"/>
      <c r="AB28" s="225"/>
      <c r="AC28" s="225"/>
      <c r="AD28" s="225"/>
      <c r="AE28" s="225"/>
      <c r="AF28" s="225"/>
      <c r="AG28" s="225"/>
      <c r="AH28" s="225"/>
      <c r="AI28" s="225"/>
      <c r="AJ28" s="225"/>
    </row>
    <row r="29" spans="1:36" s="191" customFormat="1">
      <c r="B29" s="218"/>
      <c r="C29" s="219"/>
      <c r="D29" s="220"/>
      <c r="E29" s="220"/>
      <c r="F29" s="220"/>
      <c r="G29" s="221"/>
      <c r="H29" s="226"/>
      <c r="I29" s="225"/>
      <c r="J29" s="225"/>
      <c r="K29" s="225"/>
      <c r="L29" s="227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  <c r="AE29" s="225"/>
      <c r="AF29" s="225"/>
      <c r="AG29" s="225"/>
      <c r="AH29" s="225"/>
      <c r="AI29" s="225"/>
      <c r="AJ29" s="225"/>
    </row>
    <row r="30" spans="1:36" s="231" customFormat="1" ht="13">
      <c r="B30" s="240" t="s">
        <v>68</v>
      </c>
      <c r="C30" s="233">
        <f>C23+C113+C114</f>
        <v>3047</v>
      </c>
      <c r="D30" s="241">
        <f>D23+D113+D114</f>
        <v>4282</v>
      </c>
      <c r="E30" s="241">
        <f>E23+E113+E114</f>
        <v>3327</v>
      </c>
      <c r="F30" s="241">
        <f>F23+F113+F114</f>
        <v>3475</v>
      </c>
      <c r="G30" s="242">
        <f>G23+G113+G114</f>
        <v>2557</v>
      </c>
      <c r="H30" s="214"/>
      <c r="I30" s="192"/>
      <c r="J30" s="192"/>
      <c r="K30" s="192"/>
      <c r="L30" s="215"/>
    </row>
    <row r="31" spans="1:36" s="191" customFormat="1" ht="13">
      <c r="B31" s="218" t="s">
        <v>69</v>
      </c>
      <c r="C31" s="239">
        <f>C30/C8</f>
        <v>0.15430191927887779</v>
      </c>
      <c r="D31" s="220">
        <f>D30/C30-1</f>
        <v>0.40531670495569405</v>
      </c>
      <c r="E31" s="220">
        <f t="shared" ref="E31" si="3">E30/D30-1</f>
        <v>-0.22302662307333021</v>
      </c>
      <c r="F31" s="220">
        <f t="shared" ref="F31" si="4">F30/E30-1</f>
        <v>4.4484520589119336E-2</v>
      </c>
      <c r="G31" s="221">
        <f t="shared" ref="G31" si="5">G30/F30-1</f>
        <v>-0.26417266187050359</v>
      </c>
      <c r="H31" s="222"/>
      <c r="I31" s="223"/>
      <c r="J31" s="223"/>
      <c r="K31" s="223"/>
      <c r="L31" s="224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5"/>
      <c r="Z31" s="225"/>
      <c r="AA31" s="225"/>
      <c r="AB31" s="225"/>
      <c r="AC31" s="225"/>
      <c r="AD31" s="225"/>
      <c r="AE31" s="225"/>
      <c r="AF31" s="225"/>
      <c r="AG31" s="225"/>
      <c r="AH31" s="225"/>
      <c r="AI31" s="225"/>
      <c r="AJ31" s="225"/>
    </row>
    <row r="32" spans="1:36" s="191" customFormat="1">
      <c r="B32" s="218"/>
      <c r="C32" s="243"/>
      <c r="D32" s="220"/>
      <c r="E32" s="220"/>
      <c r="F32" s="220"/>
      <c r="G32" s="221"/>
      <c r="H32" s="226"/>
      <c r="I32" s="225"/>
      <c r="J32" s="225"/>
      <c r="K32" s="225"/>
      <c r="L32" s="227"/>
      <c r="M32" s="225"/>
      <c r="N32" s="225"/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5"/>
      <c r="Z32" s="225"/>
      <c r="AA32" s="225"/>
      <c r="AB32" s="225"/>
      <c r="AC32" s="225"/>
      <c r="AD32" s="225"/>
      <c r="AE32" s="225"/>
      <c r="AF32" s="225"/>
      <c r="AG32" s="225"/>
      <c r="AH32" s="225"/>
      <c r="AI32" s="225"/>
      <c r="AJ32" s="225"/>
    </row>
    <row r="33" spans="1:12" s="231" customFormat="1" ht="13">
      <c r="B33" s="232" t="s">
        <v>70</v>
      </c>
      <c r="C33" s="211" cm="1">
        <f t="array" ref="C33:G33">_xlfn.XLOOKUP($B33,IS!B:B,IS!D:H,0)</f>
        <v>0</v>
      </c>
      <c r="D33" s="234">
        <v>62</v>
      </c>
      <c r="E33" s="234">
        <v>0</v>
      </c>
      <c r="F33" s="234">
        <v>0</v>
      </c>
      <c r="G33" s="235">
        <v>0</v>
      </c>
      <c r="H33" s="236"/>
      <c r="L33" s="237"/>
    </row>
    <row r="34" spans="1:12" s="231" customFormat="1" ht="13">
      <c r="B34" s="238" t="s">
        <v>71</v>
      </c>
      <c r="C34" s="233" cm="1">
        <f t="array" ref="C34:G34">_xlfn.XLOOKUP($B34,IS!B:B,IS!D:H,0)</f>
        <v>1916</v>
      </c>
      <c r="D34" s="241">
        <v>2923</v>
      </c>
      <c r="E34" s="241">
        <v>2145</v>
      </c>
      <c r="F34" s="241">
        <v>2211</v>
      </c>
      <c r="G34" s="242">
        <v>1410</v>
      </c>
      <c r="H34" s="236"/>
      <c r="L34" s="237"/>
    </row>
    <row r="35" spans="1:12" s="231" customFormat="1" ht="13">
      <c r="B35" s="244" t="s">
        <v>72</v>
      </c>
      <c r="C35" s="245" cm="1">
        <f t="array" ref="C35:G35">_xlfn.XLOOKUP($B35,IS!B:B,IS!D:H,0)</f>
        <v>1916</v>
      </c>
      <c r="D35" s="246">
        <v>2985</v>
      </c>
      <c r="E35" s="246">
        <v>2145</v>
      </c>
      <c r="F35" s="246">
        <v>2211</v>
      </c>
      <c r="G35" s="247">
        <v>1410</v>
      </c>
      <c r="H35" s="236"/>
      <c r="L35" s="237"/>
    </row>
    <row r="36" spans="1:12">
      <c r="A36" s="192"/>
      <c r="B36" s="238"/>
      <c r="C36" s="211"/>
      <c r="D36" s="212"/>
      <c r="E36" s="212"/>
      <c r="F36" s="212"/>
      <c r="G36" s="213"/>
      <c r="H36" s="214"/>
      <c r="I36" s="192"/>
      <c r="J36" s="192"/>
      <c r="K36" s="192"/>
      <c r="L36" s="215"/>
    </row>
    <row r="37" spans="1:12" ht="13">
      <c r="A37" s="192"/>
      <c r="B37" s="228" t="s">
        <v>73</v>
      </c>
      <c r="C37" s="211"/>
      <c r="D37" s="212"/>
      <c r="E37" s="212"/>
      <c r="F37" s="212"/>
      <c r="G37" s="213"/>
      <c r="H37" s="214"/>
      <c r="I37" s="192"/>
      <c r="J37" s="192"/>
      <c r="K37" s="192"/>
      <c r="L37" s="215"/>
    </row>
    <row r="38" spans="1:12" ht="13">
      <c r="A38" s="192"/>
      <c r="B38" s="229" t="s">
        <v>74</v>
      </c>
      <c r="C38" s="248" cm="1">
        <f t="array" ref="C38:G38">_xlfn.XLOOKUP($B38,IS!B:B,IS!D:H,0)</f>
        <v>455</v>
      </c>
      <c r="D38" s="249">
        <v>445</v>
      </c>
      <c r="E38" s="249">
        <v>434</v>
      </c>
      <c r="F38" s="249">
        <v>419</v>
      </c>
      <c r="G38" s="250">
        <v>402</v>
      </c>
      <c r="H38" s="214"/>
      <c r="I38" s="192"/>
      <c r="J38" s="192"/>
      <c r="K38" s="192"/>
      <c r="L38" s="215"/>
    </row>
    <row r="39" spans="1:12" ht="13">
      <c r="A39" s="192"/>
      <c r="B39" s="229" t="s">
        <v>75</v>
      </c>
      <c r="C39" s="251" cm="1">
        <f t="array" ref="C39:G39">_xlfn.XLOOKUP($B39,IS!B:B,IS!D:H,0)</f>
        <v>4.21</v>
      </c>
      <c r="D39" s="252">
        <v>6.58</v>
      </c>
      <c r="E39" s="252">
        <v>4.9400000000000004</v>
      </c>
      <c r="F39" s="252">
        <v>5.28</v>
      </c>
      <c r="G39" s="253">
        <v>3.51</v>
      </c>
      <c r="H39" s="214"/>
      <c r="I39" s="192"/>
      <c r="J39" s="192"/>
      <c r="K39" s="192"/>
      <c r="L39" s="215"/>
    </row>
    <row r="40" spans="1:12" ht="13">
      <c r="A40" s="192"/>
      <c r="B40" s="229" t="s">
        <v>76</v>
      </c>
      <c r="C40" s="251" cm="1">
        <f t="array" ref="C40:G40">_xlfn.XLOOKUP($B40,IS!B:B,IS!D:H,0)</f>
        <v>4.21</v>
      </c>
      <c r="D40" s="252">
        <v>6.72</v>
      </c>
      <c r="E40" s="252">
        <v>4.9400000000000004</v>
      </c>
      <c r="F40" s="252">
        <v>5.28</v>
      </c>
      <c r="G40" s="253">
        <v>3.51</v>
      </c>
      <c r="H40" s="214"/>
      <c r="I40" s="192"/>
      <c r="J40" s="192"/>
      <c r="K40" s="192"/>
      <c r="L40" s="215"/>
    </row>
    <row r="41" spans="1:12">
      <c r="A41" s="192"/>
      <c r="B41" s="229"/>
      <c r="C41" s="254"/>
      <c r="D41" s="255"/>
      <c r="E41" s="255"/>
      <c r="F41" s="255"/>
      <c r="G41" s="256"/>
      <c r="H41" s="214"/>
      <c r="I41" s="192"/>
      <c r="J41" s="192"/>
      <c r="K41" s="192"/>
      <c r="L41" s="215"/>
    </row>
    <row r="42" spans="1:12" ht="13">
      <c r="A42" s="192"/>
      <c r="B42" s="228" t="s">
        <v>77</v>
      </c>
      <c r="C42" s="254"/>
      <c r="D42" s="255"/>
      <c r="E42" s="255"/>
      <c r="F42" s="255"/>
      <c r="G42" s="256"/>
      <c r="H42" s="214"/>
      <c r="I42" s="192"/>
      <c r="J42" s="192"/>
      <c r="K42" s="192"/>
      <c r="L42" s="215"/>
    </row>
    <row r="43" spans="1:12" ht="13">
      <c r="A43" s="192"/>
      <c r="B43" s="229" t="s">
        <v>78</v>
      </c>
      <c r="C43" s="211" cm="1">
        <f t="array" ref="C43:G43">_xlfn.XLOOKUP($B43,IS!B:B,IS!D:H,0)</f>
        <v>457</v>
      </c>
      <c r="D43" s="255">
        <v>447</v>
      </c>
      <c r="E43" s="255">
        <v>437</v>
      </c>
      <c r="F43" s="255">
        <v>421</v>
      </c>
      <c r="G43" s="256">
        <v>404</v>
      </c>
      <c r="H43" s="214"/>
      <c r="I43" s="192"/>
      <c r="J43" s="192"/>
      <c r="K43" s="192"/>
      <c r="L43" s="215"/>
    </row>
    <row r="44" spans="1:12" ht="13">
      <c r="A44" s="192"/>
      <c r="B44" s="229" t="s">
        <v>79</v>
      </c>
      <c r="C44" s="251" cm="1">
        <f t="array" ref="C44:G44">_xlfn.XLOOKUP($B44,IS!B:B,IS!D:H,0)</f>
        <v>4.2</v>
      </c>
      <c r="D44" s="252">
        <v>6.54</v>
      </c>
      <c r="E44" s="252">
        <v>4.91</v>
      </c>
      <c r="F44" s="252">
        <v>5.25</v>
      </c>
      <c r="G44" s="253">
        <v>3.49</v>
      </c>
      <c r="H44" s="214"/>
      <c r="I44" s="192"/>
      <c r="J44" s="192"/>
      <c r="K44" s="192"/>
      <c r="L44" s="215"/>
    </row>
    <row r="45" spans="1:12" ht="13">
      <c r="A45" s="192"/>
      <c r="B45" s="229" t="s">
        <v>80</v>
      </c>
      <c r="C45" s="251" cm="1">
        <f t="array" ref="C45:G45">_xlfn.XLOOKUP($B45,IS!B:B,IS!D:H,0)</f>
        <v>4.2</v>
      </c>
      <c r="D45" s="252">
        <v>6.68</v>
      </c>
      <c r="E45" s="252">
        <v>4.91</v>
      </c>
      <c r="F45" s="252">
        <v>5.25</v>
      </c>
      <c r="G45" s="253">
        <v>3.49</v>
      </c>
      <c r="H45" s="214"/>
      <c r="I45" s="192"/>
      <c r="J45" s="192"/>
      <c r="K45" s="192"/>
      <c r="L45" s="215"/>
    </row>
    <row r="46" spans="1:12">
      <c r="A46" s="192"/>
      <c r="B46" s="229"/>
      <c r="C46" s="254"/>
      <c r="D46" s="255"/>
      <c r="E46" s="255"/>
      <c r="F46" s="255"/>
      <c r="G46" s="256"/>
      <c r="H46" s="214"/>
      <c r="I46" s="192"/>
      <c r="J46" s="192"/>
      <c r="K46" s="192"/>
      <c r="L46" s="215"/>
    </row>
    <row r="47" spans="1:12" ht="13">
      <c r="A47" s="192"/>
      <c r="B47" s="257" t="s">
        <v>81</v>
      </c>
      <c r="C47" s="211"/>
      <c r="D47" s="212"/>
      <c r="E47" s="212"/>
      <c r="F47" s="212"/>
      <c r="G47" s="213"/>
      <c r="H47" s="214"/>
      <c r="I47" s="192"/>
      <c r="J47" s="192"/>
      <c r="K47" s="192"/>
      <c r="L47" s="215"/>
    </row>
    <row r="48" spans="1:12" ht="13">
      <c r="A48" s="192"/>
      <c r="B48" s="229" t="s">
        <v>82</v>
      </c>
      <c r="C48" s="248" cm="1">
        <f t="array" ref="C48:G48">_xlfn.XLOOKUP($B48,IS!B:B,IS!D:H,0)</f>
        <v>1037</v>
      </c>
      <c r="D48" s="249">
        <v>1068</v>
      </c>
      <c r="E48" s="249">
        <v>1149</v>
      </c>
      <c r="F48" s="249">
        <v>1201</v>
      </c>
      <c r="G48" s="250">
        <v>1175</v>
      </c>
      <c r="H48" s="214"/>
      <c r="I48" s="192"/>
      <c r="J48" s="192"/>
      <c r="K48" s="192"/>
      <c r="L48" s="215"/>
    </row>
    <row r="49" spans="1:12">
      <c r="A49" s="192"/>
      <c r="B49" s="229"/>
      <c r="C49" s="211"/>
      <c r="D49" s="212"/>
      <c r="E49" s="212"/>
      <c r="F49" s="212"/>
      <c r="G49" s="213"/>
      <c r="H49" s="214"/>
      <c r="I49" s="192"/>
      <c r="J49" s="192"/>
      <c r="K49" s="192"/>
      <c r="L49" s="215"/>
    </row>
    <row r="50" spans="1:12" ht="13">
      <c r="A50" s="192"/>
      <c r="B50" s="258" t="s">
        <v>83</v>
      </c>
      <c r="C50" s="211"/>
      <c r="D50" s="212"/>
      <c r="E50" s="212"/>
      <c r="F50" s="212"/>
      <c r="G50" s="213"/>
      <c r="H50" s="214"/>
      <c r="I50" s="192"/>
      <c r="J50" s="192"/>
      <c r="K50" s="192"/>
      <c r="L50" s="215"/>
    </row>
    <row r="51" spans="1:12" ht="13">
      <c r="A51" s="192"/>
      <c r="B51" s="229" t="s">
        <v>84</v>
      </c>
      <c r="C51" s="251" cm="1">
        <f t="array" ref="C51:G51">_xlfn.XLOOKUP($B51,IS!B:B,IS!D:H,0)</f>
        <v>4.6399999999999997</v>
      </c>
      <c r="D51" s="252">
        <v>4.71</v>
      </c>
      <c r="E51" s="252">
        <v>5.75</v>
      </c>
      <c r="F51" s="252">
        <v>5.68</v>
      </c>
      <c r="G51" s="253">
        <v>4.04</v>
      </c>
      <c r="H51" s="214"/>
      <c r="I51" s="192"/>
      <c r="J51" s="192"/>
      <c r="K51" s="192"/>
      <c r="L51" s="215"/>
    </row>
    <row r="52" spans="1:12" ht="14" thickBot="1">
      <c r="A52" s="192"/>
      <c r="B52" s="259" t="s">
        <v>85</v>
      </c>
      <c r="C52" s="260" cm="1">
        <f t="array" ref="C52:G52">_xlfn.XLOOKUP($B52,IS!B:B,IS!D:H,0)</f>
        <v>4.62</v>
      </c>
      <c r="D52" s="261">
        <v>4.68</v>
      </c>
      <c r="E52" s="261">
        <v>5.71</v>
      </c>
      <c r="F52" s="261">
        <v>5.66</v>
      </c>
      <c r="G52" s="262">
        <v>4.0199999999999996</v>
      </c>
      <c r="H52" s="263"/>
      <c r="I52" s="264"/>
      <c r="J52" s="264"/>
      <c r="K52" s="264"/>
      <c r="L52" s="265"/>
    </row>
    <row r="53" spans="1:12" s="192" customFormat="1" ht="15">
      <c r="B53" s="266"/>
      <c r="C53" s="212"/>
      <c r="D53" s="212"/>
      <c r="E53" s="212"/>
      <c r="F53" s="212"/>
      <c r="G53" s="212"/>
    </row>
    <row r="54" spans="1:12" s="192" customFormat="1" ht="16" thickBot="1">
      <c r="B54" s="267"/>
      <c r="C54" s="212"/>
      <c r="D54" s="212"/>
      <c r="E54" s="212"/>
      <c r="F54" s="212"/>
      <c r="G54" s="212"/>
      <c r="H54" s="264"/>
      <c r="I54" s="264"/>
      <c r="J54" s="264"/>
      <c r="K54" s="264"/>
      <c r="L54" s="264"/>
    </row>
    <row r="55" spans="1:12">
      <c r="A55" s="192"/>
      <c r="B55" s="268" t="s">
        <v>86</v>
      </c>
      <c r="C55" s="204"/>
      <c r="D55" s="205"/>
      <c r="E55" s="205"/>
      <c r="F55" s="205"/>
      <c r="G55" s="206"/>
      <c r="H55" s="208"/>
      <c r="I55" s="208"/>
      <c r="J55" s="208"/>
      <c r="K55" s="208"/>
      <c r="L55" s="209"/>
    </row>
    <row r="56" spans="1:12">
      <c r="A56" s="192"/>
      <c r="B56" s="214"/>
      <c r="C56" s="211"/>
      <c r="D56" s="212"/>
      <c r="E56" s="212"/>
      <c r="F56" s="212"/>
      <c r="G56" s="213"/>
      <c r="H56" s="192"/>
      <c r="I56" s="192"/>
      <c r="J56" s="192"/>
      <c r="K56" s="192"/>
      <c r="L56" s="215"/>
    </row>
    <row r="57" spans="1:12" ht="15">
      <c r="A57" s="192"/>
      <c r="B57" s="269" t="s">
        <v>87</v>
      </c>
      <c r="C57" s="211"/>
      <c r="D57" s="212"/>
      <c r="E57" s="212"/>
      <c r="F57" s="212"/>
      <c r="G57" s="213"/>
      <c r="H57" s="192"/>
      <c r="I57" s="192"/>
      <c r="J57" s="192"/>
      <c r="K57" s="192"/>
      <c r="L57" s="215"/>
    </row>
    <row r="58" spans="1:12">
      <c r="A58" s="192"/>
      <c r="B58" s="270" t="s">
        <v>88</v>
      </c>
      <c r="C58" s="211" cm="1">
        <f t="array" ref="C58">_xlfn.XLOOKUP($B58,BS!B:B,BS!D:H,0)</f>
        <v>0</v>
      </c>
      <c r="D58" s="212"/>
      <c r="E58" s="212"/>
      <c r="F58" s="212"/>
      <c r="G58" s="213"/>
      <c r="H58" s="192"/>
      <c r="I58" s="192"/>
      <c r="J58" s="192"/>
      <c r="K58" s="192"/>
      <c r="L58" s="215"/>
    </row>
    <row r="59" spans="1:12">
      <c r="A59" s="192"/>
      <c r="B59" s="270" t="s">
        <v>89</v>
      </c>
      <c r="C59" s="211" cm="1">
        <f t="array" ref="C59:G59">_xlfn.XLOOKUP($B59,BS!B:B,BS!D:H,0)</f>
        <v>746</v>
      </c>
      <c r="D59" s="212">
        <v>1095</v>
      </c>
      <c r="E59" s="212">
        <v>440</v>
      </c>
      <c r="F59" s="212">
        <v>591</v>
      </c>
      <c r="G59" s="213">
        <v>1102</v>
      </c>
      <c r="H59" s="192"/>
      <c r="I59" s="192"/>
      <c r="J59" s="192"/>
      <c r="K59" s="192"/>
      <c r="L59" s="215"/>
    </row>
    <row r="60" spans="1:12">
      <c r="A60" s="192"/>
      <c r="B60" s="270" t="s">
        <v>90</v>
      </c>
      <c r="C60" s="211" cm="1">
        <f t="array" ref="C60:G60">_xlfn.XLOOKUP($B60,BS!B:B,BS!D:H,0)</f>
        <v>3560</v>
      </c>
      <c r="D60" s="212">
        <v>3943</v>
      </c>
      <c r="E60" s="212">
        <v>3858</v>
      </c>
      <c r="F60" s="212">
        <v>3437</v>
      </c>
      <c r="G60" s="213">
        <v>2904</v>
      </c>
      <c r="H60" s="192"/>
      <c r="I60" s="192"/>
      <c r="J60" s="192"/>
      <c r="K60" s="192"/>
      <c r="L60" s="215"/>
    </row>
    <row r="61" spans="1:12">
      <c r="A61" s="192"/>
      <c r="B61" s="270" t="s">
        <v>91</v>
      </c>
      <c r="C61" s="211" cm="1">
        <f t="array" ref="C61:G61">_xlfn.XLOOKUP($B61,BS!B:B,BS!D:H,0)</f>
        <v>2346</v>
      </c>
      <c r="D61" s="212">
        <v>2620</v>
      </c>
      <c r="E61" s="212">
        <v>2785</v>
      </c>
      <c r="F61" s="212">
        <v>2805</v>
      </c>
      <c r="G61" s="213">
        <v>2109</v>
      </c>
      <c r="H61" s="192"/>
      <c r="I61" s="192"/>
      <c r="J61" s="192"/>
      <c r="K61" s="192"/>
      <c r="L61" s="215"/>
    </row>
    <row r="62" spans="1:12">
      <c r="A62" s="192"/>
      <c r="B62" s="270" t="s">
        <v>92</v>
      </c>
      <c r="C62" s="211" cm="1">
        <f t="array" ref="C62:G62">_xlfn.XLOOKUP($B62,BS!B:B,BS!D:H,0)</f>
        <v>336</v>
      </c>
      <c r="D62" s="212">
        <v>631</v>
      </c>
      <c r="E62" s="212">
        <v>448</v>
      </c>
      <c r="F62" s="212">
        <v>456</v>
      </c>
      <c r="G62" s="213">
        <v>576</v>
      </c>
      <c r="H62" s="192"/>
      <c r="I62" s="192"/>
      <c r="J62" s="192"/>
      <c r="K62" s="192"/>
      <c r="L62" s="215"/>
    </row>
    <row r="63" spans="1:12">
      <c r="A63" s="192"/>
      <c r="B63" s="270" t="s">
        <v>93</v>
      </c>
      <c r="C63" s="211" cm="1">
        <f t="array" ref="C63:G63">_xlfn.XLOOKUP($B63,BS!B:B,BS!D:H,0)</f>
        <v>0</v>
      </c>
      <c r="D63" s="212">
        <v>0</v>
      </c>
      <c r="E63" s="212">
        <v>0</v>
      </c>
      <c r="F63" s="212">
        <v>325</v>
      </c>
      <c r="G63" s="213">
        <v>468</v>
      </c>
      <c r="H63" s="192"/>
      <c r="I63" s="192"/>
      <c r="J63" s="192"/>
      <c r="K63" s="192"/>
      <c r="L63" s="215"/>
    </row>
    <row r="64" spans="1:12" s="231" customFormat="1">
      <c r="B64" s="270" t="s">
        <v>94</v>
      </c>
      <c r="C64" s="230">
        <f>C65-SUM(C59:C63)</f>
        <v>45</v>
      </c>
      <c r="D64" s="212">
        <f>D65-SUM(D59:D63)</f>
        <v>48</v>
      </c>
      <c r="E64" s="212">
        <f>E65-SUM(E59:E63)</f>
        <v>59</v>
      </c>
      <c r="F64" s="212">
        <f>F65-SUM(F59:F63)</f>
        <v>1114</v>
      </c>
      <c r="G64" s="213">
        <f>G65-SUM(G59:G63)</f>
        <v>2019</v>
      </c>
      <c r="L64" s="237"/>
    </row>
    <row r="65" spans="1:12" s="231" customFormat="1">
      <c r="B65" s="271" t="s">
        <v>95</v>
      </c>
      <c r="C65" s="211" cm="1">
        <f t="array" ref="C65:G65">_xlfn.XLOOKUP($B65,BS!B:B,BS!D:H,0)</f>
        <v>7033</v>
      </c>
      <c r="D65" s="234">
        <v>8337</v>
      </c>
      <c r="E65" s="234">
        <v>7590</v>
      </c>
      <c r="F65" s="234">
        <v>8728</v>
      </c>
      <c r="G65" s="235">
        <v>9178</v>
      </c>
      <c r="L65" s="237"/>
    </row>
    <row r="66" spans="1:12">
      <c r="A66" s="192"/>
      <c r="B66" s="236"/>
      <c r="C66" s="233"/>
      <c r="D66" s="241"/>
      <c r="E66" s="241"/>
      <c r="F66" s="241"/>
      <c r="G66" s="242"/>
      <c r="H66" s="192"/>
      <c r="I66" s="192"/>
      <c r="J66" s="192"/>
      <c r="K66" s="192"/>
      <c r="L66" s="215"/>
    </row>
    <row r="67" spans="1:12">
      <c r="A67" s="192"/>
      <c r="B67" s="270" t="s">
        <v>96</v>
      </c>
      <c r="C67" s="211" cm="1">
        <f t="array" ref="C67:G67">_xlfn.XLOOKUP($B67,BS!B:B,BS!D:H,0)</f>
        <v>-4596</v>
      </c>
      <c r="D67" s="212">
        <v>-5003</v>
      </c>
      <c r="E67" s="212">
        <v>-5105</v>
      </c>
      <c r="F67" s="212">
        <v>-5210</v>
      </c>
      <c r="G67" s="213">
        <v>-4624</v>
      </c>
      <c r="H67" s="192"/>
      <c r="I67" s="192"/>
      <c r="J67" s="192"/>
      <c r="K67" s="192"/>
      <c r="L67" s="215"/>
    </row>
    <row r="68" spans="1:12">
      <c r="A68" s="192"/>
      <c r="B68" s="270" t="s">
        <v>97</v>
      </c>
      <c r="C68" s="211" cm="1">
        <f t="array" ref="C68:G68">_xlfn.XLOOKUP($B68,BS!B:B,BS!D:H,0)</f>
        <v>3443</v>
      </c>
      <c r="D68" s="212">
        <v>3502</v>
      </c>
      <c r="E68" s="212">
        <v>3467</v>
      </c>
      <c r="F68" s="212">
        <v>3932</v>
      </c>
      <c r="G68" s="213">
        <v>3392</v>
      </c>
      <c r="H68" s="192"/>
      <c r="I68" s="192"/>
      <c r="J68" s="192"/>
      <c r="K68" s="192"/>
      <c r="L68" s="215"/>
    </row>
    <row r="69" spans="1:12">
      <c r="A69" s="192"/>
      <c r="B69" s="270" t="s">
        <v>98</v>
      </c>
      <c r="C69" s="211" cm="1">
        <f t="array" ref="C69:G69">_xlfn.XLOOKUP($B69,BS!B:B,BS!D:H,0)</f>
        <v>13201</v>
      </c>
      <c r="D69" s="212">
        <v>13568</v>
      </c>
      <c r="E69" s="212">
        <v>13328</v>
      </c>
      <c r="F69" s="212">
        <v>13456</v>
      </c>
      <c r="G69" s="213">
        <v>12903</v>
      </c>
      <c r="H69" s="192"/>
      <c r="I69" s="192"/>
      <c r="J69" s="192"/>
      <c r="K69" s="192"/>
      <c r="L69" s="215"/>
    </row>
    <row r="70" spans="1:12">
      <c r="A70" s="192"/>
      <c r="B70" s="270" t="s">
        <v>99</v>
      </c>
      <c r="C70" s="211" cm="1">
        <f t="array" ref="C70:G70">_xlfn.XLOOKUP($B70,BS!B:B,BS!D:H,0)</f>
        <v>7636</v>
      </c>
      <c r="D70" s="212">
        <v>7871</v>
      </c>
      <c r="E70" s="212">
        <v>7542</v>
      </c>
      <c r="F70" s="212">
        <v>7467</v>
      </c>
      <c r="G70" s="213">
        <v>7286</v>
      </c>
      <c r="H70" s="192"/>
      <c r="I70" s="192"/>
      <c r="J70" s="192"/>
      <c r="K70" s="192"/>
      <c r="L70" s="215"/>
    </row>
    <row r="71" spans="1:12">
      <c r="A71" s="192"/>
      <c r="B71" s="270" t="s">
        <v>100</v>
      </c>
      <c r="C71" s="211" cm="1">
        <f t="array" ref="C71:G71">_xlfn.XLOOKUP($B71,BS!B:B,BS!D:H,0)</f>
        <v>-2122</v>
      </c>
      <c r="D71" s="212">
        <v>-2606</v>
      </c>
      <c r="E71" s="212">
        <v>-2696</v>
      </c>
      <c r="F71" s="212">
        <v>-2829</v>
      </c>
      <c r="G71" s="213">
        <v>-3111</v>
      </c>
      <c r="H71" s="192"/>
      <c r="I71" s="192"/>
      <c r="J71" s="192"/>
      <c r="K71" s="192"/>
      <c r="L71" s="215"/>
    </row>
    <row r="72" spans="1:12">
      <c r="A72" s="192"/>
      <c r="B72" s="270" t="s">
        <v>101</v>
      </c>
      <c r="C72" s="211" cm="1">
        <f t="array" ref="C72">_xlfn.XLOOKUP($B72,BS!B:B,BS!D:H,0)</f>
        <v>0</v>
      </c>
      <c r="D72" s="212"/>
      <c r="E72" s="212"/>
      <c r="F72" s="212"/>
      <c r="G72" s="213"/>
      <c r="H72" s="192"/>
      <c r="I72" s="192"/>
      <c r="J72" s="192"/>
      <c r="K72" s="192"/>
      <c r="L72" s="215"/>
    </row>
    <row r="73" spans="1:12">
      <c r="A73" s="192"/>
      <c r="B73" s="270" t="s">
        <v>102</v>
      </c>
      <c r="C73" s="211" cm="1">
        <f t="array" ref="C73:G73">_xlfn.XLOOKUP($B73,BS!B:B,BS!D:H,0)</f>
        <v>325</v>
      </c>
      <c r="D73" s="212">
        <v>253</v>
      </c>
      <c r="E73" s="212">
        <v>293</v>
      </c>
      <c r="F73" s="212">
        <v>372</v>
      </c>
      <c r="G73" s="213">
        <v>426</v>
      </c>
      <c r="H73" s="192"/>
      <c r="I73" s="192"/>
      <c r="J73" s="192"/>
      <c r="K73" s="192"/>
      <c r="L73" s="215"/>
    </row>
    <row r="74" spans="1:12" ht="13">
      <c r="A74" s="192"/>
      <c r="B74" s="272" t="s">
        <v>103</v>
      </c>
      <c r="C74" s="230">
        <f>C75-SUM(C67:C73)</f>
        <v>12589</v>
      </c>
      <c r="D74" s="212">
        <f>D75-SUM(D67:D73)</f>
        <v>15038</v>
      </c>
      <c r="E74" s="212">
        <f>E75-SUM(E67:E73)</f>
        <v>14263</v>
      </c>
      <c r="F74" s="212">
        <f>F75-SUM(F67:F73)</f>
        <v>15617</v>
      </c>
      <c r="G74" s="213">
        <f>G75-SUM(G67:G73)</f>
        <v>15552</v>
      </c>
      <c r="H74" s="192"/>
      <c r="I74" s="192"/>
      <c r="J74" s="192"/>
      <c r="K74" s="192"/>
      <c r="L74" s="215"/>
    </row>
    <row r="75" spans="1:12" s="231" customFormat="1">
      <c r="B75" s="273" t="s">
        <v>104</v>
      </c>
      <c r="C75" s="211" cm="1">
        <f t="array" ref="C75:G75">_xlfn.XLOOKUP($B75,BS!B:B,BS!D:H,0)</f>
        <v>30476</v>
      </c>
      <c r="D75" s="234">
        <v>32623</v>
      </c>
      <c r="E75" s="234">
        <v>31092</v>
      </c>
      <c r="F75" s="234">
        <v>32805</v>
      </c>
      <c r="G75" s="235">
        <v>31824</v>
      </c>
      <c r="L75" s="237"/>
    </row>
    <row r="76" spans="1:12">
      <c r="A76" s="192"/>
      <c r="B76" s="214"/>
      <c r="C76" s="211"/>
      <c r="D76" s="212"/>
      <c r="E76" s="212"/>
      <c r="F76" s="212"/>
      <c r="G76" s="213"/>
      <c r="H76" s="192"/>
      <c r="I76" s="192"/>
      <c r="J76" s="192"/>
      <c r="K76" s="192"/>
      <c r="L76" s="215"/>
    </row>
    <row r="77" spans="1:12" ht="15">
      <c r="A77" s="192"/>
      <c r="B77" s="269" t="s">
        <v>105</v>
      </c>
      <c r="C77" s="211"/>
      <c r="D77" s="212"/>
      <c r="E77" s="212"/>
      <c r="F77" s="212"/>
      <c r="G77" s="213"/>
      <c r="H77" s="192"/>
      <c r="I77" s="192"/>
      <c r="J77" s="192"/>
      <c r="K77" s="192"/>
      <c r="L77" s="215"/>
    </row>
    <row r="78" spans="1:12">
      <c r="A78" s="192"/>
      <c r="B78" s="270" t="s">
        <v>106</v>
      </c>
      <c r="C78" s="211" cm="1">
        <f t="array" ref="C78:G78">_xlfn.XLOOKUP($B78,BS!B:B,BS!D:H,0)</f>
        <v>1718</v>
      </c>
      <c r="D78" s="212">
        <v>2166</v>
      </c>
      <c r="E78" s="212">
        <v>2130</v>
      </c>
      <c r="F78" s="212">
        <v>2114</v>
      </c>
      <c r="G78" s="213">
        <v>1987</v>
      </c>
      <c r="H78" s="192"/>
      <c r="I78" s="192"/>
      <c r="J78" s="192"/>
      <c r="K78" s="192"/>
      <c r="L78" s="215"/>
    </row>
    <row r="79" spans="1:12">
      <c r="A79" s="192"/>
      <c r="B79" s="270" t="s">
        <v>107</v>
      </c>
      <c r="C79" s="211" cm="1">
        <f t="array" ref="C79:G79">_xlfn.XLOOKUP($B79,BS!B:B,BS!D:H,0)</f>
        <v>379</v>
      </c>
      <c r="D79" s="212">
        <v>453</v>
      </c>
      <c r="E79" s="212">
        <v>457</v>
      </c>
      <c r="F79" s="212">
        <v>570</v>
      </c>
      <c r="G79" s="213">
        <v>467</v>
      </c>
      <c r="H79" s="192"/>
      <c r="I79" s="192"/>
      <c r="J79" s="192"/>
      <c r="K79" s="192"/>
      <c r="L79" s="215"/>
    </row>
    <row r="80" spans="1:12">
      <c r="A80" s="192"/>
      <c r="B80" s="270" t="s">
        <v>108</v>
      </c>
      <c r="C80" s="211" cm="1">
        <f t="array" ref="C80:G80">_xlfn.XLOOKUP($B80,BS!B:B,BS!D:H,0)</f>
        <v>14</v>
      </c>
      <c r="D80" s="212">
        <v>6</v>
      </c>
      <c r="E80" s="212">
        <v>414</v>
      </c>
      <c r="F80" s="212">
        <v>255</v>
      </c>
      <c r="G80" s="213">
        <v>1</v>
      </c>
      <c r="H80" s="192"/>
      <c r="I80" s="192"/>
      <c r="J80" s="192"/>
      <c r="K80" s="192"/>
      <c r="L80" s="215"/>
    </row>
    <row r="81" spans="1:12">
      <c r="A81" s="192"/>
      <c r="B81" s="270" t="s">
        <v>109</v>
      </c>
      <c r="C81" s="211" cm="1">
        <f t="array" ref="C81:G81">_xlfn.XLOOKUP($B81,BS!B:B,BS!D:H,0)</f>
        <v>1552</v>
      </c>
      <c r="D81" s="212">
        <v>578</v>
      </c>
      <c r="E81" s="212">
        <v>339</v>
      </c>
      <c r="F81" s="212">
        <v>248</v>
      </c>
      <c r="G81" s="213">
        <v>1047</v>
      </c>
      <c r="H81" s="192"/>
      <c r="I81" s="192"/>
      <c r="J81" s="192"/>
      <c r="K81" s="192"/>
      <c r="L81" s="215"/>
    </row>
    <row r="82" spans="1:12">
      <c r="A82" s="192"/>
      <c r="B82" s="270" t="s">
        <v>110</v>
      </c>
      <c r="C82" s="230">
        <f>C83-SUM(C78:C81)</f>
        <v>1822</v>
      </c>
      <c r="D82" s="212">
        <f>D83-SUM(D78:D81)</f>
        <v>1872</v>
      </c>
      <c r="E82" s="212">
        <f>E83-SUM(E78:E81)</f>
        <v>1814</v>
      </c>
      <c r="F82" s="212">
        <f>F83-SUM(F78:F81)</f>
        <v>1945</v>
      </c>
      <c r="G82" s="213">
        <f>G83-SUM(G78:G81)</f>
        <v>2379</v>
      </c>
      <c r="H82" s="192"/>
      <c r="I82" s="192"/>
      <c r="J82" s="192"/>
      <c r="K82" s="192"/>
      <c r="L82" s="215"/>
    </row>
    <row r="83" spans="1:12" s="231" customFormat="1">
      <c r="B83" s="273" t="s">
        <v>111</v>
      </c>
      <c r="C83" s="211" cm="1">
        <f t="array" ref="C83:G83">_xlfn.XLOOKUP($B83,BS!B:B,BS!D:H,0)</f>
        <v>5485</v>
      </c>
      <c r="D83" s="234">
        <v>5075</v>
      </c>
      <c r="E83" s="234">
        <v>5154</v>
      </c>
      <c r="F83" s="234">
        <v>5132</v>
      </c>
      <c r="G83" s="235">
        <v>5881</v>
      </c>
      <c r="L83" s="237"/>
    </row>
    <row r="84" spans="1:12">
      <c r="A84" s="192"/>
      <c r="B84" s="274"/>
      <c r="C84" s="233"/>
      <c r="D84" s="241"/>
      <c r="E84" s="241"/>
      <c r="F84" s="241"/>
      <c r="G84" s="242"/>
      <c r="H84" s="192"/>
      <c r="I84" s="192"/>
      <c r="J84" s="192"/>
      <c r="K84" s="192"/>
      <c r="L84" s="215"/>
    </row>
    <row r="85" spans="1:12">
      <c r="A85" s="192"/>
      <c r="B85" s="270" t="s">
        <v>112</v>
      </c>
      <c r="C85" s="230" cm="1">
        <f t="array" ref="C85:G85">_xlfn.XLOOKUP($B85,BS!B:B,BS!D:H,0)</f>
        <v>6711</v>
      </c>
      <c r="D85" s="212">
        <v>7167</v>
      </c>
      <c r="E85" s="212">
        <v>6768</v>
      </c>
      <c r="F85" s="212">
        <v>7819</v>
      </c>
      <c r="G85" s="213">
        <v>7010</v>
      </c>
      <c r="H85" s="192"/>
      <c r="I85" s="192"/>
      <c r="J85" s="192"/>
      <c r="K85" s="192"/>
      <c r="L85" s="215"/>
    </row>
    <row r="86" spans="1:12" s="231" customFormat="1">
      <c r="B86" s="273" t="s">
        <v>113</v>
      </c>
      <c r="C86" s="211" cm="1">
        <f t="array" ref="C86:G86">_xlfn.XLOOKUP($B86,BS!B:B,BS!D:H,0)</f>
        <v>8277</v>
      </c>
      <c r="D86" s="234">
        <v>7751</v>
      </c>
      <c r="E86" s="234">
        <v>7521</v>
      </c>
      <c r="F86" s="234">
        <v>8322</v>
      </c>
      <c r="G86" s="235">
        <v>8058</v>
      </c>
      <c r="L86" s="237"/>
    </row>
    <row r="87" spans="1:12">
      <c r="A87" s="192"/>
      <c r="B87" s="274"/>
      <c r="C87" s="233"/>
      <c r="D87" s="241"/>
      <c r="E87" s="241"/>
      <c r="F87" s="241"/>
      <c r="G87" s="242"/>
      <c r="H87" s="192"/>
      <c r="I87" s="192"/>
      <c r="J87" s="192"/>
      <c r="K87" s="192"/>
      <c r="L87" s="215"/>
    </row>
    <row r="88" spans="1:12">
      <c r="A88" s="192"/>
      <c r="B88" s="270" t="s">
        <v>114</v>
      </c>
      <c r="C88" s="211" cm="1">
        <f t="array" ref="C88:G88">_xlfn.XLOOKUP($B88,BS!B:B,BS!D:H,0)</f>
        <v>934</v>
      </c>
      <c r="D88" s="241">
        <v>965</v>
      </c>
      <c r="E88" s="241">
        <v>1054</v>
      </c>
      <c r="F88" s="241">
        <v>1535</v>
      </c>
      <c r="G88" s="242">
        <v>1765</v>
      </c>
      <c r="H88" s="192"/>
      <c r="I88" s="192"/>
      <c r="J88" s="192"/>
      <c r="K88" s="192"/>
      <c r="L88" s="215"/>
    </row>
    <row r="89" spans="1:12">
      <c r="A89" s="192"/>
      <c r="B89" s="270" t="s">
        <v>115</v>
      </c>
      <c r="C89" s="211" cm="1">
        <f t="array" ref="C89:G89">_xlfn.XLOOKUP($B89,BS!B:B,BS!D:H,0)</f>
        <v>44</v>
      </c>
      <c r="D89" s="212">
        <v>37</v>
      </c>
      <c r="E89" s="212">
        <v>35</v>
      </c>
      <c r="F89" s="212">
        <v>51</v>
      </c>
      <c r="G89" s="213">
        <v>43</v>
      </c>
      <c r="H89" s="192"/>
      <c r="I89" s="192"/>
      <c r="J89" s="192"/>
      <c r="K89" s="192"/>
      <c r="L89" s="215"/>
    </row>
    <row r="90" spans="1:12">
      <c r="A90" s="192"/>
      <c r="B90" s="270" t="s">
        <v>116</v>
      </c>
      <c r="C90" s="230" cm="1">
        <f t="array" ref="C90:G90">_xlfn.XLOOKUP($B90,BS!B:B,BS!D:H,0)</f>
        <v>2961</v>
      </c>
      <c r="D90" s="212">
        <v>2553</v>
      </c>
      <c r="E90" s="212">
        <v>2679</v>
      </c>
      <c r="F90" s="212">
        <v>3325</v>
      </c>
      <c r="G90" s="213">
        <v>3683</v>
      </c>
      <c r="H90" s="192"/>
      <c r="I90" s="192"/>
      <c r="J90" s="192"/>
      <c r="K90" s="192"/>
      <c r="L90" s="215"/>
    </row>
    <row r="91" spans="1:12" s="231" customFormat="1">
      <c r="B91" s="273" t="s">
        <v>117</v>
      </c>
      <c r="C91" s="211" cm="1">
        <f t="array" ref="C91:G91">_xlfn.XLOOKUP($B91,BS!B:B,BS!D:H,0)</f>
        <v>15522</v>
      </c>
      <c r="D91" s="234">
        <v>15370</v>
      </c>
      <c r="E91" s="234">
        <v>14985</v>
      </c>
      <c r="F91" s="234">
        <v>16723</v>
      </c>
      <c r="G91" s="235">
        <v>16894</v>
      </c>
      <c r="L91" s="237"/>
    </row>
    <row r="92" spans="1:12">
      <c r="A92" s="192"/>
      <c r="B92" s="214"/>
      <c r="C92" s="211"/>
      <c r="D92" s="212"/>
      <c r="E92" s="212"/>
      <c r="F92" s="212"/>
      <c r="G92" s="213"/>
      <c r="H92" s="192"/>
      <c r="I92" s="192"/>
      <c r="J92" s="192"/>
      <c r="K92" s="192"/>
      <c r="L92" s="215"/>
    </row>
    <row r="93" spans="1:12" ht="15">
      <c r="A93" s="192"/>
      <c r="B93" s="269" t="s">
        <v>118</v>
      </c>
      <c r="C93" s="211"/>
      <c r="D93" s="212"/>
      <c r="E93" s="212"/>
      <c r="F93" s="212"/>
      <c r="G93" s="213"/>
      <c r="H93" s="192"/>
      <c r="I93" s="192"/>
      <c r="J93" s="192"/>
      <c r="K93" s="192"/>
      <c r="L93" s="215"/>
    </row>
    <row r="94" spans="1:12" ht="13">
      <c r="A94" s="192"/>
      <c r="B94" s="272" t="s">
        <v>119</v>
      </c>
      <c r="C94" s="211" cm="1">
        <f t="array" ref="C94">_xlfn.XLOOKUP($B94,BS!B:B,BS!D:H,0)</f>
        <v>0</v>
      </c>
      <c r="D94" s="212"/>
      <c r="E94" s="212"/>
      <c r="F94" s="212"/>
      <c r="G94" s="213"/>
      <c r="H94" s="192"/>
      <c r="I94" s="192"/>
      <c r="J94" s="192"/>
      <c r="K94" s="192"/>
      <c r="L94" s="215"/>
    </row>
    <row r="95" spans="1:12" ht="13">
      <c r="A95" s="192"/>
      <c r="B95" s="272" t="s">
        <v>120</v>
      </c>
      <c r="C95" s="211" cm="1">
        <f t="array" ref="C95:G95">_xlfn.XLOOKUP($B95,BS!B:B,BS!D:H,0)</f>
        <v>5</v>
      </c>
      <c r="D95" s="212">
        <v>4</v>
      </c>
      <c r="E95" s="212">
        <v>4</v>
      </c>
      <c r="F95" s="212">
        <v>4</v>
      </c>
      <c r="G95" s="213">
        <v>4</v>
      </c>
      <c r="H95" s="192"/>
      <c r="I95" s="192"/>
      <c r="J95" s="192"/>
      <c r="K95" s="192"/>
      <c r="L95" s="215"/>
    </row>
    <row r="96" spans="1:12" ht="13">
      <c r="A96" s="192"/>
      <c r="B96" s="272" t="s">
        <v>121</v>
      </c>
      <c r="C96" s="211" cm="1">
        <f t="array" ref="C96:G96">_xlfn.XLOOKUP($B96,BS!B:B,BS!D:H,0)</f>
        <v>7555</v>
      </c>
      <c r="D96" s="212">
        <v>8669</v>
      </c>
      <c r="E96" s="212">
        <v>8161</v>
      </c>
      <c r="F96" s="212">
        <v>8170</v>
      </c>
      <c r="G96" s="213">
        <v>6794</v>
      </c>
      <c r="H96" s="192"/>
      <c r="I96" s="192"/>
      <c r="J96" s="192"/>
      <c r="K96" s="192"/>
      <c r="L96" s="215"/>
    </row>
    <row r="97" spans="1:12" ht="13">
      <c r="A97" s="192"/>
      <c r="B97" s="272" t="s">
        <v>122</v>
      </c>
      <c r="C97" s="211" cm="1">
        <f t="array" ref="C97">_xlfn.XLOOKUP($B97,BS!B:B,BS!D:H,0)</f>
        <v>0</v>
      </c>
      <c r="D97" s="212"/>
      <c r="E97" s="212"/>
      <c r="F97" s="212"/>
      <c r="G97" s="213"/>
      <c r="H97" s="192"/>
      <c r="I97" s="192"/>
      <c r="J97" s="192"/>
      <c r="K97" s="192"/>
      <c r="L97" s="215"/>
    </row>
    <row r="98" spans="1:12" ht="13">
      <c r="A98" s="192"/>
      <c r="B98" s="272" t="s">
        <v>123</v>
      </c>
      <c r="C98" s="211" cm="1">
        <f t="array" ref="C98:G98">_xlfn.XLOOKUP($B98,BS!B:B,BS!D:H,0)</f>
        <v>-3</v>
      </c>
      <c r="D98" s="212">
        <v>-3</v>
      </c>
      <c r="E98" s="212">
        <v>-3</v>
      </c>
      <c r="F98" s="212">
        <v>-2</v>
      </c>
      <c r="G98" s="213">
        <v>-2</v>
      </c>
      <c r="H98" s="192"/>
      <c r="I98" s="192"/>
      <c r="J98" s="192"/>
      <c r="K98" s="192"/>
      <c r="L98" s="215"/>
    </row>
    <row r="99" spans="1:12" ht="13">
      <c r="A99" s="192"/>
      <c r="B99" s="272" t="s">
        <v>124</v>
      </c>
      <c r="C99" s="211" cm="1">
        <f t="array" ref="C99:G99">_xlfn.XLOOKUP($B99,BS!B:B,BS!D:H,0)</f>
        <v>-1380</v>
      </c>
      <c r="D99" s="212">
        <v>-1139</v>
      </c>
      <c r="E99" s="212">
        <v>-1278</v>
      </c>
      <c r="F99" s="212">
        <v>-1408</v>
      </c>
      <c r="G99" s="213">
        <v>-1481</v>
      </c>
      <c r="H99" s="192"/>
      <c r="I99" s="192"/>
      <c r="J99" s="192"/>
      <c r="K99" s="192"/>
      <c r="L99" s="215"/>
    </row>
    <row r="100" spans="1:12" ht="13">
      <c r="A100" s="192"/>
      <c r="B100" s="272" t="s">
        <v>125</v>
      </c>
      <c r="C100" s="230" cm="1">
        <f t="array" ref="C100:G100">_xlfn.XLOOKUP($B100,BS!B:B,BS!D:H,0)</f>
        <v>-4451</v>
      </c>
      <c r="D100" s="212">
        <v>-3407</v>
      </c>
      <c r="E100" s="212">
        <v>-4148</v>
      </c>
      <c r="F100" s="212">
        <v>-4292</v>
      </c>
      <c r="G100" s="213">
        <v>-4197</v>
      </c>
      <c r="H100" s="192"/>
      <c r="I100" s="192"/>
      <c r="J100" s="192"/>
      <c r="K100" s="192"/>
      <c r="L100" s="215"/>
    </row>
    <row r="101" spans="1:12" s="231" customFormat="1" ht="13">
      <c r="B101" s="275" t="s">
        <v>126</v>
      </c>
      <c r="C101" s="230" cm="1">
        <f t="array" ref="C101:G101">_xlfn.XLOOKUP($B101,BS!B:B,BS!D:H,0)</f>
        <v>14954</v>
      </c>
      <c r="D101" s="234">
        <v>17253</v>
      </c>
      <c r="E101" s="234">
        <v>16107</v>
      </c>
      <c r="F101" s="234">
        <v>16082</v>
      </c>
      <c r="G101" s="235">
        <v>14930</v>
      </c>
      <c r="L101" s="237"/>
    </row>
    <row r="102" spans="1:12" s="231" customFormat="1" ht="13">
      <c r="B102" s="275" t="s">
        <v>127</v>
      </c>
      <c r="C102" s="230" cm="1">
        <f t="array" ref="C102:G102">_xlfn.XLOOKUP($B102,BS!B:B,BS!D:H,0)</f>
        <v>30476</v>
      </c>
      <c r="D102" s="234">
        <v>32623</v>
      </c>
      <c r="E102" s="234">
        <v>31092</v>
      </c>
      <c r="F102" s="234">
        <v>32805</v>
      </c>
      <c r="G102" s="235">
        <v>31824</v>
      </c>
      <c r="L102" s="237"/>
    </row>
    <row r="103" spans="1:12" s="231" customFormat="1">
      <c r="B103" s="275"/>
      <c r="C103" s="233"/>
      <c r="D103" s="234"/>
      <c r="E103" s="234"/>
      <c r="F103" s="234"/>
      <c r="G103" s="235"/>
      <c r="L103" s="237"/>
    </row>
    <row r="104" spans="1:12" s="231" customFormat="1" ht="13">
      <c r="B104" s="272" t="s">
        <v>128</v>
      </c>
      <c r="C104" s="251">
        <f>(C75-C91)/C106</f>
        <v>33.305122494432069</v>
      </c>
      <c r="D104" s="252">
        <f t="shared" ref="D104:G104" si="6">(D75-D91)/D106</f>
        <v>39.211363636363636</v>
      </c>
      <c r="E104" s="252">
        <f t="shared" si="6"/>
        <v>37.988207547169814</v>
      </c>
      <c r="F104" s="252">
        <f t="shared" si="6"/>
        <v>38.939467312348668</v>
      </c>
      <c r="G104" s="253">
        <f t="shared" si="6"/>
        <v>37.51256281407035</v>
      </c>
      <c r="L104" s="237"/>
    </row>
    <row r="105" spans="1:12" ht="13">
      <c r="A105" s="192"/>
      <c r="B105" s="272" t="s">
        <v>129</v>
      </c>
      <c r="C105" s="211" cm="1">
        <f t="array" ref="C105">_xlfn.XLOOKUP($B105,BS!B:B,BS!D:H,0)</f>
        <v>0</v>
      </c>
      <c r="D105" s="212"/>
      <c r="E105" s="212"/>
      <c r="F105" s="212"/>
      <c r="G105" s="213"/>
      <c r="H105" s="192"/>
      <c r="I105" s="192"/>
      <c r="J105" s="192"/>
      <c r="K105" s="192"/>
      <c r="L105" s="215"/>
    </row>
    <row r="106" spans="1:12" ht="14" thickBot="1">
      <c r="A106" s="192"/>
      <c r="B106" s="276" t="s">
        <v>130</v>
      </c>
      <c r="C106" s="277" cm="1">
        <f t="array" ref="C106:G106">_xlfn.XLOOKUP($B106,BS!B:B,BS!D:H,0)</f>
        <v>449</v>
      </c>
      <c r="D106" s="278">
        <v>440</v>
      </c>
      <c r="E106" s="278">
        <v>424</v>
      </c>
      <c r="F106" s="278">
        <v>413</v>
      </c>
      <c r="G106" s="279">
        <v>398</v>
      </c>
      <c r="H106" s="192"/>
      <c r="I106" s="192"/>
      <c r="J106" s="192"/>
      <c r="K106" s="192"/>
      <c r="L106" s="215"/>
    </row>
    <row r="107" spans="1:12" s="192" customFormat="1">
      <c r="C107" s="212"/>
      <c r="D107" s="212"/>
      <c r="E107" s="212"/>
      <c r="F107" s="212"/>
      <c r="G107" s="212"/>
    </row>
    <row r="108" spans="1:12" s="192" customFormat="1" ht="13" thickBot="1">
      <c r="C108" s="212"/>
      <c r="D108" s="212"/>
      <c r="E108" s="212"/>
      <c r="F108" s="212"/>
      <c r="G108" s="212"/>
    </row>
    <row r="109" spans="1:12">
      <c r="A109" s="192"/>
      <c r="B109" s="268" t="s">
        <v>131</v>
      </c>
      <c r="C109" s="204"/>
      <c r="D109" s="205"/>
      <c r="E109" s="205"/>
      <c r="F109" s="205"/>
      <c r="G109" s="206"/>
      <c r="H109" s="207"/>
      <c r="I109" s="208"/>
      <c r="J109" s="208"/>
      <c r="K109" s="208"/>
      <c r="L109" s="209"/>
    </row>
    <row r="110" spans="1:12">
      <c r="A110" s="192"/>
      <c r="B110" s="226"/>
      <c r="C110" s="211"/>
      <c r="D110" s="212"/>
      <c r="E110" s="212"/>
      <c r="F110" s="212"/>
      <c r="G110" s="213"/>
      <c r="H110" s="214"/>
      <c r="I110" s="192"/>
      <c r="J110" s="192"/>
      <c r="K110" s="192"/>
      <c r="L110" s="215"/>
    </row>
    <row r="111" spans="1:12" ht="13">
      <c r="A111" s="192"/>
      <c r="B111" s="280" t="s">
        <v>132</v>
      </c>
      <c r="C111" s="211"/>
      <c r="D111" s="212"/>
      <c r="E111" s="212"/>
      <c r="F111" s="212"/>
      <c r="G111" s="213"/>
      <c r="H111" s="214"/>
      <c r="I111" s="192"/>
      <c r="J111" s="192"/>
      <c r="K111" s="192"/>
      <c r="L111" s="215"/>
    </row>
    <row r="112" spans="1:12" ht="13">
      <c r="A112" s="192"/>
      <c r="B112" s="272" t="s">
        <v>133</v>
      </c>
      <c r="C112" s="211" cm="1">
        <f t="array" ref="C112:G112">_xlfn.XLOOKUP($B112,CFS!B:B,CFS!D:H,0)</f>
        <v>1919</v>
      </c>
      <c r="D112" s="212">
        <v>2986</v>
      </c>
      <c r="E112" s="212">
        <v>2146</v>
      </c>
      <c r="F112" s="212">
        <v>2213</v>
      </c>
      <c r="G112" s="213">
        <v>1415</v>
      </c>
      <c r="H112" s="214"/>
      <c r="I112" s="192"/>
      <c r="J112" s="192"/>
      <c r="K112" s="192"/>
      <c r="L112" s="215"/>
    </row>
    <row r="113" spans="1:12" ht="13">
      <c r="A113" s="192"/>
      <c r="B113" s="272" t="s">
        <v>134</v>
      </c>
      <c r="C113" s="211" cm="1">
        <f t="array" ref="C113:G113">_xlfn.XLOOKUP($B113,CFS!B:B,CFS!D:H,0)</f>
        <v>929</v>
      </c>
      <c r="D113" s="212">
        <v>914</v>
      </c>
      <c r="E113" s="212">
        <v>903</v>
      </c>
      <c r="F113" s="212">
        <v>884</v>
      </c>
      <c r="G113" s="213">
        <v>811</v>
      </c>
      <c r="H113" s="214"/>
      <c r="I113" s="192"/>
      <c r="J113" s="192"/>
      <c r="K113" s="192"/>
      <c r="L113" s="215"/>
    </row>
    <row r="114" spans="1:12" ht="13">
      <c r="A114" s="192"/>
      <c r="B114" s="272" t="s">
        <v>135</v>
      </c>
      <c r="C114" s="211" cm="1">
        <f t="array" ref="C114">_xlfn.XLOOKUP($B114,CFS!B:B,CFS!D:H,0)</f>
        <v>0</v>
      </c>
      <c r="D114" s="212"/>
      <c r="E114" s="212"/>
      <c r="F114" s="212"/>
      <c r="G114" s="213"/>
      <c r="H114" s="214"/>
      <c r="I114" s="192"/>
      <c r="J114" s="192"/>
      <c r="K114" s="192"/>
      <c r="L114" s="215"/>
    </row>
    <row r="115" spans="1:12" ht="13">
      <c r="A115" s="192"/>
      <c r="B115" s="272" t="s">
        <v>136</v>
      </c>
      <c r="C115" s="211" cm="1">
        <f t="array" ref="C115:G115">_xlfn.XLOOKUP($B115,CFS!B:B,CFS!D:H,0)</f>
        <v>-83</v>
      </c>
      <c r="D115" s="212">
        <v>-206</v>
      </c>
      <c r="E115" s="212">
        <v>-115</v>
      </c>
      <c r="F115" s="212">
        <v>-71</v>
      </c>
      <c r="G115" s="213">
        <v>-86</v>
      </c>
      <c r="H115" s="214"/>
      <c r="I115" s="192"/>
      <c r="J115" s="192"/>
      <c r="K115" s="192"/>
      <c r="L115" s="215"/>
    </row>
    <row r="116" spans="1:12" ht="13">
      <c r="A116" s="192"/>
      <c r="B116" s="272" t="s">
        <v>93</v>
      </c>
      <c r="C116" s="211" cm="1">
        <f t="array" ref="C116">_xlfn.XLOOKUP($B116,CFS!B:B,CFS!D:H,0)</f>
        <v>0</v>
      </c>
      <c r="D116" s="212"/>
      <c r="E116" s="212"/>
      <c r="F116" s="212"/>
      <c r="G116" s="213"/>
      <c r="H116" s="214"/>
      <c r="I116" s="192"/>
      <c r="J116" s="192"/>
      <c r="K116" s="192"/>
      <c r="L116" s="215"/>
    </row>
    <row r="117" spans="1:12" ht="13">
      <c r="A117" s="192"/>
      <c r="B117" s="272" t="s">
        <v>137</v>
      </c>
      <c r="C117" s="211" cm="1">
        <f t="array" ref="C117:G117">_xlfn.XLOOKUP($B117,CFS!B:B,CFS!D:H,0)</f>
        <v>0</v>
      </c>
      <c r="D117" s="212">
        <v>-843</v>
      </c>
      <c r="E117" s="212">
        <v>0</v>
      </c>
      <c r="F117" s="212">
        <v>66</v>
      </c>
      <c r="G117" s="213">
        <v>-91</v>
      </c>
      <c r="H117" s="214"/>
      <c r="I117" s="192"/>
      <c r="J117" s="192"/>
      <c r="K117" s="192"/>
      <c r="L117" s="215"/>
    </row>
    <row r="118" spans="1:12" ht="13">
      <c r="A118" s="192"/>
      <c r="B118" s="272" t="s">
        <v>138</v>
      </c>
      <c r="C118" s="211" cm="1">
        <f t="array" ref="C118:G118">_xlfn.XLOOKUP($B118,CFS!B:B,CFS!D:H,0)</f>
        <v>-57</v>
      </c>
      <c r="D118" s="212">
        <v>-285</v>
      </c>
      <c r="E118" s="212">
        <v>8</v>
      </c>
      <c r="F118" s="212">
        <v>23</v>
      </c>
      <c r="G118" s="213">
        <v>65</v>
      </c>
      <c r="H118" s="214"/>
      <c r="I118" s="192"/>
      <c r="J118" s="192"/>
      <c r="K118" s="192"/>
      <c r="L118" s="215"/>
    </row>
    <row r="119" spans="1:12" ht="13">
      <c r="A119" s="192"/>
      <c r="B119" s="272" t="s">
        <v>139</v>
      </c>
      <c r="C119" s="211" cm="1">
        <f t="array" ref="C119:G119">_xlfn.XLOOKUP($B119,CFS!B:B,CFS!D:H,0)</f>
        <v>-57</v>
      </c>
      <c r="D119" s="212">
        <v>-1128</v>
      </c>
      <c r="E119" s="212">
        <v>8</v>
      </c>
      <c r="F119" s="212">
        <v>89</v>
      </c>
      <c r="G119" s="213">
        <v>-26</v>
      </c>
      <c r="H119" s="214"/>
      <c r="I119" s="192"/>
      <c r="J119" s="192"/>
      <c r="K119" s="192"/>
      <c r="L119" s="215"/>
    </row>
    <row r="120" spans="1:12" ht="13">
      <c r="A120" s="192"/>
      <c r="B120" s="272" t="s">
        <v>140</v>
      </c>
      <c r="C120" s="211" cm="1">
        <f t="array" ref="C120:G120">_xlfn.XLOOKUP($B120,CFS!B:B,CFS!D:H,0)</f>
        <v>272</v>
      </c>
      <c r="D120" s="212">
        <v>288</v>
      </c>
      <c r="E120" s="212">
        <v>371</v>
      </c>
      <c r="F120" s="212">
        <v>425</v>
      </c>
      <c r="G120" s="213">
        <v>391</v>
      </c>
      <c r="H120" s="214"/>
      <c r="I120" s="192"/>
      <c r="J120" s="192"/>
      <c r="K120" s="192"/>
      <c r="L120" s="215"/>
    </row>
    <row r="121" spans="1:12" ht="13">
      <c r="A121" s="192"/>
      <c r="B121" s="272" t="s">
        <v>141</v>
      </c>
      <c r="C121" s="211" cm="1">
        <f t="array" ref="C121:G121">_xlfn.XLOOKUP($B121,CFS!B:B,CFS!D:H,0)</f>
        <v>266</v>
      </c>
      <c r="D121" s="212">
        <v>293</v>
      </c>
      <c r="E121" s="212">
        <v>313</v>
      </c>
      <c r="F121" s="212">
        <v>279</v>
      </c>
      <c r="G121" s="213">
        <v>216</v>
      </c>
      <c r="H121" s="214"/>
      <c r="I121" s="192"/>
      <c r="J121" s="192"/>
      <c r="K121" s="192"/>
      <c r="L121" s="215"/>
    </row>
    <row r="122" spans="1:12" ht="13">
      <c r="A122" s="192"/>
      <c r="B122" s="272" t="s">
        <v>142</v>
      </c>
      <c r="C122" s="211" cm="1">
        <f t="array" ref="C122:G122">_xlfn.XLOOKUP($B122,CFS!B:B,CFS!D:H,0)</f>
        <v>-170</v>
      </c>
      <c r="D122" s="212">
        <v>-231</v>
      </c>
      <c r="E122" s="212">
        <v>-123</v>
      </c>
      <c r="F122" s="212">
        <v>200</v>
      </c>
      <c r="G122" s="213">
        <v>219</v>
      </c>
      <c r="H122" s="214"/>
      <c r="I122" s="192"/>
      <c r="J122" s="192"/>
      <c r="K122" s="192"/>
      <c r="L122" s="215"/>
    </row>
    <row r="123" spans="1:12" ht="13">
      <c r="A123" s="192"/>
      <c r="B123" s="272" t="s">
        <v>143</v>
      </c>
      <c r="C123" s="211" cm="1">
        <f t="array" ref="C123:G123">_xlfn.XLOOKUP($B123,CFS!B:B,CFS!D:H,0)</f>
        <v>34</v>
      </c>
      <c r="D123" s="212">
        <v>-202</v>
      </c>
      <c r="E123" s="212">
        <v>-242</v>
      </c>
      <c r="F123" s="212">
        <v>-60</v>
      </c>
      <c r="G123" s="213">
        <v>371</v>
      </c>
      <c r="H123" s="214"/>
      <c r="I123" s="192"/>
      <c r="J123" s="192"/>
      <c r="K123" s="192"/>
      <c r="L123" s="215"/>
    </row>
    <row r="124" spans="1:12" ht="13">
      <c r="A124" s="192"/>
      <c r="B124" s="272" t="s">
        <v>144</v>
      </c>
      <c r="C124" s="211" cm="1">
        <f t="array" ref="C124:G124">_xlfn.XLOOKUP($B124,CFS!B:B,CFS!D:H,0)</f>
        <v>-21</v>
      </c>
      <c r="D124" s="212">
        <v>2</v>
      </c>
      <c r="E124" s="212">
        <v>71</v>
      </c>
      <c r="F124" s="212">
        <v>-94</v>
      </c>
      <c r="G124" s="213">
        <v>-67</v>
      </c>
      <c r="H124" s="214"/>
      <c r="I124" s="192"/>
      <c r="J124" s="192"/>
      <c r="K124" s="192"/>
      <c r="L124" s="215"/>
    </row>
    <row r="125" spans="1:12" ht="13">
      <c r="A125" s="192"/>
      <c r="B125" s="272" t="s">
        <v>106</v>
      </c>
      <c r="C125" s="211" cm="1">
        <f t="array" ref="C125:G125">_xlfn.XLOOKUP($B125,CFS!B:B,CFS!D:H,0)</f>
        <v>0</v>
      </c>
      <c r="D125" s="212">
        <v>388</v>
      </c>
      <c r="E125" s="212">
        <v>23</v>
      </c>
      <c r="F125" s="212">
        <v>147</v>
      </c>
      <c r="G125" s="213">
        <v>76</v>
      </c>
      <c r="H125" s="214"/>
      <c r="I125" s="192"/>
      <c r="J125" s="192"/>
      <c r="K125" s="192"/>
      <c r="L125" s="215"/>
    </row>
    <row r="126" spans="1:12" ht="13">
      <c r="A126" s="192"/>
      <c r="B126" s="272" t="s">
        <v>145</v>
      </c>
      <c r="C126" s="230" cm="1">
        <f t="array" ref="C126:G126">_xlfn.XLOOKUP($B126,CFS!B:B,CFS!D:H,0)</f>
        <v>-138</v>
      </c>
      <c r="D126" s="212">
        <v>100</v>
      </c>
      <c r="E126" s="212">
        <v>-284</v>
      </c>
      <c r="F126" s="212">
        <v>336</v>
      </c>
      <c r="G126" s="213">
        <v>830</v>
      </c>
      <c r="H126" s="214"/>
      <c r="I126" s="192"/>
      <c r="J126" s="192"/>
      <c r="K126" s="192"/>
      <c r="L126" s="215"/>
    </row>
    <row r="127" spans="1:12" s="231" customFormat="1" ht="13">
      <c r="B127" s="275" t="s">
        <v>146</v>
      </c>
      <c r="C127" s="211" cm="1">
        <f t="array" ref="C127:G127">_xlfn.XLOOKUP($B127,CFS!B:B,CFS!D:H,0)</f>
        <v>2570</v>
      </c>
      <c r="D127" s="234">
        <v>2666</v>
      </c>
      <c r="E127" s="234">
        <v>2658</v>
      </c>
      <c r="F127" s="234">
        <v>3451</v>
      </c>
      <c r="G127" s="235">
        <v>2944</v>
      </c>
      <c r="H127" s="236"/>
      <c r="L127" s="237"/>
    </row>
    <row r="128" spans="1:12">
      <c r="A128" s="192"/>
      <c r="B128" s="281"/>
      <c r="C128" s="211"/>
      <c r="D128" s="212"/>
      <c r="E128" s="212"/>
      <c r="F128" s="212"/>
      <c r="G128" s="213"/>
      <c r="H128" s="214"/>
      <c r="I128" s="192"/>
      <c r="J128" s="192"/>
      <c r="K128" s="192"/>
      <c r="L128" s="215"/>
    </row>
    <row r="129" spans="1:12" ht="13">
      <c r="A129" s="192"/>
      <c r="B129" s="280" t="s">
        <v>147</v>
      </c>
      <c r="C129" s="211"/>
      <c r="D129" s="212"/>
      <c r="E129" s="212"/>
      <c r="F129" s="212"/>
      <c r="G129" s="213"/>
      <c r="H129" s="214"/>
      <c r="I129" s="192"/>
      <c r="J129" s="192"/>
      <c r="K129" s="192"/>
      <c r="L129" s="215"/>
    </row>
    <row r="130" spans="1:12" ht="13">
      <c r="A130" s="192"/>
      <c r="B130" s="272" t="s">
        <v>148</v>
      </c>
      <c r="C130" s="211" cm="1">
        <f t="array" ref="C130:G130">_xlfn.XLOOKUP($B130,CFS!B:B,CFS!D:H,0)</f>
        <v>-497</v>
      </c>
      <c r="D130" s="212">
        <v>-520</v>
      </c>
      <c r="E130" s="212">
        <v>-565</v>
      </c>
      <c r="F130" s="212">
        <v>-587</v>
      </c>
      <c r="G130" s="213">
        <v>-389</v>
      </c>
      <c r="H130" s="214"/>
      <c r="I130" s="192"/>
      <c r="J130" s="192"/>
      <c r="K130" s="192"/>
      <c r="L130" s="215"/>
    </row>
    <row r="131" spans="1:12" ht="13">
      <c r="A131" s="192"/>
      <c r="B131" s="272" t="s">
        <v>149</v>
      </c>
      <c r="C131" s="211" cm="1">
        <f t="array" ref="C131:G131">_xlfn.XLOOKUP($B131,CFS!B:B,CFS!D:H,0)</f>
        <v>0</v>
      </c>
      <c r="D131" s="212">
        <v>0</v>
      </c>
      <c r="E131" s="212">
        <v>0</v>
      </c>
      <c r="F131" s="212">
        <v>-1216</v>
      </c>
      <c r="G131" s="213">
        <v>-200</v>
      </c>
      <c r="H131" s="214"/>
      <c r="I131" s="192"/>
      <c r="J131" s="192"/>
      <c r="K131" s="192"/>
      <c r="L131" s="215"/>
    </row>
    <row r="132" spans="1:12" ht="13">
      <c r="A132" s="192"/>
      <c r="B132" s="272" t="s">
        <v>150</v>
      </c>
      <c r="C132" s="211" cm="1">
        <f t="array" ref="C132:G132">_xlfn.XLOOKUP($B132,CFS!B:B,CFS!D:H,0)</f>
        <v>1</v>
      </c>
      <c r="D132" s="212">
        <v>607</v>
      </c>
      <c r="E132" s="212">
        <v>0</v>
      </c>
      <c r="F132" s="212">
        <v>0</v>
      </c>
      <c r="G132" s="213">
        <v>1408</v>
      </c>
      <c r="H132" s="214"/>
      <c r="I132" s="192"/>
      <c r="J132" s="192"/>
      <c r="K132" s="192"/>
      <c r="L132" s="215"/>
    </row>
    <row r="133" spans="1:12" ht="13">
      <c r="A133" s="192"/>
      <c r="B133" s="272" t="s">
        <v>151</v>
      </c>
      <c r="C133" s="211" cm="1">
        <f t="array" ref="C133">_xlfn.XLOOKUP($B133,CFS!B:B,CFS!D:H,0)</f>
        <v>0</v>
      </c>
      <c r="D133" s="212"/>
      <c r="E133" s="212"/>
      <c r="F133" s="212"/>
      <c r="G133" s="213"/>
      <c r="H133" s="214"/>
      <c r="I133" s="192"/>
      <c r="J133" s="192"/>
      <c r="K133" s="192"/>
      <c r="L133" s="215"/>
    </row>
    <row r="134" spans="1:12" ht="13">
      <c r="A134" s="192"/>
      <c r="B134" s="272" t="s">
        <v>152</v>
      </c>
      <c r="C134" s="211" cm="1">
        <f t="array" ref="C134">_xlfn.XLOOKUP($B134,CFS!B:B,CFS!D:H,0)</f>
        <v>0</v>
      </c>
      <c r="D134" s="212"/>
      <c r="E134" s="212"/>
      <c r="F134" s="212"/>
      <c r="G134" s="213"/>
      <c r="H134" s="214"/>
      <c r="I134" s="192"/>
      <c r="J134" s="192"/>
      <c r="K134" s="192"/>
      <c r="L134" s="215"/>
    </row>
    <row r="135" spans="1:12" ht="13">
      <c r="A135" s="192"/>
      <c r="B135" s="272" t="s">
        <v>153</v>
      </c>
      <c r="C135" s="211" cm="1">
        <f t="array" ref="C135">_xlfn.XLOOKUP($B135,CFS!B:B,CFS!D:H,0)</f>
        <v>0</v>
      </c>
      <c r="D135" s="212"/>
      <c r="E135" s="212"/>
      <c r="F135" s="212"/>
      <c r="G135" s="213"/>
      <c r="H135" s="214"/>
      <c r="I135" s="192"/>
      <c r="J135" s="192"/>
      <c r="K135" s="192"/>
      <c r="L135" s="215"/>
    </row>
    <row r="136" spans="1:12" ht="13">
      <c r="A136" s="192"/>
      <c r="B136" s="272" t="s">
        <v>154</v>
      </c>
      <c r="C136" s="211" cm="1">
        <f t="array" ref="C136:G136">_xlfn.XLOOKUP($B136,CFS!B:B,CFS!D:H,0)</f>
        <v>7</v>
      </c>
      <c r="D136" s="212">
        <v>-6</v>
      </c>
      <c r="E136" s="212">
        <v>-78</v>
      </c>
      <c r="F136" s="212">
        <v>-47</v>
      </c>
      <c r="G136" s="213">
        <v>-75</v>
      </c>
      <c r="H136" s="214"/>
      <c r="I136" s="192"/>
      <c r="J136" s="192"/>
      <c r="K136" s="192"/>
      <c r="L136" s="215"/>
    </row>
    <row r="137" spans="1:12" ht="13">
      <c r="A137" s="192"/>
      <c r="B137" s="272" t="s">
        <v>155</v>
      </c>
      <c r="C137" s="230" cm="1">
        <f t="array" ref="C137:G137">_xlfn.XLOOKUP($B137,CFS!B:B,CFS!D:H,0)</f>
        <v>-32</v>
      </c>
      <c r="D137" s="212">
        <v>303</v>
      </c>
      <c r="E137" s="212">
        <v>167</v>
      </c>
      <c r="F137" s="212">
        <v>-1279</v>
      </c>
      <c r="G137" s="213">
        <v>786</v>
      </c>
      <c r="H137" s="214"/>
      <c r="I137" s="192"/>
      <c r="J137" s="192"/>
      <c r="K137" s="192"/>
      <c r="L137" s="215"/>
    </row>
    <row r="138" spans="1:12" s="231" customFormat="1" ht="13">
      <c r="B138" s="275" t="s">
        <v>156</v>
      </c>
      <c r="C138" s="211" cm="1">
        <f t="array" ref="C138:G138">_xlfn.XLOOKUP($B138,CFS!B:B,CFS!D:H,0)</f>
        <v>-529</v>
      </c>
      <c r="D138" s="234">
        <v>-217</v>
      </c>
      <c r="E138" s="234">
        <v>-398</v>
      </c>
      <c r="F138" s="234">
        <v>-1866</v>
      </c>
      <c r="G138" s="235">
        <v>397</v>
      </c>
      <c r="H138" s="236"/>
      <c r="L138" s="237"/>
    </row>
    <row r="139" spans="1:12">
      <c r="A139" s="192"/>
      <c r="B139" s="281"/>
      <c r="C139" s="211"/>
      <c r="D139" s="212"/>
      <c r="E139" s="212"/>
      <c r="F139" s="212"/>
      <c r="G139" s="213"/>
      <c r="H139" s="214"/>
      <c r="I139" s="192"/>
      <c r="J139" s="192"/>
      <c r="K139" s="192"/>
      <c r="L139" s="215"/>
    </row>
    <row r="140" spans="1:12" ht="13">
      <c r="A140" s="192"/>
      <c r="B140" s="280" t="s">
        <v>157</v>
      </c>
      <c r="C140" s="211"/>
      <c r="D140" s="212"/>
      <c r="E140" s="212"/>
      <c r="F140" s="212"/>
      <c r="G140" s="213"/>
      <c r="H140" s="214"/>
      <c r="I140" s="192"/>
      <c r="J140" s="192"/>
      <c r="K140" s="192"/>
      <c r="L140" s="215"/>
    </row>
    <row r="141" spans="1:12" ht="13">
      <c r="A141" s="192"/>
      <c r="B141" s="272" t="s">
        <v>158</v>
      </c>
      <c r="C141" s="211" cm="1">
        <f t="array" ref="C141:G141">_xlfn.XLOOKUP($B141,CFS!B:B,CFS!D:H,0)</f>
        <v>-23</v>
      </c>
      <c r="D141" s="212">
        <v>-36</v>
      </c>
      <c r="E141" s="212">
        <v>-26</v>
      </c>
      <c r="F141" s="212">
        <v>-55</v>
      </c>
      <c r="G141" s="213">
        <v>-43</v>
      </c>
      <c r="H141" s="214"/>
      <c r="I141" s="192"/>
      <c r="J141" s="192"/>
      <c r="K141" s="192"/>
      <c r="L141" s="215"/>
    </row>
    <row r="142" spans="1:12" ht="13">
      <c r="A142" s="192"/>
      <c r="B142" s="272" t="s">
        <v>159</v>
      </c>
      <c r="C142" s="211" cm="1">
        <f t="array" ref="C142:G142">_xlfn.XLOOKUP($B142,CFS!B:B,CFS!D:H,0)</f>
        <v>-730</v>
      </c>
      <c r="D142" s="212">
        <v>-850</v>
      </c>
      <c r="E142" s="212">
        <v>-1271</v>
      </c>
      <c r="F142" s="212">
        <v>-1029</v>
      </c>
      <c r="G142" s="213">
        <v>-1608</v>
      </c>
      <c r="H142" s="214"/>
      <c r="I142" s="192"/>
      <c r="J142" s="192"/>
      <c r="K142" s="192"/>
      <c r="L142" s="215"/>
    </row>
    <row r="143" spans="1:12" ht="13">
      <c r="A143" s="192"/>
      <c r="B143" s="272" t="s">
        <v>160</v>
      </c>
      <c r="C143" s="211" cm="1">
        <f t="array" ref="C143:G143">_xlfn.XLOOKUP($B143,CFS!B:B,CFS!D:H,0)</f>
        <v>-730</v>
      </c>
      <c r="D143" s="212">
        <v>-850</v>
      </c>
      <c r="E143" s="212">
        <v>-1271</v>
      </c>
      <c r="F143" s="212">
        <v>-1029</v>
      </c>
      <c r="G143" s="213">
        <v>-1608</v>
      </c>
      <c r="H143" s="214"/>
      <c r="I143" s="192"/>
      <c r="J143" s="192"/>
      <c r="K143" s="192"/>
      <c r="L143" s="215"/>
    </row>
    <row r="144" spans="1:12" ht="13">
      <c r="A144" s="192"/>
      <c r="B144" s="272" t="s">
        <v>161</v>
      </c>
      <c r="C144" s="211" cm="1">
        <f t="array" ref="C144:G144">_xlfn.XLOOKUP($B144,CFS!B:B,CFS!D:H,0)</f>
        <v>-656</v>
      </c>
      <c r="D144" s="212">
        <v>-784</v>
      </c>
      <c r="E144" s="212">
        <v>-1242</v>
      </c>
      <c r="F144" s="212">
        <v>-963</v>
      </c>
      <c r="G144" s="213">
        <v>-1537</v>
      </c>
      <c r="H144" s="214"/>
      <c r="I144" s="192"/>
      <c r="J144" s="192"/>
      <c r="K144" s="192"/>
      <c r="L144" s="215"/>
    </row>
    <row r="145" spans="1:12" ht="13">
      <c r="A145" s="192"/>
      <c r="B145" s="272" t="s">
        <v>162</v>
      </c>
      <c r="C145" s="211" cm="1">
        <f t="array" ref="C145">_xlfn.XLOOKUP($B145,CFS!B:B,CFS!D:H,0)</f>
        <v>0</v>
      </c>
      <c r="D145" s="212"/>
      <c r="E145" s="212"/>
      <c r="F145" s="212"/>
      <c r="G145" s="213"/>
      <c r="H145" s="214"/>
      <c r="I145" s="192"/>
      <c r="J145" s="192"/>
      <c r="K145" s="192"/>
      <c r="L145" s="215"/>
    </row>
    <row r="146" spans="1:12" ht="13">
      <c r="A146" s="192"/>
      <c r="B146" s="272" t="s">
        <v>163</v>
      </c>
      <c r="C146" s="211" cm="1">
        <f t="array" ref="C146">_xlfn.XLOOKUP($B146,CFS!B:B,CFS!D:H,0)</f>
        <v>0</v>
      </c>
      <c r="D146" s="212"/>
      <c r="E146" s="212"/>
      <c r="F146" s="212"/>
      <c r="G146" s="213"/>
      <c r="H146" s="214"/>
      <c r="I146" s="192"/>
      <c r="J146" s="192"/>
      <c r="K146" s="192"/>
      <c r="L146" s="215"/>
    </row>
    <row r="147" spans="1:12" ht="13">
      <c r="A147" s="192"/>
      <c r="B147" s="272" t="s">
        <v>164</v>
      </c>
      <c r="C147" s="211" cm="1">
        <f t="array" ref="C147">_xlfn.XLOOKUP($B147,CFS!B:B,CFS!D:H,0)</f>
        <v>0</v>
      </c>
      <c r="D147" s="212"/>
      <c r="E147" s="212"/>
      <c r="F147" s="212"/>
      <c r="G147" s="213"/>
      <c r="H147" s="214"/>
      <c r="I147" s="192"/>
      <c r="J147" s="192"/>
      <c r="K147" s="192"/>
      <c r="L147" s="215"/>
    </row>
    <row r="148" spans="1:12" ht="13">
      <c r="A148" s="192"/>
      <c r="B148" s="272" t="s">
        <v>165</v>
      </c>
      <c r="C148" s="230" cm="1">
        <f t="array" ref="C148:G148">_xlfn.XLOOKUP($B148,CFS!B:B,CFS!D:H,0)</f>
        <v>-22</v>
      </c>
      <c r="D148" s="212">
        <v>-554</v>
      </c>
      <c r="E148" s="212">
        <v>-164</v>
      </c>
      <c r="F148" s="212">
        <v>725</v>
      </c>
      <c r="G148" s="213">
        <v>-503</v>
      </c>
      <c r="H148" s="214"/>
      <c r="I148" s="192"/>
      <c r="J148" s="192"/>
      <c r="K148" s="192"/>
      <c r="L148" s="215"/>
    </row>
    <row r="149" spans="1:12" s="231" customFormat="1" ht="13">
      <c r="B149" s="275" t="s">
        <v>166</v>
      </c>
      <c r="C149" s="211" cm="1">
        <f t="array" ref="C149:G149">_xlfn.XLOOKUP($B149,CFS!B:B,CFS!D:H,0)</f>
        <v>-1738</v>
      </c>
      <c r="D149" s="234">
        <v>-2442</v>
      </c>
      <c r="E149" s="234">
        <v>-2581</v>
      </c>
      <c r="F149" s="234">
        <v>-1494</v>
      </c>
      <c r="G149" s="235">
        <v>-3258</v>
      </c>
      <c r="H149" s="236"/>
      <c r="L149" s="237"/>
    </row>
    <row r="150" spans="1:12">
      <c r="A150" s="192"/>
      <c r="B150" s="281"/>
      <c r="C150" s="211"/>
      <c r="D150" s="212"/>
      <c r="E150" s="212"/>
      <c r="F150" s="212"/>
      <c r="G150" s="213"/>
      <c r="H150" s="214"/>
      <c r="I150" s="192"/>
      <c r="J150" s="192"/>
      <c r="K150" s="192"/>
      <c r="L150" s="215"/>
    </row>
    <row r="151" spans="1:12" ht="13">
      <c r="A151" s="192"/>
      <c r="B151" s="282" t="s">
        <v>167</v>
      </c>
      <c r="C151" s="211"/>
      <c r="D151" s="212"/>
      <c r="E151" s="212"/>
      <c r="F151" s="212"/>
      <c r="G151" s="213"/>
      <c r="H151" s="214"/>
      <c r="I151" s="192"/>
      <c r="J151" s="192"/>
      <c r="K151" s="192"/>
      <c r="L151" s="215"/>
    </row>
    <row r="152" spans="1:12" s="231" customFormat="1" ht="13">
      <c r="B152" s="281" t="s">
        <v>168</v>
      </c>
      <c r="C152" s="211" cm="1">
        <f t="array" ref="C152:G152">_xlfn.XLOOKUP($B152,CFS!B:B,CFS!D:H,0)</f>
        <v>275</v>
      </c>
      <c r="D152" s="241">
        <v>18</v>
      </c>
      <c r="E152" s="241">
        <v>-278</v>
      </c>
      <c r="F152" s="241">
        <v>87</v>
      </c>
      <c r="G152" s="242">
        <v>68</v>
      </c>
      <c r="H152" s="236"/>
      <c r="L152" s="237"/>
    </row>
    <row r="153" spans="1:12" ht="13">
      <c r="A153" s="192"/>
      <c r="B153" s="272" t="s">
        <v>169</v>
      </c>
      <c r="C153" s="211" cm="1">
        <f t="array" ref="C153:G153">_xlfn.XLOOKUP($B153,CFS!B:B,CFS!D:H,0)</f>
        <v>268</v>
      </c>
      <c r="D153" s="212">
        <v>543</v>
      </c>
      <c r="E153" s="212">
        <v>561</v>
      </c>
      <c r="F153" s="212">
        <v>283</v>
      </c>
      <c r="G153" s="213">
        <v>370</v>
      </c>
      <c r="H153" s="214"/>
      <c r="I153" s="192"/>
      <c r="J153" s="192"/>
      <c r="K153" s="192"/>
      <c r="L153" s="215"/>
    </row>
    <row r="154" spans="1:12" ht="13">
      <c r="A154" s="192"/>
      <c r="B154" s="272" t="s">
        <v>170</v>
      </c>
      <c r="C154" s="211" cm="1">
        <f t="array" ref="C154:G154">_xlfn.XLOOKUP($B154,CFS!B:B,CFS!D:H,0)</f>
        <v>543</v>
      </c>
      <c r="D154" s="212">
        <v>561</v>
      </c>
      <c r="E154" s="212">
        <v>283</v>
      </c>
      <c r="F154" s="212">
        <v>370</v>
      </c>
      <c r="G154" s="213">
        <v>438</v>
      </c>
      <c r="H154" s="214"/>
      <c r="I154" s="192"/>
      <c r="J154" s="192"/>
      <c r="K154" s="192"/>
      <c r="L154" s="215"/>
    </row>
    <row r="155" spans="1:12" ht="13">
      <c r="A155" s="192"/>
      <c r="B155" s="272" t="s">
        <v>171</v>
      </c>
      <c r="C155" s="211" cm="1">
        <f t="array" ref="C155:G155">_xlfn.XLOOKUP($B155,CFS!B:B,CFS!D:H,0)</f>
        <v>929</v>
      </c>
      <c r="D155" s="212">
        <v>914</v>
      </c>
      <c r="E155" s="212">
        <v>903</v>
      </c>
      <c r="F155" s="212">
        <v>884</v>
      </c>
      <c r="G155" s="213">
        <v>811</v>
      </c>
      <c r="H155" s="214"/>
      <c r="I155" s="192"/>
      <c r="J155" s="192"/>
      <c r="K155" s="192"/>
      <c r="L155" s="215"/>
    </row>
    <row r="156" spans="1:12" ht="13">
      <c r="A156" s="192"/>
      <c r="B156" s="272" t="s">
        <v>141</v>
      </c>
      <c r="C156" s="211" cm="1">
        <f t="array" ref="C156:G156">_xlfn.XLOOKUP($B156,CFS!B:B,CFS!D:H,0)</f>
        <v>266</v>
      </c>
      <c r="D156" s="212">
        <v>293</v>
      </c>
      <c r="E156" s="212">
        <v>313</v>
      </c>
      <c r="F156" s="212">
        <v>279</v>
      </c>
      <c r="G156" s="213">
        <v>216</v>
      </c>
      <c r="H156" s="214"/>
      <c r="I156" s="192"/>
      <c r="J156" s="192"/>
      <c r="K156" s="192"/>
      <c r="L156" s="215"/>
    </row>
    <row r="157" spans="1:12" ht="14" thickBot="1">
      <c r="A157" s="192"/>
      <c r="B157" s="276" t="s">
        <v>140</v>
      </c>
      <c r="C157" s="277" cm="1">
        <f t="array" ref="C157:G157">_xlfn.XLOOKUP($B157,CFS!B:B,CFS!D:H,0)</f>
        <v>272</v>
      </c>
      <c r="D157" s="278">
        <v>288</v>
      </c>
      <c r="E157" s="278">
        <v>371</v>
      </c>
      <c r="F157" s="278">
        <v>425</v>
      </c>
      <c r="G157" s="279">
        <v>391</v>
      </c>
      <c r="H157" s="263"/>
      <c r="I157" s="264"/>
      <c r="J157" s="264"/>
      <c r="K157" s="264"/>
      <c r="L157" s="265"/>
    </row>
    <row r="158" spans="1:12">
      <c r="A158" s="192"/>
      <c r="B158" s="192"/>
      <c r="C158" s="192"/>
      <c r="D158" s="192"/>
      <c r="E158" s="192"/>
      <c r="F158" s="192"/>
      <c r="G158" s="192"/>
      <c r="H158" s="192"/>
      <c r="I158" s="192"/>
      <c r="J158" s="192"/>
      <c r="K158" s="192"/>
      <c r="L158" s="192"/>
    </row>
  </sheetData>
  <mergeCells count="2">
    <mergeCell ref="C2:G2"/>
    <mergeCell ref="H2:L2"/>
  </mergeCells>
  <pageMargins left="0.7" right="0.7" top="0.75" bottom="0.75" header="0.3" footer="0.3"/>
  <pageSetup scale="2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>
    <tabColor theme="7" tint="0.79998168889431442"/>
    <pageSetUpPr fitToPage="1"/>
  </sheetPr>
  <dimension ref="B1:S66"/>
  <sheetViews>
    <sheetView zoomScale="85" zoomScaleNormal="85" workbookViewId="0">
      <pane xSplit="2" ySplit="3" topLeftCell="C4" activePane="bottomRight" state="frozen"/>
      <selection pane="topRight" activeCell="P9" sqref="P9"/>
      <selection pane="bottomLeft" activeCell="P9" sqref="P9"/>
      <selection pane="bottomRight" activeCell="D38" sqref="D38"/>
    </sheetView>
  </sheetViews>
  <sheetFormatPr baseColWidth="10" defaultColWidth="8.83203125" defaultRowHeight="16"/>
  <cols>
    <col min="1" max="1" width="2.5" style="17" customWidth="1"/>
    <col min="2" max="2" width="46.5" style="17" bestFit="1" customWidth="1"/>
    <col min="3" max="7" width="15" style="17" customWidth="1"/>
    <col min="8" max="8" width="3.83203125" style="17" customWidth="1"/>
    <col min="9" max="12" width="8.83203125" style="17"/>
    <col min="13" max="13" width="9.83203125" style="17" bestFit="1" customWidth="1"/>
    <col min="14" max="14" width="10.1640625" style="17" bestFit="1" customWidth="1"/>
    <col min="15" max="16384" width="8.83203125" style="17"/>
  </cols>
  <sheetData>
    <row r="1" spans="2:19" ht="17" thickBot="1"/>
    <row r="2" spans="2:19" ht="17" thickBot="1">
      <c r="B2" s="48" t="s">
        <v>172</v>
      </c>
      <c r="C2" s="54" t="str">
        <f>DATA!C2</f>
        <v>ETN</v>
      </c>
    </row>
    <row r="3" spans="2:19" ht="17" thickBot="1">
      <c r="C3" s="52"/>
      <c r="D3" s="52"/>
      <c r="E3" s="52"/>
      <c r="F3" s="52"/>
      <c r="G3" s="52"/>
    </row>
    <row r="4" spans="2:19">
      <c r="B4" s="24" t="s">
        <v>173</v>
      </c>
      <c r="C4" s="11">
        <f>IS!D2</f>
        <v>2016</v>
      </c>
      <c r="D4" s="11">
        <f>IS!E2</f>
        <v>2017</v>
      </c>
      <c r="E4" s="11">
        <f>IS!F2</f>
        <v>2018</v>
      </c>
      <c r="F4" s="11">
        <f>IS!G2</f>
        <v>2019</v>
      </c>
      <c r="G4" s="11">
        <f>IS!H2</f>
        <v>2020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2:19">
      <c r="B5" s="1" t="s">
        <v>174</v>
      </c>
      <c r="C5" s="23"/>
      <c r="D5" s="89">
        <f>'Sourced From Original'!D26/'Sourced From Original'!C26-1</f>
        <v>0.5237102657634185</v>
      </c>
      <c r="E5" s="89">
        <f>'Sourced From Original'!E26/'Sourced From Original'!D26-1</f>
        <v>-0.26607387140902872</v>
      </c>
      <c r="F5" s="89">
        <f>'Sourced From Original'!F26/'Sourced From Original'!E26-1</f>
        <v>3.1220876048462243E-2</v>
      </c>
      <c r="G5" s="90">
        <f>'Sourced From Original'!G26/'Sourced From Original'!F26-1</f>
        <v>-0.36059647537279715</v>
      </c>
    </row>
    <row r="6" spans="2:19">
      <c r="B6" s="1" t="s">
        <v>175</v>
      </c>
      <c r="C6" s="519" t="s">
        <v>176</v>
      </c>
      <c r="D6" s="89">
        <f>'Sourced From Original'!D17/'Sourced From Original'!C17-1</f>
        <v>0.54095563139931735</v>
      </c>
      <c r="E6" s="89">
        <f>'Sourced From Original'!E17/'Sourced From Original'!D17-1</f>
        <v>-0.25415282392026584</v>
      </c>
      <c r="F6" s="89">
        <f>'Sourced From Original'!F17/'Sourced From Original'!E17-1</f>
        <v>4.9368968077208697E-2</v>
      </c>
      <c r="G6" s="90">
        <f>'Sourced From Original'!G17/'Sourced From Original'!F17-1</f>
        <v>-0.32967810399717012</v>
      </c>
    </row>
    <row r="7" spans="2:19">
      <c r="B7" s="1" t="s">
        <v>177</v>
      </c>
      <c r="C7" s="519"/>
      <c r="D7" s="89">
        <f>'Sourced From Original'!D39/'Sourced From Original'!C39-1</f>
        <v>0.56294536817102148</v>
      </c>
      <c r="E7" s="89">
        <f>'Sourced From Original'!E39/'Sourced From Original'!D39-1</f>
        <v>-0.24924012158054709</v>
      </c>
      <c r="F7" s="89">
        <f>'Sourced From Original'!F39/'Sourced From Original'!E39-1</f>
        <v>6.8825910931173961E-2</v>
      </c>
      <c r="G7" s="90">
        <f>'Sourced From Original'!G39/'Sourced From Original'!F39-1</f>
        <v>-0.33522727272727282</v>
      </c>
    </row>
    <row r="8" spans="2:19" ht="17" thickBot="1">
      <c r="B8" s="4" t="s">
        <v>178</v>
      </c>
      <c r="C8" s="25"/>
      <c r="D8" s="92">
        <f>'Sourced From Original'!D8/'Sourced From Original'!C8-1</f>
        <v>3.3270876588848974E-2</v>
      </c>
      <c r="E8" s="92">
        <f>'Sourced From Original'!E8/'Sourced From Original'!D8-1</f>
        <v>5.905704763771813E-2</v>
      </c>
      <c r="F8" s="92">
        <f>'Sourced From Original'!F8/'Sourced From Original'!E8-1</f>
        <v>-1.0134666111342505E-2</v>
      </c>
      <c r="G8" s="93">
        <f>'Sourced From Original'!G8/'Sourced From Original'!F8-1</f>
        <v>-0.16512388966806923</v>
      </c>
    </row>
    <row r="9" spans="2:19" ht="17" thickBot="1">
      <c r="B9" s="16"/>
      <c r="H9" s="18"/>
    </row>
    <row r="10" spans="2:19">
      <c r="B10" s="24" t="s">
        <v>179</v>
      </c>
      <c r="C10" s="11">
        <f>C4</f>
        <v>2016</v>
      </c>
      <c r="D10" s="11">
        <f>D4</f>
        <v>2017</v>
      </c>
      <c r="E10" s="11">
        <f>E4</f>
        <v>2018</v>
      </c>
      <c r="F10" s="11">
        <f>F4</f>
        <v>2019</v>
      </c>
      <c r="G10" s="12">
        <f>G4</f>
        <v>2020</v>
      </c>
    </row>
    <row r="11" spans="2:19">
      <c r="B11" s="1" t="s">
        <v>180</v>
      </c>
      <c r="C11" s="90">
        <f>'Sourced From Original'!C26/'Sourced From Original'!C101</f>
        <v>0.12832686906513308</v>
      </c>
      <c r="D11" s="90">
        <f>'Sourced From Original'!D26/'Sourced From Original'!D101</f>
        <v>0.16947777198168434</v>
      </c>
      <c r="E11" s="90">
        <f>'Sourced From Original'!E26/'Sourced From Original'!E101</f>
        <v>0.13323399764077731</v>
      </c>
      <c r="F11" s="90">
        <f>'Sourced From Original'!F26/'Sourced From Original'!F101</f>
        <v>0.13760726277826141</v>
      </c>
      <c r="G11" s="90">
        <f>'Sourced From Original'!G26/'Sourced From Original'!G101</f>
        <v>9.4775619557937035E-2</v>
      </c>
    </row>
    <row r="12" spans="2:19">
      <c r="B12" s="1" t="s">
        <v>181</v>
      </c>
      <c r="C12" s="89">
        <f>'Sourced From Original'!C17/'Sourced From Original'!C101</f>
        <v>0.1567473585662699</v>
      </c>
      <c r="D12" s="89">
        <f>'Sourced From Original'!D17/'Sourced From Original'!D101</f>
        <v>0.20935489480090419</v>
      </c>
      <c r="E12" s="89">
        <f>'Sourced From Original'!E17/'Sourced From Original'!E101</f>
        <v>0.1672564723412181</v>
      </c>
      <c r="F12" s="89">
        <f>'Sourced From Original'!F17/'Sourced From Original'!F101</f>
        <v>0.17578659370725033</v>
      </c>
      <c r="G12" s="90">
        <f>'Sourced From Original'!G17/'Sourced From Original'!G101</f>
        <v>0.12692565304755526</v>
      </c>
    </row>
    <row r="13" spans="2:19">
      <c r="B13" s="1" t="s">
        <v>182</v>
      </c>
      <c r="C13" s="518" t="s">
        <v>176</v>
      </c>
      <c r="D13" s="518"/>
      <c r="E13" s="444">
        <f>AVERAGE(C11:E11)</f>
        <v>0.14367954622919824</v>
      </c>
      <c r="F13" s="444">
        <f t="shared" ref="F13" si="0">AVERAGE(D11:F11)</f>
        <v>0.14677301080024102</v>
      </c>
      <c r="G13" s="445">
        <f>AVERAGE(E11:G11)</f>
        <v>0.12187229332565859</v>
      </c>
    </row>
    <row r="14" spans="2:19">
      <c r="B14" s="1" t="s">
        <v>183</v>
      </c>
      <c r="C14" s="89">
        <f>C44/C42</f>
        <v>0.49775362875355195</v>
      </c>
      <c r="D14" s="89">
        <f t="shared" ref="D14:F14" si="1">D44/D42</f>
        <v>0.5153445280833816</v>
      </c>
      <c r="E14" s="89">
        <f t="shared" si="1"/>
        <v>0.47128794093519277</v>
      </c>
      <c r="F14" s="89">
        <f t="shared" si="1"/>
        <v>0.51197012583978452</v>
      </c>
      <c r="G14" s="90">
        <f>G44/G42</f>
        <v>0.73075774914174829</v>
      </c>
    </row>
    <row r="15" spans="2:19">
      <c r="B15" s="1" t="s">
        <v>184</v>
      </c>
      <c r="C15" s="89">
        <f>'Sourced From Original'!C112/'Sourced From Original'!C8</f>
        <v>9.7179318377475066E-2</v>
      </c>
      <c r="D15" s="89">
        <f>'Sourced From Original'!D112/'Sourced From Original'!D8</f>
        <v>0.14634385414624584</v>
      </c>
      <c r="E15" s="89">
        <f>'Sourced From Original'!E112/'Sourced From Original'!E8</f>
        <v>9.9310472488315052E-2</v>
      </c>
      <c r="F15" s="89">
        <f>'Sourced From Original'!F112/'Sourced From Original'!F8</f>
        <v>0.10345956054230949</v>
      </c>
      <c r="G15" s="90">
        <f>'Sourced From Original'!G112/'Sourced From Original'!G8</f>
        <v>7.9236196662560196E-2</v>
      </c>
    </row>
    <row r="16" spans="2:19">
      <c r="B16" s="1" t="s">
        <v>185</v>
      </c>
      <c r="C16" s="72">
        <f>'Sourced From Original'!C75</f>
        <v>30476</v>
      </c>
      <c r="D16" s="72">
        <f>'Sourced From Original'!D75</f>
        <v>32623</v>
      </c>
      <c r="E16" s="72">
        <f>'Sourced From Original'!E75</f>
        <v>31092</v>
      </c>
      <c r="F16" s="72">
        <f>'Sourced From Original'!F75</f>
        <v>32805</v>
      </c>
      <c r="G16" s="74">
        <f>'Sourced From Original'!G75</f>
        <v>31824</v>
      </c>
    </row>
    <row r="17" spans="2:8">
      <c r="B17" s="1" t="s">
        <v>186</v>
      </c>
      <c r="C17" s="72">
        <f>'Sourced From Original'!C83</f>
        <v>5485</v>
      </c>
      <c r="D17" s="72">
        <f>'Sourced From Original'!D83</f>
        <v>5075</v>
      </c>
      <c r="E17" s="72">
        <f>'Sourced From Original'!E83</f>
        <v>5154</v>
      </c>
      <c r="F17" s="72">
        <f>'Sourced From Original'!F83</f>
        <v>5132</v>
      </c>
      <c r="G17" s="74">
        <f>'Sourced From Original'!G83</f>
        <v>5881</v>
      </c>
    </row>
    <row r="18" spans="2:8" ht="17" thickBot="1">
      <c r="B18" s="4" t="s">
        <v>187</v>
      </c>
      <c r="C18" s="75">
        <f>'Sourced From Original'!C8</f>
        <v>19747</v>
      </c>
      <c r="D18" s="75">
        <f>'Sourced From Original'!D8</f>
        <v>20404</v>
      </c>
      <c r="E18" s="75">
        <f>'Sourced From Original'!E8</f>
        <v>21609</v>
      </c>
      <c r="F18" s="75">
        <f>'Sourced From Original'!F8</f>
        <v>21390</v>
      </c>
      <c r="G18" s="76">
        <f>'Sourced From Original'!G8</f>
        <v>17858</v>
      </c>
    </row>
    <row r="19" spans="2:8" ht="17" thickBot="1">
      <c r="B19" s="16"/>
    </row>
    <row r="20" spans="2:8">
      <c r="B20" s="24" t="s">
        <v>188</v>
      </c>
      <c r="C20" s="11">
        <f>C10</f>
        <v>2016</v>
      </c>
      <c r="D20" s="11">
        <f>D10</f>
        <v>2017</v>
      </c>
      <c r="E20" s="11">
        <f>E10</f>
        <v>2018</v>
      </c>
      <c r="F20" s="11">
        <f>F10</f>
        <v>2019</v>
      </c>
      <c r="G20" s="12">
        <f>G10</f>
        <v>2020</v>
      </c>
      <c r="H20" s="18"/>
    </row>
    <row r="21" spans="2:8">
      <c r="B21" s="1" t="s">
        <v>29</v>
      </c>
      <c r="C21" s="446">
        <f>DATA!C20/'Sourced From Original'!C104</f>
        <v>2.0144048415139766</v>
      </c>
      <c r="D21" s="446">
        <f>DATA!D20/'Sourced From Original'!D104</f>
        <v>2.0149771054309396</v>
      </c>
      <c r="E21" s="446">
        <f>DATA!E20/'Sourced From Original'!E104</f>
        <v>1.8074029924877379</v>
      </c>
      <c r="F21" s="446">
        <f>DATA!F20/'Sourced From Original'!F104</f>
        <v>2.4324934709613233</v>
      </c>
      <c r="G21" s="447">
        <f>DATA!G20/'Sourced From Original'!G104</f>
        <v>3.69342933690556</v>
      </c>
    </row>
    <row r="22" spans="2:8">
      <c r="B22" s="1" t="s">
        <v>189</v>
      </c>
      <c r="C22" s="446">
        <f>DATA!C20*'Sourced From Original'!C106/'Sourced From Original'!C8</f>
        <v>1.5254676659745785</v>
      </c>
      <c r="D22" s="446">
        <f>DATA!D20*'Sourced From Original'!D106/'Sourced From Original'!D8</f>
        <v>1.7038031758478731</v>
      </c>
      <c r="E22" s="446">
        <f>DATA!E20*'Sourced From Original'!E106/'Sourced From Original'!E8</f>
        <v>1.3472090332731732</v>
      </c>
      <c r="F22" s="446">
        <f>DATA!F20*'Sourced From Original'!F106/'Sourced From Original'!F8</f>
        <v>1.828862085086489</v>
      </c>
      <c r="G22" s="447">
        <f>DATA!G20*'Sourced From Original'!G106/'Sourced From Original'!G8</f>
        <v>3.0878541829992163</v>
      </c>
    </row>
    <row r="23" spans="2:8">
      <c r="B23" s="1" t="s">
        <v>190</v>
      </c>
      <c r="C23" s="446">
        <f>'Sourced From Original'!C39</f>
        <v>4.21</v>
      </c>
      <c r="D23" s="446">
        <f>'Sourced From Original'!D39</f>
        <v>6.58</v>
      </c>
      <c r="E23" s="446">
        <f>'Sourced From Original'!E39</f>
        <v>4.9400000000000004</v>
      </c>
      <c r="F23" s="446">
        <f>'Sourced From Original'!F39</f>
        <v>5.28</v>
      </c>
      <c r="G23" s="447">
        <f>'Sourced From Original'!G39</f>
        <v>3.51</v>
      </c>
    </row>
    <row r="24" spans="2:8">
      <c r="B24" s="1" t="s">
        <v>35</v>
      </c>
      <c r="C24" s="448">
        <f>DATA!C20*'Sourced From Original'!C106/C47</f>
        <v>14.531312108055957</v>
      </c>
      <c r="D24" s="448">
        <f>DATA!D20*'Sourced From Original'!D106/D47</f>
        <v>16.199627213420317</v>
      </c>
      <c r="E24" s="448">
        <f>DATA!E20*'Sourced From Original'!E106/E47</f>
        <v>13.909144768275203</v>
      </c>
      <c r="F24" s="448">
        <f>DATA!F20*'Sourced From Original'!F106/F47</f>
        <v>13.658994413407822</v>
      </c>
      <c r="G24" s="449">
        <f>DATA!G20*'Sourced From Original'!G106/G47</f>
        <v>21.582348336594912</v>
      </c>
    </row>
    <row r="25" spans="2:8">
      <c r="B25" s="1" t="s">
        <v>191</v>
      </c>
      <c r="C25" s="446">
        <f>DATA!C20*'Sourced From Original'!C106/'Sourced From Original'!C30</f>
        <v>9.8862520511979</v>
      </c>
      <c r="D25" s="446">
        <f>DATA!D20*'Sourced From Original'!D106/'Sourced From Original'!D30</f>
        <v>8.118729565623541</v>
      </c>
      <c r="E25" s="446">
        <f>DATA!E20*'Sourced From Original'!E106/'Sourced From Original'!E30</f>
        <v>8.7501773369401867</v>
      </c>
      <c r="F25" s="446">
        <f>DATA!F20*'Sourced From Original'!F106/'Sourced From Original'!F30</f>
        <v>11.257369784172662</v>
      </c>
      <c r="G25" s="447">
        <f>DATA!G20*'Sourced From Original'!G106/'Sourced From Original'!G30</f>
        <v>21.565467344544388</v>
      </c>
    </row>
    <row r="26" spans="2:8">
      <c r="B26" s="2" t="s">
        <v>192</v>
      </c>
      <c r="C26" s="446">
        <f>'Sourced From Original'!C104</f>
        <v>33.305122494432069</v>
      </c>
      <c r="D26" s="446">
        <f>'Sourced From Original'!D104</f>
        <v>39.211363636363636</v>
      </c>
      <c r="E26" s="446">
        <f>'Sourced From Original'!E104</f>
        <v>37.988207547169814</v>
      </c>
      <c r="F26" s="446">
        <f>'Sourced From Original'!F104</f>
        <v>38.939467312348668</v>
      </c>
      <c r="G26" s="447">
        <f>'Sourced From Original'!G104</f>
        <v>37.51256281407035</v>
      </c>
    </row>
    <row r="27" spans="2:8">
      <c r="B27" s="3" t="s">
        <v>193</v>
      </c>
      <c r="C27" s="446">
        <f>'Sourced From Original'!C8/'Sourced From Original'!C106</f>
        <v>43.979955456570153</v>
      </c>
      <c r="D27" s="446">
        <f>'Sourced From Original'!D8/'Sourced From Original'!D106</f>
        <v>46.372727272727275</v>
      </c>
      <c r="E27" s="446">
        <f>'Sourced From Original'!E8/'Sourced From Original'!E106</f>
        <v>50.964622641509436</v>
      </c>
      <c r="F27" s="446">
        <f>'Sourced From Original'!F8/'Sourced From Original'!F106</f>
        <v>51.791767554479421</v>
      </c>
      <c r="G27" s="447">
        <f>'Sourced From Original'!G8/'Sourced From Original'!G106</f>
        <v>44.869346733668344</v>
      </c>
    </row>
    <row r="28" spans="2:8">
      <c r="B28" s="2" t="s">
        <v>194</v>
      </c>
      <c r="C28" s="446">
        <f>'Sourced From Original'!C17/'Sourced From Original'!C106</f>
        <v>5.2204899777282847</v>
      </c>
      <c r="D28" s="446">
        <f>'Sourced From Original'!D17/'Sourced From Original'!D106</f>
        <v>8.209090909090909</v>
      </c>
      <c r="E28" s="446">
        <f>'Sourced From Original'!E17/'Sourced From Original'!E106</f>
        <v>6.3537735849056602</v>
      </c>
      <c r="F28" s="446">
        <f>'Sourced From Original'!F17/'Sourced From Original'!F106</f>
        <v>6.845036319612591</v>
      </c>
      <c r="G28" s="447">
        <f>'Sourced From Original'!G17/'Sourced From Original'!G106</f>
        <v>4.7613065326633164</v>
      </c>
    </row>
    <row r="29" spans="2:8">
      <c r="B29" s="2" t="s">
        <v>195</v>
      </c>
      <c r="C29" s="446">
        <f>C47/'Sourced From Original'!C106</f>
        <v>4.6169265033407569</v>
      </c>
      <c r="D29" s="446">
        <f>D47/'Sourced From Original'!D106</f>
        <v>4.877272727272727</v>
      </c>
      <c r="E29" s="446">
        <f>E47/'Sourced From Original'!E106</f>
        <v>4.9363207547169807</v>
      </c>
      <c r="F29" s="446">
        <f>F47/'Sourced From Original'!F106</f>
        <v>6.9346246973365622</v>
      </c>
      <c r="G29" s="447">
        <f>G47/'Sourced From Original'!G106</f>
        <v>6.4195979899497484</v>
      </c>
    </row>
    <row r="30" spans="2:8" ht="17" thickBot="1">
      <c r="B30" s="26" t="s">
        <v>196</v>
      </c>
      <c r="C30" s="450">
        <f>'Sourced From Original'!C30/'Sourced From Original'!C106</f>
        <v>6.7861915367483299</v>
      </c>
      <c r="D30" s="450">
        <f>'Sourced From Original'!D30/'Sourced From Original'!D106</f>
        <v>9.7318181818181824</v>
      </c>
      <c r="E30" s="450">
        <f>'Sourced From Original'!E30/'Sourced From Original'!E106</f>
        <v>7.8466981132075473</v>
      </c>
      <c r="F30" s="450">
        <f>'Sourced From Original'!F30/'Sourced From Original'!F106</f>
        <v>8.4140435835351095</v>
      </c>
      <c r="G30" s="451">
        <f>'Sourced From Original'!G30/'Sourced From Original'!G106</f>
        <v>6.424623115577889</v>
      </c>
    </row>
    <row r="31" spans="2:8" ht="17" thickBot="1">
      <c r="B31" s="16"/>
      <c r="C31" s="16"/>
      <c r="D31" s="16"/>
      <c r="E31" s="16"/>
      <c r="F31" s="16"/>
    </row>
    <row r="32" spans="2:8">
      <c r="B32" s="24" t="s">
        <v>197</v>
      </c>
      <c r="C32" s="11">
        <f>C20</f>
        <v>2016</v>
      </c>
      <c r="D32" s="11">
        <f>D20</f>
        <v>2017</v>
      </c>
      <c r="E32" s="11">
        <f>E20</f>
        <v>2018</v>
      </c>
      <c r="F32" s="11">
        <f>F20</f>
        <v>2019</v>
      </c>
      <c r="G32" s="12">
        <f>G20</f>
        <v>2020</v>
      </c>
    </row>
    <row r="33" spans="2:9">
      <c r="B33" s="1" t="s">
        <v>198</v>
      </c>
      <c r="C33" s="14"/>
      <c r="D33" s="14"/>
      <c r="E33" s="14"/>
      <c r="F33" s="14"/>
      <c r="G33" s="90">
        <f>DATA!N4</f>
        <v>7.0999999999999994E-2</v>
      </c>
      <c r="I33" s="53"/>
    </row>
    <row r="34" spans="2:9">
      <c r="B34" s="1" t="s">
        <v>199</v>
      </c>
      <c r="C34" s="14"/>
      <c r="D34" s="518" t="s">
        <v>176</v>
      </c>
      <c r="E34" s="518"/>
      <c r="F34" s="14"/>
      <c r="G34" s="90">
        <f>DATA!N5</f>
        <v>1.6740000000000001E-2</v>
      </c>
      <c r="I34" s="41"/>
    </row>
    <row r="35" spans="2:9" ht="17" thickBot="1">
      <c r="B35" s="4" t="s">
        <v>200</v>
      </c>
      <c r="C35" s="27"/>
      <c r="D35" s="27"/>
      <c r="E35" s="27"/>
      <c r="F35" s="27"/>
      <c r="G35" s="452">
        <f>DATA!N3</f>
        <v>1.1599999999999999</v>
      </c>
    </row>
    <row r="36" spans="2:9" ht="17" thickBot="1">
      <c r="B36" s="16"/>
      <c r="C36" s="16"/>
      <c r="D36" s="16"/>
      <c r="E36" s="16"/>
      <c r="F36" s="16"/>
    </row>
    <row r="37" spans="2:9">
      <c r="B37" s="24" t="s">
        <v>201</v>
      </c>
      <c r="C37" s="11">
        <f>C32</f>
        <v>2016</v>
      </c>
      <c r="D37" s="11">
        <f>D32</f>
        <v>2017</v>
      </c>
      <c r="E37" s="11">
        <f>E32</f>
        <v>2018</v>
      </c>
      <c r="F37" s="11">
        <f>F32</f>
        <v>2019</v>
      </c>
      <c r="G37" s="12">
        <f>G32</f>
        <v>2020</v>
      </c>
    </row>
    <row r="38" spans="2:9" ht="17" thickBot="1">
      <c r="B38" s="4" t="s">
        <v>202</v>
      </c>
      <c r="C38" s="98">
        <f>'Sourced From Original'!C48/'Sourced From Original'!C106</f>
        <v>2.3095768374164809</v>
      </c>
      <c r="D38" s="98">
        <f>'Sourced From Original'!D48/'Sourced From Original'!D106</f>
        <v>2.4272727272727272</v>
      </c>
      <c r="E38" s="98">
        <f>'Sourced From Original'!E48/'Sourced From Original'!E106</f>
        <v>2.7099056603773586</v>
      </c>
      <c r="F38" s="98">
        <f>'Sourced From Original'!F48/'Sourced From Original'!F106</f>
        <v>2.9079903147699757</v>
      </c>
      <c r="G38" s="99">
        <f>'Sourced From Original'!G48/'Sourced From Original'!G106</f>
        <v>2.9522613065326633</v>
      </c>
    </row>
    <row r="39" spans="2:9" ht="17" thickBot="1">
      <c r="B39" s="16"/>
      <c r="C39" s="16"/>
      <c r="D39" s="16"/>
      <c r="E39" s="16"/>
      <c r="F39" s="16"/>
    </row>
    <row r="40" spans="2:9">
      <c r="B40" s="24" t="s">
        <v>203</v>
      </c>
      <c r="C40" s="11">
        <f>C37</f>
        <v>2016</v>
      </c>
      <c r="D40" s="11">
        <f>D37</f>
        <v>2017</v>
      </c>
      <c r="E40" s="11">
        <f>E37</f>
        <v>2018</v>
      </c>
      <c r="F40" s="11">
        <f>F37</f>
        <v>2019</v>
      </c>
      <c r="G40" s="12">
        <f>G37</f>
        <v>2020</v>
      </c>
    </row>
    <row r="41" spans="2:9">
      <c r="B41" s="1" t="s">
        <v>192</v>
      </c>
      <c r="C41" s="453">
        <f>'Sourced From Original'!C104</f>
        <v>33.305122494432069</v>
      </c>
      <c r="D41" s="453">
        <f>'Sourced From Original'!D104</f>
        <v>39.211363636363636</v>
      </c>
      <c r="E41" s="453">
        <f>'Sourced From Original'!E104</f>
        <v>37.988207547169814</v>
      </c>
      <c r="F41" s="453">
        <f>'Sourced From Original'!F104</f>
        <v>38.939467312348668</v>
      </c>
      <c r="G41" s="454">
        <f>'Sourced From Original'!G104</f>
        <v>37.51256281407035</v>
      </c>
    </row>
    <row r="42" spans="2:9">
      <c r="B42" s="1" t="s">
        <v>204</v>
      </c>
      <c r="C42" s="453">
        <f>'Sourced From Original'!C51</f>
        <v>4.6399999999999997</v>
      </c>
      <c r="D42" s="453">
        <f>'Sourced From Original'!D51</f>
        <v>4.71</v>
      </c>
      <c r="E42" s="453">
        <f>'Sourced From Original'!E51</f>
        <v>5.75</v>
      </c>
      <c r="F42" s="453">
        <f>'Sourced From Original'!F51</f>
        <v>5.68</v>
      </c>
      <c r="G42" s="454">
        <f>'Sourced From Original'!G51</f>
        <v>4.04</v>
      </c>
    </row>
    <row r="43" spans="2:9">
      <c r="B43" s="1" t="s">
        <v>205</v>
      </c>
      <c r="C43" s="453">
        <f>'Sourced From Original'!C52</f>
        <v>4.62</v>
      </c>
      <c r="D43" s="453">
        <f>'Sourced From Original'!D52</f>
        <v>4.68</v>
      </c>
      <c r="E43" s="453">
        <f>'Sourced From Original'!E52</f>
        <v>5.71</v>
      </c>
      <c r="F43" s="453">
        <f>'Sourced From Original'!F52</f>
        <v>5.66</v>
      </c>
      <c r="G43" s="454">
        <f>'Sourced From Original'!G52</f>
        <v>4.0199999999999996</v>
      </c>
    </row>
    <row r="44" spans="2:9" ht="17" thickBot="1">
      <c r="B44" s="4" t="s">
        <v>202</v>
      </c>
      <c r="C44" s="98">
        <f>'Sourced From Original'!C48/'Sourced From Original'!C106</f>
        <v>2.3095768374164809</v>
      </c>
      <c r="D44" s="98">
        <f>'Sourced From Original'!D48/'Sourced From Original'!D106</f>
        <v>2.4272727272727272</v>
      </c>
      <c r="E44" s="98">
        <f>'Sourced From Original'!E48/'Sourced From Original'!E106</f>
        <v>2.7099056603773586</v>
      </c>
      <c r="F44" s="98">
        <f>'Sourced From Original'!F48/'Sourced From Original'!F106</f>
        <v>2.9079903147699757</v>
      </c>
      <c r="G44" s="99">
        <f>'Sourced From Original'!G48/'Sourced From Original'!G106</f>
        <v>2.9522613065326633</v>
      </c>
    </row>
    <row r="45" spans="2:9" ht="17" thickBot="1">
      <c r="B45" s="16"/>
      <c r="C45" s="16"/>
      <c r="D45" s="16"/>
      <c r="E45" s="16"/>
      <c r="F45" s="16"/>
    </row>
    <row r="46" spans="2:9">
      <c r="B46" s="24" t="s">
        <v>206</v>
      </c>
      <c r="C46" s="11">
        <f>C40</f>
        <v>2016</v>
      </c>
      <c r="D46" s="11">
        <f>D40</f>
        <v>2017</v>
      </c>
      <c r="E46" s="11">
        <f>E40</f>
        <v>2018</v>
      </c>
      <c r="F46" s="11">
        <f>F40</f>
        <v>2019</v>
      </c>
      <c r="G46" s="12">
        <f>G40</f>
        <v>2020</v>
      </c>
    </row>
    <row r="47" spans="2:9">
      <c r="B47" s="1" t="s">
        <v>207</v>
      </c>
      <c r="C47" s="72">
        <f>'Sourced From Original'!C127+'Sourced From Original'!C130</f>
        <v>2073</v>
      </c>
      <c r="D47" s="72">
        <f>'Sourced From Original'!D127+'Sourced From Original'!D130</f>
        <v>2146</v>
      </c>
      <c r="E47" s="72">
        <f>'Sourced From Original'!E127+'Sourced From Original'!E130</f>
        <v>2093</v>
      </c>
      <c r="F47" s="72">
        <f>'Sourced From Original'!F127+'Sourced From Original'!F130</f>
        <v>2864</v>
      </c>
      <c r="G47" s="74">
        <f>'Sourced From Original'!G127+'Sourced From Original'!G130</f>
        <v>2555</v>
      </c>
      <c r="I47" s="46"/>
    </row>
    <row r="48" spans="2:9">
      <c r="B48" s="1" t="s">
        <v>11</v>
      </c>
      <c r="C48" s="13"/>
      <c r="D48" s="518" t="s">
        <v>176</v>
      </c>
      <c r="E48" s="518"/>
      <c r="F48" s="13"/>
      <c r="G48" s="90">
        <f>DATA!N15</f>
        <v>5.1750752044544976E-2</v>
      </c>
    </row>
    <row r="49" spans="2:19">
      <c r="B49" s="1" t="s">
        <v>208</v>
      </c>
      <c r="C49" s="71">
        <f>'Sourced From Original'!C59</f>
        <v>746</v>
      </c>
      <c r="D49" s="71">
        <f>'Sourced From Original'!D59</f>
        <v>1095</v>
      </c>
      <c r="E49" s="71">
        <f>'Sourced From Original'!E59</f>
        <v>440</v>
      </c>
      <c r="F49" s="71">
        <f>'Sourced From Original'!F59</f>
        <v>591</v>
      </c>
      <c r="G49" s="73">
        <f>'Sourced From Original'!G59</f>
        <v>1102</v>
      </c>
      <c r="I49" s="19"/>
      <c r="J49" s="19"/>
      <c r="K49" s="19"/>
      <c r="L49" s="28"/>
      <c r="M49" s="19"/>
    </row>
    <row r="50" spans="2:19">
      <c r="B50" s="1" t="s">
        <v>209</v>
      </c>
      <c r="C50" s="71">
        <f>SUM('Sourced From Original'!C59,'Sourced From Original'!C60,'Sourced From Original'!C62,'Sourced From Original'!C69,'Sourced From Original'!C70,'Sourced From Original'!C71,'Sourced From Original'!C72,'Sourced From Original'!C73)</f>
        <v>23682</v>
      </c>
      <c r="D50" s="71">
        <f>SUM('Sourced From Original'!D59,'Sourced From Original'!D60,'Sourced From Original'!D62,'Sourced From Original'!D69,'Sourced From Original'!D70,'Sourced From Original'!D71,'Sourced From Original'!D72,'Sourced From Original'!D73)</f>
        <v>24755</v>
      </c>
      <c r="E50" s="71">
        <f>SUM('Sourced From Original'!E59,'Sourced From Original'!E60,'Sourced From Original'!E62,'Sourced From Original'!E69,'Sourced From Original'!E70,'Sourced From Original'!E71,'Sourced From Original'!E72,'Sourced From Original'!E73)</f>
        <v>23213</v>
      </c>
      <c r="F50" s="71">
        <f>SUM('Sourced From Original'!F59,'Sourced From Original'!F60,'Sourced From Original'!F62,'Sourced From Original'!F69,'Sourced From Original'!F70,'Sourced From Original'!F71,'Sourced From Original'!F72,'Sourced From Original'!F73)</f>
        <v>22950</v>
      </c>
      <c r="G50" s="73">
        <f>SUM('Sourced From Original'!G59,'Sourced From Original'!G60,'Sourced From Original'!G62,'Sourced From Original'!G69,'Sourced From Original'!G70,'Sourced From Original'!G71,'Sourced From Original'!G72,'Sourced From Original'!G73)</f>
        <v>22086</v>
      </c>
      <c r="I50" s="19"/>
      <c r="J50" s="19"/>
      <c r="K50" s="19"/>
      <c r="L50" s="28"/>
      <c r="M50" s="19"/>
    </row>
    <row r="51" spans="2:19">
      <c r="B51" s="1" t="s">
        <v>210</v>
      </c>
      <c r="C51" s="72">
        <f>'Sourced From Original'!C86</f>
        <v>8277</v>
      </c>
      <c r="D51" s="72">
        <f>'Sourced From Original'!D86</f>
        <v>7751</v>
      </c>
      <c r="E51" s="72">
        <f>'Sourced From Original'!E86</f>
        <v>7521</v>
      </c>
      <c r="F51" s="72">
        <f>'Sourced From Original'!F86</f>
        <v>8322</v>
      </c>
      <c r="G51" s="74">
        <f>'Sourced From Original'!G86</f>
        <v>8058</v>
      </c>
      <c r="M51" s="19"/>
    </row>
    <row r="52" spans="2:19">
      <c r="B52" s="1" t="s">
        <v>211</v>
      </c>
      <c r="C52" s="72">
        <f>'Sourced From Original'!C88</f>
        <v>934</v>
      </c>
      <c r="D52" s="72">
        <f>'Sourced From Original'!D88</f>
        <v>965</v>
      </c>
      <c r="E52" s="72">
        <f>'Sourced From Original'!E88</f>
        <v>1054</v>
      </c>
      <c r="F52" s="72">
        <f>'Sourced From Original'!F88</f>
        <v>1535</v>
      </c>
      <c r="G52" s="74">
        <f>'Sourced From Original'!G88</f>
        <v>1765</v>
      </c>
      <c r="I52" s="39"/>
      <c r="J52" s="42"/>
      <c r="L52" s="40"/>
      <c r="M52" s="43"/>
    </row>
    <row r="53" spans="2:19">
      <c r="B53" s="1" t="s">
        <v>212</v>
      </c>
      <c r="C53" s="72">
        <f>'Sourced From Original'!C89</f>
        <v>44</v>
      </c>
      <c r="D53" s="72">
        <f>'Sourced From Original'!D89</f>
        <v>37</v>
      </c>
      <c r="E53" s="72">
        <f>'Sourced From Original'!E89</f>
        <v>35</v>
      </c>
      <c r="F53" s="72">
        <f>'Sourced From Original'!F89</f>
        <v>51</v>
      </c>
      <c r="G53" s="74">
        <f>'Sourced From Original'!G89</f>
        <v>43</v>
      </c>
      <c r="I53" s="39"/>
      <c r="J53" s="42"/>
      <c r="K53" s="41"/>
      <c r="L53" s="40"/>
      <c r="M53" s="43"/>
      <c r="N53" s="44"/>
      <c r="O53" s="39"/>
      <c r="P53" s="39"/>
      <c r="Q53" s="39"/>
      <c r="R53" s="39"/>
      <c r="S53" s="39"/>
    </row>
    <row r="54" spans="2:19" ht="17" thickBot="1">
      <c r="B54" s="4" t="s">
        <v>213</v>
      </c>
      <c r="C54" s="75">
        <f>'Sourced From Original'!C106</f>
        <v>449</v>
      </c>
      <c r="D54" s="75">
        <f>'Sourced From Original'!D106</f>
        <v>440</v>
      </c>
      <c r="E54" s="75">
        <f>'Sourced From Original'!E106</f>
        <v>424</v>
      </c>
      <c r="F54" s="75">
        <f>'Sourced From Original'!F106</f>
        <v>413</v>
      </c>
      <c r="G54" s="76">
        <f>'Sourced From Original'!G106</f>
        <v>398</v>
      </c>
      <c r="M54" s="19"/>
    </row>
    <row r="55" spans="2:19" ht="17" thickBot="1">
      <c r="B55" s="16"/>
      <c r="C55" s="16"/>
      <c r="D55" s="16"/>
      <c r="E55" s="16"/>
      <c r="F55" s="16"/>
      <c r="L55" s="40"/>
    </row>
    <row r="56" spans="2:19">
      <c r="B56" s="24" t="s">
        <v>214</v>
      </c>
      <c r="C56" s="11">
        <f>C46</f>
        <v>2016</v>
      </c>
      <c r="D56" s="11">
        <f>D46</f>
        <v>2017</v>
      </c>
      <c r="E56" s="11">
        <f>E46</f>
        <v>2018</v>
      </c>
      <c r="F56" s="11">
        <f>F46</f>
        <v>2019</v>
      </c>
      <c r="G56" s="12">
        <f>G46</f>
        <v>2020</v>
      </c>
    </row>
    <row r="57" spans="2:19">
      <c r="B57" s="1" t="s">
        <v>215</v>
      </c>
      <c r="C57" s="72">
        <f>'Sourced From Original'!C17-'Sourced From Original'!C25</f>
        <v>2145</v>
      </c>
      <c r="D57" s="72">
        <f>'Sourced From Original'!D17-'Sourced From Original'!D25</f>
        <v>3168</v>
      </c>
      <c r="E57" s="72">
        <f>'Sourced From Original'!E17-'Sourced From Original'!E25</f>
        <v>2416</v>
      </c>
      <c r="F57" s="72">
        <f>'Sourced From Original'!F17-'Sourced From Original'!F25</f>
        <v>2449</v>
      </c>
      <c r="G57" s="74">
        <f>'Sourced From Original'!G17-'Sourced From Original'!G25</f>
        <v>1564</v>
      </c>
    </row>
    <row r="58" spans="2:19">
      <c r="B58" s="1" t="s">
        <v>216</v>
      </c>
      <c r="C58" s="72">
        <f>'Sourced From Original'!C101+'Sourced From Original'!C86</f>
        <v>23231</v>
      </c>
      <c r="D58" s="72">
        <f>'Sourced From Original'!D101+'Sourced From Original'!D86</f>
        <v>25004</v>
      </c>
      <c r="E58" s="72">
        <f>'Sourced From Original'!E101+'Sourced From Original'!E86</f>
        <v>23628</v>
      </c>
      <c r="F58" s="72">
        <f>'Sourced From Original'!F101+'Sourced From Original'!F86</f>
        <v>24404</v>
      </c>
      <c r="G58" s="74">
        <f>'Sourced From Original'!G101+'Sourced From Original'!G86</f>
        <v>22988</v>
      </c>
    </row>
    <row r="59" spans="2:19">
      <c r="B59" s="1" t="s">
        <v>11</v>
      </c>
      <c r="C59" s="70">
        <f>C48</f>
        <v>0</v>
      </c>
      <c r="D59" s="518" t="s">
        <v>176</v>
      </c>
      <c r="E59" s="518"/>
      <c r="F59" s="70">
        <f t="shared" ref="F59" si="2">F48</f>
        <v>0</v>
      </c>
      <c r="G59" s="445">
        <f>DATA!N15</f>
        <v>5.1750752044544976E-2</v>
      </c>
    </row>
    <row r="60" spans="2:19">
      <c r="B60" s="1" t="s">
        <v>208</v>
      </c>
      <c r="C60" s="71">
        <f t="shared" ref="C60:C65" si="3">C49</f>
        <v>746</v>
      </c>
      <c r="D60" s="71">
        <f t="shared" ref="D60:G65" si="4">D49</f>
        <v>1095</v>
      </c>
      <c r="E60" s="71">
        <f t="shared" si="4"/>
        <v>440</v>
      </c>
      <c r="F60" s="71">
        <f t="shared" si="4"/>
        <v>591</v>
      </c>
      <c r="G60" s="73">
        <f t="shared" si="4"/>
        <v>1102</v>
      </c>
    </row>
    <row r="61" spans="2:19">
      <c r="B61" s="1" t="s">
        <v>209</v>
      </c>
      <c r="C61" s="71">
        <f t="shared" si="3"/>
        <v>23682</v>
      </c>
      <c r="D61" s="71">
        <f t="shared" si="4"/>
        <v>24755</v>
      </c>
      <c r="E61" s="71">
        <f t="shared" si="4"/>
        <v>23213</v>
      </c>
      <c r="F61" s="71">
        <f t="shared" si="4"/>
        <v>22950</v>
      </c>
      <c r="G61" s="73">
        <f t="shared" si="4"/>
        <v>22086</v>
      </c>
    </row>
    <row r="62" spans="2:19">
      <c r="B62" s="1" t="s">
        <v>210</v>
      </c>
      <c r="C62" s="72">
        <f t="shared" si="3"/>
        <v>8277</v>
      </c>
      <c r="D62" s="72">
        <f t="shared" si="4"/>
        <v>7751</v>
      </c>
      <c r="E62" s="72">
        <f t="shared" si="4"/>
        <v>7521</v>
      </c>
      <c r="F62" s="72">
        <f t="shared" si="4"/>
        <v>8322</v>
      </c>
      <c r="G62" s="74">
        <f t="shared" si="4"/>
        <v>8058</v>
      </c>
    </row>
    <row r="63" spans="2:19">
      <c r="B63" s="1" t="s">
        <v>211</v>
      </c>
      <c r="C63" s="72">
        <f t="shared" si="3"/>
        <v>934</v>
      </c>
      <c r="D63" s="72">
        <f t="shared" si="4"/>
        <v>965</v>
      </c>
      <c r="E63" s="72">
        <f t="shared" si="4"/>
        <v>1054</v>
      </c>
      <c r="F63" s="72">
        <f t="shared" si="4"/>
        <v>1535</v>
      </c>
      <c r="G63" s="74">
        <f t="shared" si="4"/>
        <v>1765</v>
      </c>
    </row>
    <row r="64" spans="2:19">
      <c r="B64" s="1" t="s">
        <v>212</v>
      </c>
      <c r="C64" s="72">
        <f t="shared" si="3"/>
        <v>44</v>
      </c>
      <c r="D64" s="72">
        <f t="shared" si="4"/>
        <v>37</v>
      </c>
      <c r="E64" s="72">
        <f t="shared" si="4"/>
        <v>35</v>
      </c>
      <c r="F64" s="72">
        <f t="shared" si="4"/>
        <v>51</v>
      </c>
      <c r="G64" s="74">
        <f t="shared" si="4"/>
        <v>43</v>
      </c>
    </row>
    <row r="65" spans="2:7" ht="17" thickBot="1">
      <c r="B65" s="4" t="s">
        <v>213</v>
      </c>
      <c r="C65" s="75">
        <f t="shared" si="3"/>
        <v>449</v>
      </c>
      <c r="D65" s="75">
        <f t="shared" si="4"/>
        <v>440</v>
      </c>
      <c r="E65" s="75">
        <f t="shared" si="4"/>
        <v>424</v>
      </c>
      <c r="F65" s="75">
        <f t="shared" si="4"/>
        <v>413</v>
      </c>
      <c r="G65" s="76">
        <f t="shared" si="4"/>
        <v>398</v>
      </c>
    </row>
    <row r="66" spans="2:7">
      <c r="C66" s="22"/>
      <c r="D66" s="22"/>
      <c r="E66" s="22"/>
      <c r="F66" s="22"/>
      <c r="G66" s="22"/>
    </row>
  </sheetData>
  <mergeCells count="5">
    <mergeCell ref="D34:E34"/>
    <mergeCell ref="D48:E48"/>
    <mergeCell ref="D59:E59"/>
    <mergeCell ref="C6:C7"/>
    <mergeCell ref="C13:D13"/>
  </mergeCells>
  <pageMargins left="0.75" right="0.75" top="1" bottom="1" header="0.5" footer="0.5"/>
  <pageSetup scale="64" orientation="portrait" verticalDpi="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7" tint="0.79998168889431442"/>
    <pageSetUpPr fitToPage="1"/>
  </sheetPr>
  <dimension ref="B1:N32"/>
  <sheetViews>
    <sheetView showGridLines="0" zoomScale="85" zoomScaleNormal="85" workbookViewId="0">
      <selection activeCell="I14" sqref="I14"/>
    </sheetView>
  </sheetViews>
  <sheetFormatPr baseColWidth="10" defaultColWidth="8.83203125" defaultRowHeight="16"/>
  <cols>
    <col min="1" max="1" width="2.5" style="15" customWidth="1"/>
    <col min="2" max="2" width="13.1640625" style="15" customWidth="1"/>
    <col min="3" max="3" width="14.5" style="15" customWidth="1"/>
    <col min="4" max="4" width="15.5" style="15" customWidth="1"/>
    <col min="5" max="5" width="12.83203125" style="15" customWidth="1"/>
    <col min="6" max="6" width="13.1640625" style="15" customWidth="1"/>
    <col min="7" max="7" width="14.1640625" style="15" customWidth="1"/>
    <col min="8" max="8" width="2.5" style="15" customWidth="1"/>
    <col min="9" max="9" width="15.83203125" style="15" bestFit="1" customWidth="1"/>
    <col min="10" max="14" width="11" style="15" bestFit="1" customWidth="1"/>
    <col min="15" max="16384" width="8.83203125" style="15"/>
  </cols>
  <sheetData>
    <row r="1" spans="2:14" ht="17" thickBot="1">
      <c r="I1" s="49" t="s">
        <v>23</v>
      </c>
      <c r="J1" s="121"/>
      <c r="K1" s="121"/>
      <c r="L1" s="121"/>
      <c r="M1" s="121"/>
      <c r="N1" s="121"/>
    </row>
    <row r="2" spans="2:14" ht="17" thickBot="1">
      <c r="B2" s="520" t="s">
        <v>217</v>
      </c>
      <c r="C2" s="521"/>
      <c r="D2" s="521"/>
      <c r="E2" s="521"/>
      <c r="F2" s="522"/>
      <c r="G2" s="523"/>
      <c r="I2" s="520" t="s">
        <v>19</v>
      </c>
      <c r="J2" s="521"/>
      <c r="K2" s="521"/>
      <c r="L2" s="521"/>
      <c r="M2" s="521"/>
      <c r="N2" s="525"/>
    </row>
    <row r="3" spans="2:14" ht="17" thickBot="1">
      <c r="B3" s="502" t="s">
        <v>21</v>
      </c>
      <c r="C3" s="473">
        <v>1</v>
      </c>
      <c r="D3" s="148">
        <v>2</v>
      </c>
      <c r="E3" s="148">
        <v>3</v>
      </c>
      <c r="F3" s="148">
        <v>4</v>
      </c>
      <c r="G3" s="474">
        <v>5</v>
      </c>
      <c r="I3" s="501" t="s">
        <v>21</v>
      </c>
      <c r="J3" s="473">
        <v>1</v>
      </c>
      <c r="K3" s="148">
        <v>2</v>
      </c>
      <c r="L3" s="148">
        <v>3</v>
      </c>
      <c r="M3" s="148">
        <v>4</v>
      </c>
      <c r="N3" s="474">
        <v>5</v>
      </c>
    </row>
    <row r="4" spans="2:14">
      <c r="B4" s="114" t="s">
        <v>187</v>
      </c>
      <c r="C4" s="470">
        <f>Overview!C18</f>
        <v>19747</v>
      </c>
      <c r="D4" s="471">
        <f>Overview!D18</f>
        <v>20404</v>
      </c>
      <c r="E4" s="471">
        <f>Overview!E18</f>
        <v>21609</v>
      </c>
      <c r="F4" s="471">
        <f>Overview!F18</f>
        <v>21390</v>
      </c>
      <c r="G4" s="472">
        <f>Overview!G18</f>
        <v>17858</v>
      </c>
      <c r="H4" s="85"/>
      <c r="I4" s="84" t="s">
        <v>187</v>
      </c>
      <c r="J4" s="478">
        <f>G4*(1+DATA!C8)</f>
        <v>18284.067107120823</v>
      </c>
      <c r="K4" s="471">
        <f>J4*(1+DATA!D8)</f>
        <v>18679.806716710173</v>
      </c>
      <c r="L4" s="471">
        <f>K4*(1+DATA!E8)</f>
        <v>19042.742404765107</v>
      </c>
      <c r="M4" s="471">
        <f>L4*(1+DATA!F8)</f>
        <v>19370.556611170341</v>
      </c>
      <c r="N4" s="471">
        <f>M4*(1+DATA!G8)</f>
        <v>19661.114960337894</v>
      </c>
    </row>
    <row r="5" spans="2:14">
      <c r="B5" s="115" t="s">
        <v>218</v>
      </c>
      <c r="C5" s="456">
        <f>Overview!C57</f>
        <v>2145</v>
      </c>
      <c r="D5" s="72">
        <f>Overview!D57</f>
        <v>3168</v>
      </c>
      <c r="E5" s="72">
        <f>Overview!E57</f>
        <v>2416</v>
      </c>
      <c r="F5" s="72">
        <f>Overview!F57</f>
        <v>2449</v>
      </c>
      <c r="G5" s="74">
        <f>Overview!G57</f>
        <v>1564</v>
      </c>
      <c r="I5" s="86" t="s">
        <v>218</v>
      </c>
      <c r="J5" s="113">
        <f>J4*($I$14)</f>
        <v>2011.7803461183744</v>
      </c>
      <c r="K5" s="72">
        <f>K4*($I$14)</f>
        <v>2055.3232386317336</v>
      </c>
      <c r="L5" s="72">
        <f>L4*($I$14)</f>
        <v>2095.2567435710976</v>
      </c>
      <c r="M5" s="72">
        <f>M4*($I$14)</f>
        <v>2131.3258617689626</v>
      </c>
      <c r="N5" s="74">
        <f>N4*($I$14)</f>
        <v>2163.2957496954969</v>
      </c>
    </row>
    <row r="6" spans="2:14">
      <c r="B6" s="115" t="s">
        <v>219</v>
      </c>
      <c r="C6" s="456">
        <f>Overview!C58</f>
        <v>23231</v>
      </c>
      <c r="D6" s="72">
        <f>Overview!D58</f>
        <v>25004</v>
      </c>
      <c r="E6" s="72">
        <f>Overview!E58</f>
        <v>23628</v>
      </c>
      <c r="F6" s="72">
        <f>Overview!F58</f>
        <v>24404</v>
      </c>
      <c r="G6" s="74">
        <f>Overview!G58</f>
        <v>22988</v>
      </c>
      <c r="I6" s="86" t="s">
        <v>219</v>
      </c>
      <c r="J6" s="113">
        <f>J4*($I$15)</f>
        <v>21828.229514016086</v>
      </c>
      <c r="K6" s="72">
        <f>K4*($I$15)</f>
        <v>22300.67883151718</v>
      </c>
      <c r="L6" s="72">
        <f>L4*($I$15)</f>
        <v>22733.965553299397</v>
      </c>
      <c r="M6" s="72">
        <f>M4*($I$15)</f>
        <v>23125.322886076945</v>
      </c>
      <c r="N6" s="74">
        <f>N4*($I$15)</f>
        <v>23472.202729368099</v>
      </c>
    </row>
    <row r="7" spans="2:14">
      <c r="B7" s="115" t="s">
        <v>220</v>
      </c>
      <c r="C7" s="457">
        <f>Overview!C47</f>
        <v>2073</v>
      </c>
      <c r="D7" s="446">
        <f>Overview!D47</f>
        <v>2146</v>
      </c>
      <c r="E7" s="446">
        <f>Overview!E47</f>
        <v>2093</v>
      </c>
      <c r="F7" s="446">
        <f>Overview!F47</f>
        <v>2864</v>
      </c>
      <c r="G7" s="447">
        <f>Overview!G47</f>
        <v>2555</v>
      </c>
      <c r="I7" s="86" t="s">
        <v>220</v>
      </c>
      <c r="J7" s="113">
        <f>J4*($I$16)</f>
        <v>2263.3789262148107</v>
      </c>
      <c r="K7" s="72">
        <f>K4*($I$16)</f>
        <v>2312.367408228431</v>
      </c>
      <c r="L7" s="72">
        <f>L4*($I$16)</f>
        <v>2357.29510309534</v>
      </c>
      <c r="M7" s="72">
        <f>M4*($I$16)</f>
        <v>2397.8751207765522</v>
      </c>
      <c r="N7" s="74">
        <f>N4*($I$16)</f>
        <v>2433.8432475882005</v>
      </c>
    </row>
    <row r="8" spans="2:14">
      <c r="B8" s="115" t="s">
        <v>221</v>
      </c>
      <c r="C8" s="458">
        <f>Overview!C28</f>
        <v>5.2204899777282847</v>
      </c>
      <c r="D8" s="453">
        <f>Overview!D28</f>
        <v>8.209090909090909</v>
      </c>
      <c r="E8" s="453">
        <f>Overview!E28</f>
        <v>6.3537735849056602</v>
      </c>
      <c r="F8" s="453">
        <f>Overview!F28</f>
        <v>6.845036319612591</v>
      </c>
      <c r="G8" s="454">
        <f>Overview!G28</f>
        <v>4.7613065326633164</v>
      </c>
      <c r="I8" s="86" t="s">
        <v>221</v>
      </c>
      <c r="J8" s="94">
        <f>J4*($I$17)</f>
        <v>5.5635623213815837</v>
      </c>
      <c r="K8" s="95">
        <f>K4*($I$17)</f>
        <v>5.68397983943653</v>
      </c>
      <c r="L8" s="95">
        <f>L4*($I$17)</f>
        <v>5.7944156252667369</v>
      </c>
      <c r="M8" s="95">
        <f>M4*($I$17)</f>
        <v>5.8941644807311473</v>
      </c>
      <c r="N8" s="96">
        <f>N4*($I$17)</f>
        <v>5.982576947942114</v>
      </c>
    </row>
    <row r="9" spans="2:14">
      <c r="B9" s="116" t="s">
        <v>222</v>
      </c>
      <c r="C9" s="459">
        <f>Overview!C38</f>
        <v>2.3095768374164809</v>
      </c>
      <c r="D9" s="460">
        <f>Overview!D38</f>
        <v>2.4272727272727272</v>
      </c>
      <c r="E9" s="460">
        <f>Overview!E38</f>
        <v>2.7099056603773586</v>
      </c>
      <c r="F9" s="460">
        <f>Overview!F38</f>
        <v>2.9079903147699757</v>
      </c>
      <c r="G9" s="461">
        <f>Overview!G38</f>
        <v>2.9522613065326633</v>
      </c>
      <c r="I9" s="86" t="s">
        <v>222</v>
      </c>
      <c r="J9" s="94">
        <f>J8*$I$18</f>
        <v>3.4497022309358103</v>
      </c>
      <c r="K9" s="95">
        <f>K8*$I$18</f>
        <v>3.524367446616318</v>
      </c>
      <c r="L9" s="95">
        <f>L8*$I$18</f>
        <v>3.5928434615770004</v>
      </c>
      <c r="M9" s="95">
        <f>M8*$I$18</f>
        <v>3.6546930157567799</v>
      </c>
      <c r="N9" s="96">
        <f>N8*$I$18</f>
        <v>3.7095134109931314</v>
      </c>
    </row>
    <row r="10" spans="2:14" ht="17" thickBot="1">
      <c r="B10" s="117" t="s">
        <v>223</v>
      </c>
      <c r="C10" s="462">
        <f>Overview!C26</f>
        <v>33.305122494432069</v>
      </c>
      <c r="D10" s="153">
        <f>Overview!D26</f>
        <v>39.211363636363636</v>
      </c>
      <c r="E10" s="153">
        <f>Overview!E26</f>
        <v>37.988207547169814</v>
      </c>
      <c r="F10" s="153">
        <f>Overview!F26</f>
        <v>38.939467312348668</v>
      </c>
      <c r="G10" s="463">
        <f>Overview!G26</f>
        <v>37.51256281407035</v>
      </c>
      <c r="I10" s="87" t="s">
        <v>223</v>
      </c>
      <c r="J10" s="97">
        <f>Overview!G26+J8-J9</f>
        <v>39.626422904516119</v>
      </c>
      <c r="K10" s="98">
        <f>J10+K8-K9</f>
        <v>41.786035297336333</v>
      </c>
      <c r="L10" s="98">
        <f>K10+L8-L9</f>
        <v>43.987607461026073</v>
      </c>
      <c r="M10" s="98">
        <f>L10+M8-M9</f>
        <v>46.227078926000445</v>
      </c>
      <c r="N10" s="99">
        <f>M10+N8-N9</f>
        <v>48.500142462949427</v>
      </c>
    </row>
    <row r="11" spans="2:14" ht="17" thickBot="1"/>
    <row r="12" spans="2:14" ht="17" thickBot="1">
      <c r="B12" s="524" t="s">
        <v>224</v>
      </c>
      <c r="C12" s="521"/>
      <c r="D12" s="521"/>
      <c r="E12" s="521"/>
      <c r="F12" s="522"/>
      <c r="G12" s="523"/>
    </row>
    <row r="13" spans="2:14" ht="17" thickBot="1">
      <c r="B13" s="502" t="str">
        <f>B3</f>
        <v>Year</v>
      </c>
      <c r="C13" s="473">
        <v>1</v>
      </c>
      <c r="D13" s="148">
        <v>2</v>
      </c>
      <c r="E13" s="148">
        <v>3</v>
      </c>
      <c r="F13" s="148">
        <v>4</v>
      </c>
      <c r="G13" s="474">
        <v>5</v>
      </c>
      <c r="I13" s="77" t="s">
        <v>225</v>
      </c>
    </row>
    <row r="14" spans="2:14">
      <c r="B14" s="84" t="str">
        <f>B5</f>
        <v>NOPAT</v>
      </c>
      <c r="C14" s="475">
        <f t="shared" ref="C14:G17" si="0">C5/C$4</f>
        <v>0.10862409479921001</v>
      </c>
      <c r="D14" s="476">
        <f t="shared" si="0"/>
        <v>0.15526367378945305</v>
      </c>
      <c r="E14" s="476">
        <f t="shared" si="0"/>
        <v>0.11180526632421676</v>
      </c>
      <c r="F14" s="476">
        <f t="shared" si="0"/>
        <v>0.11449275362318841</v>
      </c>
      <c r="G14" s="477">
        <f t="shared" si="0"/>
        <v>8.7579796169783855E-2</v>
      </c>
      <c r="I14" s="481">
        <f>((C14*$C$13)+(D14*$D$13)+(E14*$E$13)+(F14*$F$13)+(G14*$G$13))/SUM($C$13:$G$13)</f>
        <v>0.11002914911282929</v>
      </c>
    </row>
    <row r="15" spans="2:14">
      <c r="B15" s="86" t="str">
        <f>B6</f>
        <v>Capital</v>
      </c>
      <c r="C15" s="88">
        <f>C6/C$4</f>
        <v>1.1764318630678077</v>
      </c>
      <c r="D15" s="89">
        <f t="shared" si="0"/>
        <v>1.2254459909821604</v>
      </c>
      <c r="E15" s="89">
        <f t="shared" si="0"/>
        <v>1.0934332916840206</v>
      </c>
      <c r="F15" s="89">
        <f t="shared" si="0"/>
        <v>1.1409069658719027</v>
      </c>
      <c r="G15" s="90">
        <f t="shared" si="0"/>
        <v>1.2872662112218614</v>
      </c>
      <c r="I15" s="479">
        <f>((C15*$C$13)+(D15*$D$13)+(E15*$E$13)+(F15*$F$13)+(G15*$G$13))/SUM($C$13:$G$13)</f>
        <v>1.1938388426454074</v>
      </c>
    </row>
    <row r="16" spans="2:14">
      <c r="B16" s="86" t="str">
        <f>B7</f>
        <v>FCF</v>
      </c>
      <c r="C16" s="88">
        <f>C7/C$4</f>
        <v>0.10497797133741835</v>
      </c>
      <c r="D16" s="89">
        <f t="shared" si="0"/>
        <v>0.10517545579298176</v>
      </c>
      <c r="E16" s="89">
        <f t="shared" si="0"/>
        <v>9.6857790735341759E-2</v>
      </c>
      <c r="F16" s="89">
        <f t="shared" si="0"/>
        <v>0.13389434315100515</v>
      </c>
      <c r="G16" s="90">
        <f t="shared" si="0"/>
        <v>0.14307313248964049</v>
      </c>
      <c r="I16" s="479">
        <f>((C16*$C$13)+(D16*$D$13)+(E16*$E$13)+(F16*$F$13)+(G16*$G$13))/SUM($C$13:$G$13)</f>
        <v>0.12378968601210867</v>
      </c>
    </row>
    <row r="17" spans="2:10">
      <c r="B17" s="86" t="s">
        <v>221</v>
      </c>
      <c r="C17" s="88">
        <f t="shared" si="0"/>
        <v>2.6436876374782422E-4</v>
      </c>
      <c r="D17" s="89">
        <f t="shared" si="0"/>
        <v>4.0232752936144429E-4</v>
      </c>
      <c r="E17" s="89">
        <f t="shared" si="0"/>
        <v>2.9403367045701605E-4</v>
      </c>
      <c r="F17" s="89">
        <f t="shared" si="0"/>
        <v>3.2001104813523097E-4</v>
      </c>
      <c r="G17" s="90">
        <f t="shared" si="0"/>
        <v>2.6662036805147923E-4</v>
      </c>
      <c r="I17" s="479">
        <f>((C17*$C$13)+(D17*$D$13)+(E17*$E$13)+(F17*$F$13)+(G17*$G$13))/SUM($C$13:$G$13)</f>
        <v>3.0428472444267207E-4</v>
      </c>
    </row>
    <row r="18" spans="2:10" ht="17" thickBot="1">
      <c r="B18" s="87" t="s">
        <v>222</v>
      </c>
      <c r="C18" s="91">
        <f>C9/C$8</f>
        <v>0.4424061433447099</v>
      </c>
      <c r="D18" s="92">
        <f>D9/D$8</f>
        <v>0.29568106312292358</v>
      </c>
      <c r="E18" s="92">
        <f>E9/E$8</f>
        <v>0.42650334075723834</v>
      </c>
      <c r="F18" s="92">
        <f>F9/F$8</f>
        <v>0.42483197736116024</v>
      </c>
      <c r="G18" s="93">
        <f>G9/G$8</f>
        <v>0.62005277044854878</v>
      </c>
      <c r="I18" s="480">
        <f>G18</f>
        <v>0.62005277044854878</v>
      </c>
    </row>
    <row r="20" spans="2:10" ht="17" thickBot="1">
      <c r="B20" s="532" t="s">
        <v>226</v>
      </c>
      <c r="C20" s="533"/>
      <c r="D20" s="533"/>
      <c r="E20" s="533"/>
      <c r="F20" s="533"/>
      <c r="G20" s="533"/>
      <c r="H20" s="533"/>
      <c r="I20" s="533"/>
      <c r="J20" s="533"/>
    </row>
    <row r="21" spans="2:10">
      <c r="B21" s="482" t="s">
        <v>227</v>
      </c>
      <c r="C21" s="483"/>
      <c r="D21" s="484">
        <f>(Overview!G13)*(1-(Overview!G14))</f>
        <v>3.2813170572257404E-2</v>
      </c>
      <c r="E21" s="483" t="s">
        <v>228</v>
      </c>
      <c r="F21" s="483"/>
      <c r="G21" s="485" t="s">
        <v>229</v>
      </c>
      <c r="H21" s="486" t="str">
        <f>Overview!B13</f>
        <v>3 Year Average ROE %</v>
      </c>
      <c r="I21" s="486"/>
      <c r="J21" s="487"/>
    </row>
    <row r="22" spans="2:10">
      <c r="B22" s="5"/>
      <c r="C22" s="6"/>
      <c r="D22" s="6"/>
      <c r="E22" s="6"/>
      <c r="F22" s="6"/>
      <c r="G22" s="6"/>
      <c r="H22" s="6"/>
      <c r="I22" s="6"/>
      <c r="J22" s="7"/>
    </row>
    <row r="23" spans="2:10">
      <c r="B23" s="526" t="s">
        <v>230</v>
      </c>
      <c r="C23" s="527" t="s">
        <v>231</v>
      </c>
      <c r="D23" s="527"/>
      <c r="E23" s="529" t="s">
        <v>232</v>
      </c>
      <c r="F23" s="530">
        <f>((Overview!G15)*(1-(Overview!G14))*Overview!G18)/((Overview!G16-Overview!G17-((Overview!G15)*(1-(Overview!G14))*Overview!G18)))</f>
        <v>1.4904054998447469E-2</v>
      </c>
      <c r="G23" s="6" t="s">
        <v>233</v>
      </c>
      <c r="H23" s="6"/>
      <c r="I23" s="6"/>
      <c r="J23" s="7"/>
    </row>
    <row r="24" spans="2:10">
      <c r="B24" s="526"/>
      <c r="C24" s="528" t="s">
        <v>234</v>
      </c>
      <c r="D24" s="528"/>
      <c r="E24" s="529"/>
      <c r="F24" s="531"/>
      <c r="G24" s="6" t="s">
        <v>235</v>
      </c>
      <c r="H24" s="6"/>
      <c r="I24" s="6"/>
      <c r="J24" s="7"/>
    </row>
    <row r="25" spans="2:10">
      <c r="B25" s="5"/>
      <c r="C25" s="6"/>
      <c r="D25" s="6"/>
      <c r="E25" s="6"/>
      <c r="F25" s="6"/>
      <c r="G25" s="6"/>
      <c r="H25" s="6"/>
      <c r="I25" s="6"/>
      <c r="J25" s="7"/>
    </row>
    <row r="26" spans="2:10">
      <c r="B26" s="5" t="s">
        <v>236</v>
      </c>
      <c r="C26" s="6" t="s">
        <v>237</v>
      </c>
      <c r="D26" s="6"/>
      <c r="E26" s="6"/>
      <c r="F26" s="6"/>
      <c r="G26" s="6"/>
      <c r="H26" s="6"/>
      <c r="I26" s="6"/>
      <c r="J26" s="7"/>
    </row>
    <row r="27" spans="2:10">
      <c r="B27" s="5" t="s">
        <v>238</v>
      </c>
      <c r="C27" s="6" t="s">
        <v>239</v>
      </c>
      <c r="D27" s="6"/>
      <c r="E27" s="6"/>
      <c r="F27" s="455">
        <f>AVERAGE(F23,D21)</f>
        <v>2.3858612785352437E-2</v>
      </c>
      <c r="G27" s="6" t="s">
        <v>240</v>
      </c>
      <c r="H27" s="6"/>
      <c r="I27" s="6"/>
      <c r="J27" s="7"/>
    </row>
    <row r="28" spans="2:10">
      <c r="B28" s="5" t="s">
        <v>241</v>
      </c>
      <c r="C28" s="6" t="s">
        <v>242</v>
      </c>
      <c r="D28" s="6"/>
      <c r="E28" s="6"/>
      <c r="F28" s="6"/>
      <c r="G28" s="6"/>
      <c r="H28" s="6"/>
      <c r="I28" s="6"/>
      <c r="J28" s="7"/>
    </row>
    <row r="29" spans="2:10">
      <c r="B29" s="5" t="s">
        <v>243</v>
      </c>
      <c r="C29" s="6" t="s">
        <v>244</v>
      </c>
      <c r="D29" s="6"/>
      <c r="E29" s="6"/>
      <c r="F29" s="6"/>
      <c r="G29" s="6"/>
      <c r="H29" s="6"/>
      <c r="I29" s="6"/>
      <c r="J29" s="7"/>
    </row>
    <row r="30" spans="2:10" ht="17" thickBot="1">
      <c r="B30" s="8" t="s">
        <v>245</v>
      </c>
      <c r="C30" s="9" t="s">
        <v>246</v>
      </c>
      <c r="D30" s="9"/>
      <c r="E30" s="9"/>
      <c r="F30" s="9"/>
      <c r="G30" s="9"/>
      <c r="H30" s="9"/>
      <c r="I30" s="9"/>
      <c r="J30" s="10"/>
    </row>
    <row r="31" spans="2:10" ht="17" thickBot="1"/>
    <row r="32" spans="2:10" ht="17" thickBot="1">
      <c r="B32" s="490"/>
      <c r="C32" s="488"/>
      <c r="D32" s="488"/>
      <c r="E32" s="489" t="s">
        <v>247</v>
      </c>
      <c r="F32" s="488"/>
      <c r="G32" s="488"/>
      <c r="H32" s="488" t="s">
        <v>232</v>
      </c>
      <c r="I32" s="491">
        <f>DATA!N5+DATA!N3*(DATA!N4-DATA!N5)</f>
        <v>7.9681599999999991E-2</v>
      </c>
      <c r="J32" s="492"/>
    </row>
  </sheetData>
  <mergeCells count="9">
    <mergeCell ref="B2:G2"/>
    <mergeCell ref="B12:G12"/>
    <mergeCell ref="I2:N2"/>
    <mergeCell ref="B23:B24"/>
    <mergeCell ref="C23:D23"/>
    <mergeCell ref="C24:D24"/>
    <mergeCell ref="E23:E24"/>
    <mergeCell ref="F23:F24"/>
    <mergeCell ref="B20:J20"/>
  </mergeCells>
  <pageMargins left="0.7" right="0.7" top="0.75" bottom="0.75" header="0.3" footer="0.3"/>
  <pageSetup scale="85" fitToHeight="0" orientation="portrait" verticalDpi="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>
    <tabColor theme="9" tint="0.59999389629810485"/>
    <pageSetUpPr fitToPage="1"/>
  </sheetPr>
  <dimension ref="B2:D13"/>
  <sheetViews>
    <sheetView showGridLines="0" zoomScale="85" zoomScaleNormal="85" workbookViewId="0">
      <selection activeCell="N32" sqref="N32"/>
    </sheetView>
  </sheetViews>
  <sheetFormatPr baseColWidth="10" defaultColWidth="8.83203125" defaultRowHeight="18"/>
  <cols>
    <col min="1" max="1" width="2.5" style="155" customWidth="1"/>
    <col min="2" max="2" width="43.5" style="155" bestFit="1" customWidth="1"/>
    <col min="3" max="3" width="26.1640625" style="155" bestFit="1" customWidth="1"/>
    <col min="4" max="4" width="15.1640625" style="155" customWidth="1"/>
    <col min="5" max="16384" width="8.83203125" style="155"/>
  </cols>
  <sheetData>
    <row r="2" spans="2:4">
      <c r="B2" s="154" t="s">
        <v>248</v>
      </c>
    </row>
    <row r="3" spans="2:4" ht="19" thickBot="1"/>
    <row r="4" spans="2:4" ht="39" thickBot="1">
      <c r="B4" s="310"/>
      <c r="C4" s="320" t="s">
        <v>249</v>
      </c>
      <c r="D4" s="321" t="s">
        <v>250</v>
      </c>
    </row>
    <row r="5" spans="2:4">
      <c r="B5" s="311" t="s">
        <v>29</v>
      </c>
      <c r="C5" s="312" t="e">
        <f>DATA!I11</f>
        <v>#DIV/0!</v>
      </c>
      <c r="D5" s="313" t="e">
        <f>C5*Overview!G26</f>
        <v>#DIV/0!</v>
      </c>
    </row>
    <row r="6" spans="2:4">
      <c r="B6" s="314" t="s">
        <v>31</v>
      </c>
      <c r="C6" s="312" t="e">
        <f>DATA!I12</f>
        <v>#DIV/0!</v>
      </c>
      <c r="D6" s="313" t="e">
        <f>C6*Overview!G22</f>
        <v>#DIV/0!</v>
      </c>
    </row>
    <row r="7" spans="2:4">
      <c r="B7" s="314" t="s">
        <v>33</v>
      </c>
      <c r="C7" s="312" t="e">
        <f>DATA!I13</f>
        <v>#DIV/0!</v>
      </c>
      <c r="D7" s="313" t="e">
        <f>C7*Overview!G28</f>
        <v>#DIV/0!</v>
      </c>
    </row>
    <row r="8" spans="2:4">
      <c r="B8" s="314" t="s">
        <v>35</v>
      </c>
      <c r="C8" s="312" t="e">
        <f>DATA!I14</f>
        <v>#DIV/0!</v>
      </c>
      <c r="D8" s="313" t="e">
        <f>C8*Overview!G29</f>
        <v>#DIV/0!</v>
      </c>
    </row>
    <row r="9" spans="2:4" ht="19" thickBot="1">
      <c r="B9" s="315" t="s">
        <v>37</v>
      </c>
      <c r="C9" s="316" t="e">
        <f>DATA!I15</f>
        <v>#DIV/0!</v>
      </c>
      <c r="D9" s="317" t="e">
        <f>C9*Overview!G30</f>
        <v>#DIV/0!</v>
      </c>
    </row>
    <row r="10" spans="2:4" ht="19" thickBot="1">
      <c r="C10" s="318" t="s">
        <v>251</v>
      </c>
      <c r="D10" s="319" t="e">
        <f>AVERAGE(D5:D9)</f>
        <v>#DIV/0!</v>
      </c>
    </row>
    <row r="13" spans="2:4">
      <c r="C13" s="156"/>
      <c r="D13" s="157"/>
    </row>
  </sheetData>
  <pageMargins left="0.7" right="0.7" top="0.75" bottom="0.75" header="0.3" footer="0.3"/>
  <pageSetup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9" tint="0.59999389629810485"/>
    <pageSetUpPr fitToPage="1"/>
  </sheetPr>
  <dimension ref="B2:I18"/>
  <sheetViews>
    <sheetView zoomScaleNormal="100" workbookViewId="0">
      <selection activeCell="J18" sqref="J18"/>
    </sheetView>
  </sheetViews>
  <sheetFormatPr baseColWidth="10" defaultColWidth="8.83203125" defaultRowHeight="18"/>
  <cols>
    <col min="1" max="1" width="2.5" style="155" customWidth="1"/>
    <col min="2" max="2" width="20.5" style="155" bestFit="1" customWidth="1"/>
    <col min="3" max="3" width="15.83203125" style="155" bestFit="1" customWidth="1"/>
    <col min="4" max="5" width="9.83203125" style="155" bestFit="1" customWidth="1"/>
    <col min="6" max="6" width="8.5" style="155" bestFit="1" customWidth="1"/>
    <col min="7" max="7" width="9.5" style="155" bestFit="1" customWidth="1"/>
    <col min="8" max="8" width="8.5" style="155" bestFit="1" customWidth="1"/>
    <col min="9" max="9" width="8.1640625" style="155" bestFit="1" customWidth="1"/>
    <col min="10" max="16384" width="8.83203125" style="155"/>
  </cols>
  <sheetData>
    <row r="2" spans="2:9">
      <c r="B2" s="158" t="s">
        <v>201</v>
      </c>
    </row>
    <row r="3" spans="2:9" ht="19" thickBot="1"/>
    <row r="4" spans="2:9" ht="19" thickBot="1">
      <c r="B4" s="346" t="str">
        <f>Forecast!I3</f>
        <v>Year</v>
      </c>
      <c r="C4" s="347">
        <v>0</v>
      </c>
      <c r="D4" s="348">
        <f>Forecast!J3</f>
        <v>1</v>
      </c>
      <c r="E4" s="348">
        <f>Forecast!K3</f>
        <v>2</v>
      </c>
      <c r="F4" s="348">
        <f>Forecast!L3</f>
        <v>3</v>
      </c>
      <c r="G4" s="348">
        <f>Forecast!M3</f>
        <v>4</v>
      </c>
      <c r="H4" s="349">
        <f>Forecast!N3</f>
        <v>5</v>
      </c>
    </row>
    <row r="5" spans="2:9">
      <c r="B5" s="323" t="s">
        <v>252</v>
      </c>
      <c r="C5" s="324"/>
      <c r="D5" s="325">
        <f>DATA!C8</f>
        <v>2.3858612785352437E-2</v>
      </c>
      <c r="E5" s="325">
        <f>DATA!D8</f>
        <v>2.1643959589014328E-2</v>
      </c>
      <c r="F5" s="325">
        <f>DATA!E8</f>
        <v>1.9429306392676218E-2</v>
      </c>
      <c r="G5" s="325">
        <f>DATA!F8</f>
        <v>1.7214653196338109E-2</v>
      </c>
      <c r="H5" s="326">
        <f>DATA!G8</f>
        <v>1.4999999999999999E-2</v>
      </c>
    </row>
    <row r="6" spans="2:9">
      <c r="B6" s="327" t="str">
        <f>Forecast!I9</f>
        <v>DVD</v>
      </c>
      <c r="C6" s="328">
        <f>Overview!G38</f>
        <v>2.9522613065326633</v>
      </c>
      <c r="D6" s="329">
        <f>IF(D5=DATA!C8,Forecast!J9,DDM!C6*(1+DDM!D5))</f>
        <v>3.4497022309358103</v>
      </c>
      <c r="E6" s="329">
        <f>IF(E5=DATA!D8,Forecast!K9,DDM!D6*(1+DDM!E5))</f>
        <v>3.524367446616318</v>
      </c>
      <c r="F6" s="329">
        <f>IF(F5=DATA!E8,Forecast!L9,DDM!E6*(1+DDM!F5))</f>
        <v>3.5928434615770004</v>
      </c>
      <c r="G6" s="329">
        <f>IF(G5=DATA!F8,Forecast!M9,DDM!F6*(1+DDM!G5))</f>
        <v>3.6546930157567799</v>
      </c>
      <c r="H6" s="330">
        <f>IF(H5=DATA!G8,Forecast!N9,DDM!G6*(1+DDM!H5))</f>
        <v>3.7095134109931314</v>
      </c>
      <c r="I6" s="159"/>
    </row>
    <row r="7" spans="2:9" ht="19" thickBot="1">
      <c r="B7" s="331" t="s">
        <v>253</v>
      </c>
      <c r="C7" s="332"/>
      <c r="D7" s="333">
        <f>Forecast!I32</f>
        <v>7.9681599999999991E-2</v>
      </c>
      <c r="E7" s="334"/>
      <c r="F7" s="334"/>
      <c r="G7" s="334"/>
      <c r="H7" s="335"/>
    </row>
    <row r="8" spans="2:9" ht="19" thickBot="1">
      <c r="B8" s="160"/>
      <c r="D8" s="161"/>
    </row>
    <row r="9" spans="2:9">
      <c r="B9" s="336" t="s">
        <v>254</v>
      </c>
      <c r="C9" s="337"/>
      <c r="D9" s="338"/>
      <c r="E9" s="338"/>
      <c r="F9" s="338"/>
      <c r="G9" s="338">
        <f>H6/(D7-H9)</f>
        <v>57.350365652567753</v>
      </c>
      <c r="H9" s="339">
        <f>(H6/G6)-1</f>
        <v>1.4999999999999902E-2</v>
      </c>
    </row>
    <row r="10" spans="2:9">
      <c r="B10" s="323" t="s">
        <v>255</v>
      </c>
      <c r="C10" s="157"/>
      <c r="D10" s="340">
        <f>PV($D$7,D4,0,-D6,0)</f>
        <v>3.1951106983168094</v>
      </c>
      <c r="E10" s="340">
        <f>PV($D$7,E4,0,-E6,0)</f>
        <v>3.0233594285144867</v>
      </c>
      <c r="F10" s="340">
        <f>PV($D$7,F4,0,-F6,0)</f>
        <v>2.8546390020782804</v>
      </c>
      <c r="G10" s="340">
        <f>PV($D$7,G4,0,-(G6+G9),0)</f>
        <v>44.893456910462874</v>
      </c>
      <c r="H10" s="166"/>
    </row>
    <row r="11" spans="2:9" ht="19" thickBot="1">
      <c r="B11" s="341"/>
      <c r="C11" s="342"/>
      <c r="D11" s="342"/>
      <c r="E11" s="343">
        <f>PV($D$7,D4,0,-E6,0)</f>
        <v>3.2642655451536062</v>
      </c>
      <c r="F11" s="343">
        <f>PV($D$7,E4,0,-F6,0)</f>
        <v>3.0821012051862811</v>
      </c>
      <c r="G11" s="343">
        <f>PV($D$7,F4,0,-(G6+G9),0)</f>
        <v>48.470639386619609</v>
      </c>
      <c r="H11" s="168"/>
    </row>
    <row r="12" spans="2:9" ht="19" thickBot="1">
      <c r="E12" s="162"/>
      <c r="F12" s="162"/>
      <c r="G12" s="162"/>
    </row>
    <row r="13" spans="2:9">
      <c r="B13" s="311" t="s">
        <v>256</v>
      </c>
      <c r="C13" s="344">
        <f>SUM(D10:G10)</f>
        <v>53.966566039372452</v>
      </c>
    </row>
    <row r="14" spans="2:9" ht="19" thickBot="1">
      <c r="B14" s="315" t="s">
        <v>257</v>
      </c>
      <c r="C14" s="345">
        <f>SUM(E11:G11)</f>
        <v>54.817006136959499</v>
      </c>
    </row>
    <row r="15" spans="2:9" ht="19" thickBot="1"/>
    <row r="16" spans="2:9" ht="19" thickBot="1">
      <c r="B16" s="163" t="s">
        <v>258</v>
      </c>
      <c r="C16" s="164"/>
    </row>
    <row r="17" spans="2:3">
      <c r="B17" s="165" t="s">
        <v>259</v>
      </c>
      <c r="C17" s="592">
        <f>D6/(D7-Forecast!D21)</f>
        <v>73.603964823575794</v>
      </c>
    </row>
    <row r="18" spans="2:3" ht="19" thickBot="1">
      <c r="B18" s="167" t="s">
        <v>260</v>
      </c>
      <c r="C18" s="168">
        <f>D6/(D7-Forecast!F23)</f>
        <v>53.254599735959907</v>
      </c>
    </row>
  </sheetData>
  <pageMargins left="0.7" right="0.7" top="0.75" bottom="0.75" header="0.3" footer="0.3"/>
  <pageSetup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theme="9" tint="0.59999389629810485"/>
    <pageSetUpPr fitToPage="1"/>
  </sheetPr>
  <dimension ref="B2:J23"/>
  <sheetViews>
    <sheetView workbookViewId="0">
      <selection activeCell="I22" sqref="I22"/>
    </sheetView>
  </sheetViews>
  <sheetFormatPr baseColWidth="10" defaultColWidth="8.83203125" defaultRowHeight="13"/>
  <cols>
    <col min="1" max="1" width="2.5" style="170" customWidth="1"/>
    <col min="2" max="2" width="8.1640625" style="170" customWidth="1"/>
    <col min="3" max="3" width="27.5" style="170" customWidth="1"/>
    <col min="4" max="4" width="11" style="170" bestFit="1" customWidth="1"/>
    <col min="5" max="7" width="12.83203125" style="170" bestFit="1" customWidth="1"/>
    <col min="8" max="8" width="11" style="170" bestFit="1" customWidth="1"/>
    <col min="9" max="16384" width="8.83203125" style="170"/>
  </cols>
  <sheetData>
    <row r="2" spans="2:9">
      <c r="B2" s="169" t="s">
        <v>220</v>
      </c>
    </row>
    <row r="3" spans="2:9" ht="14" thickBot="1"/>
    <row r="4" spans="2:9" ht="14" thickBot="1">
      <c r="B4" s="376" t="str">
        <f>Forecast!I3</f>
        <v>Year</v>
      </c>
      <c r="C4" s="377">
        <v>0</v>
      </c>
      <c r="D4" s="377">
        <f>Forecast!J3</f>
        <v>1</v>
      </c>
      <c r="E4" s="377">
        <f>Forecast!K3</f>
        <v>2</v>
      </c>
      <c r="F4" s="377">
        <f>Forecast!L3</f>
        <v>3</v>
      </c>
      <c r="G4" s="377">
        <f>Forecast!M3</f>
        <v>4</v>
      </c>
      <c r="H4" s="378">
        <f>Forecast!N3</f>
        <v>5</v>
      </c>
    </row>
    <row r="5" spans="2:9">
      <c r="B5" s="350" t="s">
        <v>261</v>
      </c>
      <c r="C5" s="351"/>
      <c r="D5" s="352">
        <f>DATA!C8</f>
        <v>2.3858612785352437E-2</v>
      </c>
      <c r="E5" s="352">
        <f>DATA!D8</f>
        <v>2.1643959589014328E-2</v>
      </c>
      <c r="F5" s="352">
        <f>DATA!E8</f>
        <v>1.9429306392676218E-2</v>
      </c>
      <c r="G5" s="352">
        <f>DATA!F8</f>
        <v>1.7214653196338109E-2</v>
      </c>
      <c r="H5" s="353">
        <f>DATA!G8</f>
        <v>1.4999999999999999E-2</v>
      </c>
    </row>
    <row r="6" spans="2:9">
      <c r="B6" s="354" t="str">
        <f>Forecast!I7</f>
        <v>FCF</v>
      </c>
      <c r="C6" s="175">
        <f>Overview!G47</f>
        <v>2555</v>
      </c>
      <c r="D6" s="175">
        <f>IF(D5=DATA!C8,Forecast!J7,FCFM!C6*(1+FCFM!D5))</f>
        <v>2263.3789262148107</v>
      </c>
      <c r="E6" s="175">
        <f>IF(E5=DATA!D8,Forecast!K7,FCFM!D6*(1+FCFM!E5))</f>
        <v>2312.367408228431</v>
      </c>
      <c r="F6" s="175">
        <f>IF(F5=DATA!E8,Forecast!L7,FCFM!E6*(1+FCFM!F5))</f>
        <v>2357.29510309534</v>
      </c>
      <c r="G6" s="175">
        <f>IF(G5=DATA!F8,Forecast!M7,FCFM!F6*(1+FCFM!G5))</f>
        <v>2397.8751207765522</v>
      </c>
      <c r="H6" s="355">
        <f>IF(H5=DATA!G8,Forecast!N7,FCFM!G6*(1+FCFM!H5))</f>
        <v>2433.8432475882005</v>
      </c>
    </row>
    <row r="7" spans="2:9" ht="14" thickBot="1">
      <c r="B7" s="356" t="s">
        <v>262</v>
      </c>
      <c r="C7" s="357"/>
      <c r="D7" s="358">
        <f>Overview!G59</f>
        <v>5.1750752044544976E-2</v>
      </c>
      <c r="E7" s="357"/>
      <c r="F7" s="357"/>
      <c r="G7" s="357"/>
      <c r="H7" s="359"/>
    </row>
    <row r="8" spans="2:9" ht="14" thickBot="1">
      <c r="B8" s="360"/>
      <c r="C8" s="125"/>
      <c r="D8" s="172"/>
      <c r="E8" s="125"/>
      <c r="F8" s="125"/>
      <c r="G8" s="125"/>
      <c r="H8" s="361"/>
    </row>
    <row r="9" spans="2:9">
      <c r="B9" s="362" t="s">
        <v>263</v>
      </c>
      <c r="C9" s="174"/>
      <c r="D9" s="174"/>
      <c r="E9" s="174"/>
      <c r="F9" s="174"/>
      <c r="G9" s="363">
        <f>H6/(D7-H5)</f>
        <v>66225.671916541454</v>
      </c>
      <c r="H9" s="364"/>
      <c r="I9" s="173"/>
    </row>
    <row r="10" spans="2:9">
      <c r="B10" s="365" t="s">
        <v>255</v>
      </c>
      <c r="C10" s="125"/>
      <c r="D10" s="366">
        <f>PV($D$7,D4,0,-D6,0)</f>
        <v>2152.0107514208357</v>
      </c>
      <c r="E10" s="366">
        <f>PV($D$7,E4,0,-E6,0)</f>
        <v>2090.4085696024258</v>
      </c>
      <c r="F10" s="366">
        <f>PV($D$7,F4,0,-F6,0)</f>
        <v>2026.1680384297472</v>
      </c>
      <c r="G10" s="366">
        <f>PV($D$7,G4,0,(-(G6+G9)),0)</f>
        <v>56081.786191222913</v>
      </c>
      <c r="H10" s="361"/>
    </row>
    <row r="11" spans="2:9" ht="14" thickBot="1">
      <c r="B11" s="367"/>
      <c r="C11" s="357"/>
      <c r="D11" s="357"/>
      <c r="E11" s="368">
        <f>PV($D$7,D4,0,-E6,0)</f>
        <v>2198.5887851597131</v>
      </c>
      <c r="F11" s="368">
        <f>PV($D$7,E4,0,-F6,0)</f>
        <v>2131.0237581871074</v>
      </c>
      <c r="G11" s="368">
        <f>PV($D$7,F4,0,(-(G6+G9)),0)</f>
        <v>58984.060802620079</v>
      </c>
      <c r="H11" s="359"/>
    </row>
    <row r="12" spans="2:9">
      <c r="B12" s="365"/>
      <c r="C12" s="125"/>
      <c r="D12" s="125"/>
      <c r="E12" s="366"/>
      <c r="F12" s="366"/>
      <c r="G12" s="366"/>
      <c r="H12" s="361"/>
    </row>
    <row r="13" spans="2:9">
      <c r="B13" s="365"/>
      <c r="C13" s="125" t="s">
        <v>264</v>
      </c>
      <c r="D13" s="125"/>
      <c r="E13" s="175">
        <f>SUM(D10:G10)</f>
        <v>62350.373550675919</v>
      </c>
      <c r="F13" s="366">
        <f>SUM(E11:G11)</f>
        <v>63313.673345966898</v>
      </c>
      <c r="G13" s="125"/>
      <c r="H13" s="361"/>
    </row>
    <row r="14" spans="2:9">
      <c r="B14" s="369" t="s">
        <v>265</v>
      </c>
      <c r="C14" s="125" t="str">
        <f>Overview!B49</f>
        <v>Short-Term Investments</v>
      </c>
      <c r="D14" s="125"/>
      <c r="E14" s="175">
        <f>Overview!G49</f>
        <v>1102</v>
      </c>
      <c r="F14" s="370">
        <f>E14</f>
        <v>1102</v>
      </c>
      <c r="G14" s="125"/>
      <c r="H14" s="361"/>
    </row>
    <row r="15" spans="2:9">
      <c r="B15" s="369" t="s">
        <v>265</v>
      </c>
      <c r="C15" s="371" t="str">
        <f>Overview!B50</f>
        <v>Non-Operating Assets</v>
      </c>
      <c r="D15" s="371"/>
      <c r="E15" s="372">
        <f>Overview!G50</f>
        <v>22086</v>
      </c>
      <c r="F15" s="373">
        <f>E15</f>
        <v>22086</v>
      </c>
      <c r="G15" s="125"/>
      <c r="H15" s="361"/>
    </row>
    <row r="16" spans="2:9">
      <c r="B16" s="369"/>
      <c r="C16" s="125" t="s">
        <v>266</v>
      </c>
      <c r="D16" s="125"/>
      <c r="E16" s="175">
        <f>SUM(E13:E15)</f>
        <v>85538.373550675926</v>
      </c>
      <c r="F16" s="175">
        <f>SUM(F13:F15)</f>
        <v>86501.673345966905</v>
      </c>
      <c r="G16" s="175"/>
      <c r="H16" s="355"/>
    </row>
    <row r="17" spans="2:10">
      <c r="B17" s="369" t="s">
        <v>267</v>
      </c>
      <c r="C17" s="125" t="str">
        <f>Overview!B51</f>
        <v>Total debt</v>
      </c>
      <c r="D17" s="125"/>
      <c r="E17" s="175">
        <f>Overview!G62</f>
        <v>8058</v>
      </c>
      <c r="F17" s="370">
        <f>E17</f>
        <v>8058</v>
      </c>
      <c r="G17" s="125"/>
      <c r="H17" s="361"/>
    </row>
    <row r="18" spans="2:10">
      <c r="B18" s="369" t="s">
        <v>267</v>
      </c>
      <c r="C18" s="371" t="str">
        <f>Overview!B53</f>
        <v>Preferred Equity and Minority Interest</v>
      </c>
      <c r="D18" s="371"/>
      <c r="E18" s="372">
        <f>Overview!G53</f>
        <v>43</v>
      </c>
      <c r="F18" s="373">
        <f>E18</f>
        <v>43</v>
      </c>
      <c r="G18" s="125"/>
      <c r="H18" s="361"/>
    </row>
    <row r="19" spans="2:10">
      <c r="B19" s="369" t="s">
        <v>267</v>
      </c>
      <c r="C19" s="125" t="s">
        <v>268</v>
      </c>
      <c r="D19" s="125"/>
      <c r="E19" s="175">
        <f>E16-E17--E18</f>
        <v>77523.373550675926</v>
      </c>
      <c r="F19" s="175">
        <f>F16-F17--F18</f>
        <v>78486.673345966905</v>
      </c>
      <c r="G19" s="125"/>
      <c r="H19" s="361"/>
    </row>
    <row r="20" spans="2:10">
      <c r="B20" s="365"/>
      <c r="C20" s="125" t="str">
        <f>Overview!B54</f>
        <v>Current Shares Outstanding</v>
      </c>
      <c r="D20" s="125"/>
      <c r="E20" s="374">
        <f>Overview!G54</f>
        <v>398</v>
      </c>
      <c r="F20" s="374">
        <f>E20</f>
        <v>398</v>
      </c>
      <c r="G20" s="125"/>
      <c r="H20" s="361"/>
    </row>
    <row r="21" spans="2:10">
      <c r="B21" s="365"/>
      <c r="C21" s="171" t="s">
        <v>269</v>
      </c>
      <c r="D21" s="125"/>
      <c r="E21" s="590">
        <f>E19/E20</f>
        <v>194.78234560471338</v>
      </c>
      <c r="F21" s="125"/>
      <c r="G21" s="125"/>
      <c r="H21" s="361"/>
    </row>
    <row r="22" spans="2:10" ht="14" thickBot="1">
      <c r="B22" s="367"/>
      <c r="C22" s="375" t="s">
        <v>257</v>
      </c>
      <c r="D22" s="357"/>
      <c r="E22" s="357"/>
      <c r="F22" s="591">
        <f>F19/F20</f>
        <v>197.20269684916309</v>
      </c>
      <c r="G22" s="357"/>
      <c r="H22" s="359"/>
    </row>
    <row r="23" spans="2:10">
      <c r="J23" s="125"/>
    </row>
  </sheetData>
  <pageMargins left="0.7" right="0.7" top="0.75" bottom="0.75" header="0.3" footer="0.3"/>
  <pageSetup scale="90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theme="9" tint="0.59999389629810485"/>
    <pageSetUpPr fitToPage="1"/>
  </sheetPr>
  <dimension ref="B2:K25"/>
  <sheetViews>
    <sheetView zoomScaleNormal="100" workbookViewId="0">
      <selection activeCell="J16" sqref="J16"/>
    </sheetView>
  </sheetViews>
  <sheetFormatPr baseColWidth="10" defaultColWidth="8.83203125" defaultRowHeight="16"/>
  <cols>
    <col min="1" max="1" width="2.5" style="15" customWidth="1"/>
    <col min="2" max="2" width="21.1640625" style="15" bestFit="1" customWidth="1"/>
    <col min="3" max="3" width="5.83203125" style="15" bestFit="1" customWidth="1"/>
    <col min="4" max="4" width="8.5" style="15" bestFit="1" customWidth="1"/>
    <col min="5" max="6" width="8.1640625" style="15" bestFit="1" customWidth="1"/>
    <col min="7" max="7" width="8.5" style="15" bestFit="1" customWidth="1"/>
    <col min="8" max="8" width="8.1640625" style="15" bestFit="1" customWidth="1"/>
    <col min="9" max="10" width="8.83203125" style="15"/>
    <col min="11" max="11" width="1.5" style="15" bestFit="1" customWidth="1"/>
    <col min="12" max="16384" width="8.83203125" style="15"/>
  </cols>
  <sheetData>
    <row r="2" spans="2:8">
      <c r="B2" s="30" t="s">
        <v>203</v>
      </c>
    </row>
    <row r="3" spans="2:8" ht="17" thickBot="1"/>
    <row r="4" spans="2:8" ht="17" thickBot="1">
      <c r="B4" s="48" t="str">
        <f>Forecast!I3</f>
        <v>Year</v>
      </c>
      <c r="C4" s="503">
        <v>0</v>
      </c>
      <c r="D4" s="503">
        <f>Forecast!J3</f>
        <v>1</v>
      </c>
      <c r="E4" s="503">
        <f>Forecast!K3</f>
        <v>2</v>
      </c>
      <c r="F4" s="503">
        <f>Forecast!L3</f>
        <v>3</v>
      </c>
      <c r="G4" s="503">
        <f>Forecast!M3</f>
        <v>4</v>
      </c>
      <c r="H4" s="504">
        <f>Forecast!N3</f>
        <v>5</v>
      </c>
    </row>
    <row r="5" spans="2:8">
      <c r="B5" s="51" t="s">
        <v>23</v>
      </c>
      <c r="C5" s="379"/>
      <c r="D5" s="380">
        <f>DATA!C8</f>
        <v>2.3858612785352437E-2</v>
      </c>
      <c r="E5" s="380">
        <f>DATA!D8</f>
        <v>2.1643959589014328E-2</v>
      </c>
      <c r="F5" s="380">
        <f>DATA!E8</f>
        <v>1.9429306392676218E-2</v>
      </c>
      <c r="G5" s="380">
        <f>DATA!F8</f>
        <v>1.7214653196338109E-2</v>
      </c>
      <c r="H5" s="380">
        <f>DATA!G8</f>
        <v>1.4999999999999999E-2</v>
      </c>
    </row>
    <row r="6" spans="2:8">
      <c r="B6" s="51" t="s">
        <v>221</v>
      </c>
      <c r="C6" s="381">
        <f>Forecast!G8</f>
        <v>4.7613065326633164</v>
      </c>
      <c r="D6" s="382">
        <f>IF(D5=DATA!C8,Forecast!J8,RIM!C6*(1+RIM!D5))</f>
        <v>5.5635623213815837</v>
      </c>
      <c r="E6" s="382">
        <f>IF(E5=DATA!D8,Forecast!K8,RIM!D6*(1+RIM!E5))</f>
        <v>5.68397983943653</v>
      </c>
      <c r="F6" s="382">
        <f>IF(F5=DATA!E8,Forecast!L8,RIM!E6*(1+RIM!F5))</f>
        <v>5.7944156252667369</v>
      </c>
      <c r="G6" s="382">
        <f>IF(G5=DATA!F8,Forecast!M8,RIM!F6*(1+RIM!G5))</f>
        <v>5.8941644807311473</v>
      </c>
      <c r="H6" s="383">
        <f>IF(H5=DATA!G8,Forecast!N8,RIM!G6*(1+RIM!H5))</f>
        <v>5.982576947942114</v>
      </c>
    </row>
    <row r="7" spans="2:8">
      <c r="B7" s="51" t="s">
        <v>223</v>
      </c>
      <c r="C7" s="381">
        <f>Overview!G41</f>
        <v>37.51256281407035</v>
      </c>
      <c r="D7" s="382">
        <f>C7+D6-DDM!D6</f>
        <v>39.626422904516119</v>
      </c>
      <c r="E7" s="382">
        <f>D7+E6-DDM!E6</f>
        <v>41.786035297336333</v>
      </c>
      <c r="F7" s="382">
        <f>E7+F6-DDM!F6</f>
        <v>43.987607461026073</v>
      </c>
      <c r="G7" s="382">
        <f>F7+G6-DDM!G6</f>
        <v>46.227078926000445</v>
      </c>
      <c r="H7" s="383">
        <f>G7+H6-DDM!H6</f>
        <v>48.500142462949427</v>
      </c>
    </row>
    <row r="8" spans="2:8" ht="17" thickBot="1">
      <c r="B8" s="61" t="s">
        <v>270</v>
      </c>
      <c r="C8" s="384"/>
      <c r="D8" s="385">
        <f>Forecast!I32</f>
        <v>7.9681599999999991E-2</v>
      </c>
      <c r="E8" s="384"/>
      <c r="F8" s="384"/>
      <c r="G8" s="384"/>
      <c r="H8" s="386"/>
    </row>
    <row r="9" spans="2:8" ht="17" thickBot="1">
      <c r="B9" s="29"/>
      <c r="C9" s="17"/>
      <c r="D9" s="387"/>
      <c r="E9" s="17"/>
      <c r="F9" s="17"/>
      <c r="G9" s="17"/>
      <c r="H9" s="17"/>
    </row>
    <row r="10" spans="2:8" ht="17" thickBot="1">
      <c r="B10" s="48" t="s">
        <v>271</v>
      </c>
      <c r="C10" s="400"/>
      <c r="D10" s="401">
        <f>D6-(C7*$D$8)</f>
        <v>2.5745012962559559</v>
      </c>
      <c r="E10" s="401">
        <f>E6-(D7*$D$8)</f>
        <v>2.5264830601280388</v>
      </c>
      <c r="F10" s="401">
        <f>F6-(E7*$D$8)</f>
        <v>2.4648374751185025</v>
      </c>
      <c r="G10" s="401">
        <f>G6-(F7*$D$8)</f>
        <v>2.3891615380646525</v>
      </c>
      <c r="H10" s="402">
        <f>H6-(G7*$D$8)</f>
        <v>2.2991293357921174</v>
      </c>
    </row>
    <row r="11" spans="2:8">
      <c r="B11" s="51" t="s">
        <v>272</v>
      </c>
      <c r="C11" s="17"/>
      <c r="D11" s="388"/>
      <c r="E11" s="388"/>
      <c r="F11" s="388"/>
      <c r="G11" s="389">
        <f>H10/(1+D8-G16)</f>
        <v>28.853955440052871</v>
      </c>
      <c r="H11" s="390"/>
    </row>
    <row r="12" spans="2:8">
      <c r="B12" s="51" t="s">
        <v>273</v>
      </c>
      <c r="C12" s="17"/>
      <c r="D12" s="391">
        <f>PV($D$8,D4,0,-D10,0)</f>
        <v>2.3845004826014966</v>
      </c>
      <c r="E12" s="391">
        <f>PV($D$8,E4,0,-E10,0)</f>
        <v>2.1673297397391957</v>
      </c>
      <c r="F12" s="391">
        <f>PV($D$8,F4,0,-F10,0)</f>
        <v>1.958399041178664</v>
      </c>
      <c r="G12" s="391">
        <f>PV($D$8,G4,0,-(G10+G11),0)</f>
        <v>22.991724890085941</v>
      </c>
      <c r="H12" s="392"/>
    </row>
    <row r="13" spans="2:8" ht="17" thickBot="1">
      <c r="B13" s="61"/>
      <c r="C13" s="38"/>
      <c r="D13" s="393"/>
      <c r="E13" s="393">
        <f>PV($D$8,D4,0,-E10,0)</f>
        <v>2.3400260411291982</v>
      </c>
      <c r="F13" s="393">
        <f>PV($D$8,E4,0,-F10,0)</f>
        <v>2.1144474102182458</v>
      </c>
      <c r="G13" s="393">
        <f>PV($D$8,F4,0,-(G10+G11),0)</f>
        <v>24.823742316087809</v>
      </c>
      <c r="H13" s="394"/>
    </row>
    <row r="14" spans="2:8" ht="17" thickBot="1">
      <c r="B14" s="29"/>
      <c r="C14" s="17"/>
      <c r="D14" s="395"/>
      <c r="E14" s="395"/>
      <c r="F14" s="395"/>
      <c r="G14" s="395"/>
      <c r="H14" s="395"/>
    </row>
    <row r="15" spans="2:8" ht="17" thickBot="1">
      <c r="B15" s="55" t="s">
        <v>274</v>
      </c>
      <c r="C15" s="57"/>
      <c r="D15" s="396">
        <f>SUM(D12:G12)</f>
        <v>29.501954153605297</v>
      </c>
    </row>
    <row r="16" spans="2:8" ht="17" thickBot="1">
      <c r="B16" s="51" t="s">
        <v>275</v>
      </c>
      <c r="C16" s="17"/>
      <c r="D16" s="397">
        <f>C7+D15</f>
        <v>67.014516967675647</v>
      </c>
      <c r="F16" s="48" t="s">
        <v>276</v>
      </c>
      <c r="G16" s="398">
        <v>1</v>
      </c>
    </row>
    <row r="17" spans="2:11" ht="17" thickBot="1">
      <c r="B17" s="61" t="s">
        <v>257</v>
      </c>
      <c r="C17" s="38"/>
      <c r="D17" s="399">
        <f>D7+E13+F13+G13</f>
        <v>68.904638671951375</v>
      </c>
    </row>
    <row r="25" spans="2:11">
      <c r="K25" s="15" t="s">
        <v>277</v>
      </c>
    </row>
  </sheetData>
  <pageMargins left="0.7" right="0.7" top="0.75" bottom="0.75" header="0.3" footer="0.3"/>
  <pageSetup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9" tint="0.59999389629810485"/>
    <pageSetUpPr fitToPage="1"/>
  </sheetPr>
  <dimension ref="B2:I27"/>
  <sheetViews>
    <sheetView zoomScaleNormal="100" workbookViewId="0">
      <selection activeCell="F21" sqref="F21"/>
    </sheetView>
  </sheetViews>
  <sheetFormatPr baseColWidth="10" defaultColWidth="8.83203125" defaultRowHeight="13"/>
  <cols>
    <col min="1" max="1" width="2.5" style="404" customWidth="1"/>
    <col min="2" max="2" width="29.1640625" style="404" bestFit="1" customWidth="1"/>
    <col min="3" max="4" width="9.83203125" style="404" bestFit="1" customWidth="1"/>
    <col min="5" max="6" width="7.5" style="404" bestFit="1" customWidth="1"/>
    <col min="7" max="7" width="9.5" style="404" bestFit="1" customWidth="1"/>
    <col min="8" max="8" width="7.5" style="404" bestFit="1" customWidth="1"/>
    <col min="9" max="9" width="10.1640625" style="404" bestFit="1" customWidth="1"/>
    <col min="10" max="16384" width="8.83203125" style="404"/>
  </cols>
  <sheetData>
    <row r="2" spans="2:9">
      <c r="B2" s="403" t="s">
        <v>278</v>
      </c>
    </row>
    <row r="3" spans="2:9" ht="14" thickBot="1"/>
    <row r="4" spans="2:9" ht="14" thickBot="1">
      <c r="B4" s="440" t="str">
        <f>FCFM!B4</f>
        <v>Year</v>
      </c>
      <c r="C4" s="430">
        <v>0</v>
      </c>
      <c r="D4" s="430">
        <f>FCFM!D4</f>
        <v>1</v>
      </c>
      <c r="E4" s="430">
        <f>FCFM!E4</f>
        <v>2</v>
      </c>
      <c r="F4" s="430">
        <f>FCFM!F4</f>
        <v>3</v>
      </c>
      <c r="G4" s="430">
        <f>FCFM!G4</f>
        <v>4</v>
      </c>
      <c r="H4" s="431">
        <f>FCFM!H4</f>
        <v>5</v>
      </c>
    </row>
    <row r="5" spans="2:9">
      <c r="B5" s="405" t="s">
        <v>23</v>
      </c>
      <c r="C5" s="406"/>
      <c r="D5" s="407">
        <f>DATA!C8</f>
        <v>2.3858612785352437E-2</v>
      </c>
      <c r="E5" s="407">
        <f>DATA!D8</f>
        <v>2.1643959589014328E-2</v>
      </c>
      <c r="F5" s="407">
        <f>DATA!E8</f>
        <v>1.9429306392676218E-2</v>
      </c>
      <c r="G5" s="407">
        <f>DATA!F8</f>
        <v>1.7214653196338109E-2</v>
      </c>
      <c r="H5" s="407">
        <f>DATA!G8</f>
        <v>1.4999999999999999E-2</v>
      </c>
    </row>
    <row r="6" spans="2:9">
      <c r="B6" s="405" t="str">
        <f>Forecast!I5</f>
        <v>NOPAT</v>
      </c>
      <c r="C6" s="408">
        <f>Overview!G57</f>
        <v>1564</v>
      </c>
      <c r="D6" s="409">
        <f>IF(D5=DATA!C8,Forecast!J5,'MVA Model'!C6*(1+'MVA Model'!D5))</f>
        <v>2011.7803461183744</v>
      </c>
      <c r="E6" s="409">
        <f>IF(E5=DATA!D8,Forecast!K5,'MVA Model'!D6*(1+'MVA Model'!E5))</f>
        <v>2055.3232386317336</v>
      </c>
      <c r="F6" s="409">
        <f>IF(F5=DATA!E8,Forecast!L5,'MVA Model'!E6*(1+'MVA Model'!F5))</f>
        <v>2095.2567435710976</v>
      </c>
      <c r="G6" s="409">
        <f>IF(G5=DATA!F8,Forecast!M5,'MVA Model'!F6*(1+'MVA Model'!G5))</f>
        <v>2131.3258617689626</v>
      </c>
      <c r="H6" s="410">
        <f>IF(H5=DATA!G8,Forecast!N5,'MVA Model'!G6*(1+'MVA Model'!H5))</f>
        <v>2163.2957496954969</v>
      </c>
      <c r="I6" s="411"/>
    </row>
    <row r="7" spans="2:9">
      <c r="B7" s="405" t="str">
        <f>Forecast!I6</f>
        <v>Capital</v>
      </c>
      <c r="C7" s="412">
        <f>Overview!G58</f>
        <v>22988</v>
      </c>
      <c r="D7" s="409">
        <f>Forecast!J6</f>
        <v>21828.229514016086</v>
      </c>
      <c r="E7" s="409">
        <f>Forecast!K6</f>
        <v>22300.67883151718</v>
      </c>
      <c r="F7" s="409">
        <f>Forecast!L6</f>
        <v>22733.965553299397</v>
      </c>
      <c r="G7" s="409">
        <f>Forecast!M6</f>
        <v>23125.322886076945</v>
      </c>
      <c r="H7" s="410">
        <f>Forecast!N6</f>
        <v>23472.202729368099</v>
      </c>
    </row>
    <row r="8" spans="2:9" ht="14" thickBot="1">
      <c r="B8" s="413" t="str">
        <f>FCFM!B7</f>
        <v xml:space="preserve"> WACC</v>
      </c>
      <c r="C8" s="414"/>
      <c r="D8" s="415">
        <f>Overview!G48</f>
        <v>5.1750752044544976E-2</v>
      </c>
      <c r="E8" s="414"/>
      <c r="F8" s="414"/>
      <c r="G8" s="414"/>
      <c r="H8" s="416"/>
    </row>
    <row r="9" spans="2:9" ht="14" thickBot="1"/>
    <row r="10" spans="2:9">
      <c r="B10" s="417" t="s">
        <v>279</v>
      </c>
      <c r="C10" s="418"/>
      <c r="D10" s="419">
        <f>D6/C7</f>
        <v>8.7514370372297479E-2</v>
      </c>
      <c r="E10" s="419">
        <f>E6/D7</f>
        <v>9.4158953080092617E-2</v>
      </c>
      <c r="F10" s="419">
        <f>F6/E7</f>
        <v>9.3954841437826814E-2</v>
      </c>
      <c r="G10" s="419">
        <f>G6/F7</f>
        <v>9.3750729795560969E-2</v>
      </c>
      <c r="H10" s="420">
        <f>H6/G7</f>
        <v>9.3546618153295125E-2</v>
      </c>
    </row>
    <row r="11" spans="2:9">
      <c r="B11" s="421" t="s">
        <v>280</v>
      </c>
      <c r="C11" s="406"/>
      <c r="D11" s="422">
        <f>(D7*(D10-$D$8))</f>
        <v>780.65646910985379</v>
      </c>
      <c r="E11" s="422">
        <f>(E7*(E10-$D$8))</f>
        <v>945.73167111616226</v>
      </c>
      <c r="F11" s="422">
        <f>(F7*(F10-$D$8))</f>
        <v>959.46631447523771</v>
      </c>
      <c r="G11" s="422">
        <f>(G7*(G10-$D$8))</f>
        <v>971.26304670029265</v>
      </c>
      <c r="H11" s="423">
        <f>(H7*(H10-$D$8))</f>
        <v>981.0410425541088</v>
      </c>
    </row>
    <row r="12" spans="2:9">
      <c r="B12" s="421" t="s">
        <v>281</v>
      </c>
      <c r="C12" s="406"/>
      <c r="D12" s="422"/>
      <c r="E12" s="422"/>
      <c r="F12" s="422"/>
      <c r="G12" s="422">
        <f>H11/(D8-H5)</f>
        <v>26694.4480854434</v>
      </c>
      <c r="H12" s="423"/>
    </row>
    <row r="13" spans="2:9">
      <c r="B13" s="421" t="s">
        <v>273</v>
      </c>
      <c r="C13" s="406"/>
      <c r="D13" s="424">
        <f>PV($D$8,D4,0,-D11,0)</f>
        <v>742.24474533752505</v>
      </c>
      <c r="E13" s="424">
        <f>PV($D$8,E4,0,-E11,0)</f>
        <v>854.95305928059975</v>
      </c>
      <c r="F13" s="424">
        <f>PV($D$8,F4,0,-F11,0)</f>
        <v>824.69096796027463</v>
      </c>
      <c r="G13" s="424">
        <f>PV($D$8,G4,0,-(G11+G12),0)</f>
        <v>22609.476827207396</v>
      </c>
      <c r="H13" s="425"/>
    </row>
    <row r="14" spans="2:9">
      <c r="B14" s="421" t="s">
        <v>282</v>
      </c>
      <c r="C14" s="406"/>
      <c r="D14" s="424">
        <f>SUM(D13:G13)</f>
        <v>25031.365599785797</v>
      </c>
      <c r="E14" s="406"/>
      <c r="F14" s="406"/>
      <c r="G14" s="406"/>
      <c r="H14" s="426"/>
    </row>
    <row r="15" spans="2:9" ht="14" thickBot="1">
      <c r="B15" s="427" t="s">
        <v>283</v>
      </c>
      <c r="C15" s="414"/>
      <c r="D15" s="428">
        <f>SUM(E15:G15)</f>
        <v>25546.101125166813</v>
      </c>
      <c r="E15" s="428">
        <f>PV($D$8,D4,0,-E11,0)</f>
        <v>899.19752306115538</v>
      </c>
      <c r="F15" s="428">
        <f>PV($D$8,E4,0,-F11,0)</f>
        <v>867.36934575656278</v>
      </c>
      <c r="G15" s="428">
        <f>PV($D$8,F4,0,-(G11+G12),0)</f>
        <v>23779.534256349096</v>
      </c>
      <c r="H15" s="416"/>
    </row>
    <row r="16" spans="2:9" ht="14" thickBot="1"/>
    <row r="17" spans="2:4" ht="14" thickBot="1">
      <c r="B17" s="429"/>
      <c r="C17" s="430" t="s">
        <v>284</v>
      </c>
      <c r="D17" s="431" t="s">
        <v>285</v>
      </c>
    </row>
    <row r="18" spans="2:4">
      <c r="B18" s="421" t="s">
        <v>286</v>
      </c>
      <c r="C18" s="409">
        <f>D14+C7</f>
        <v>48019.3655997858</v>
      </c>
      <c r="D18" s="410">
        <f>D15+D7</f>
        <v>47374.330639182896</v>
      </c>
    </row>
    <row r="19" spans="2:4">
      <c r="B19" s="421" t="str">
        <f>FCFM!C14</f>
        <v>Short-Term Investments</v>
      </c>
      <c r="C19" s="409">
        <f>FCFM!E14</f>
        <v>1102</v>
      </c>
      <c r="D19" s="432">
        <f>C19</f>
        <v>1102</v>
      </c>
    </row>
    <row r="20" spans="2:4">
      <c r="B20" s="421" t="str">
        <f>FCFM!C15</f>
        <v>Non-Operating Assets</v>
      </c>
      <c r="C20" s="422">
        <f>FCFM!E15</f>
        <v>22086</v>
      </c>
      <c r="D20" s="433">
        <f>C20</f>
        <v>22086</v>
      </c>
    </row>
    <row r="21" spans="2:4">
      <c r="B21" s="421" t="str">
        <f>FCFM!C16</f>
        <v>Value of Firm</v>
      </c>
      <c r="C21" s="434">
        <f>SUM(C18:C20)</f>
        <v>71207.3655997858</v>
      </c>
      <c r="D21" s="435">
        <f>SUM(D18:D20)</f>
        <v>70562.330639182896</v>
      </c>
    </row>
    <row r="22" spans="2:4">
      <c r="B22" s="421" t="str">
        <f>FCFM!C17</f>
        <v>Total debt</v>
      </c>
      <c r="C22" s="409">
        <f>FCFM!E17</f>
        <v>8058</v>
      </c>
      <c r="D22" s="432">
        <f>C22</f>
        <v>8058</v>
      </c>
    </row>
    <row r="23" spans="2:4">
      <c r="B23" s="421" t="str">
        <f>FCFM!C18</f>
        <v>Preferred Equity and Minority Interest</v>
      </c>
      <c r="C23" s="409">
        <f>FCFM!E18</f>
        <v>43</v>
      </c>
      <c r="D23" s="432">
        <f>C23</f>
        <v>43</v>
      </c>
    </row>
    <row r="24" spans="2:4">
      <c r="B24" s="421" t="str">
        <f>FCFM!C19</f>
        <v>Value of Equity</v>
      </c>
      <c r="C24" s="434">
        <f>C21-C22-C23</f>
        <v>63106.3655997858</v>
      </c>
      <c r="D24" s="435">
        <f>D21-D22-D23</f>
        <v>62461.330639182896</v>
      </c>
    </row>
    <row r="25" spans="2:4" ht="14" thickBot="1">
      <c r="B25" s="421" t="str">
        <f>FCFM!C20</f>
        <v>Current Shares Outstanding</v>
      </c>
      <c r="C25" s="436">
        <f>FCFM!E20</f>
        <v>398</v>
      </c>
      <c r="D25" s="437">
        <f>C25</f>
        <v>398</v>
      </c>
    </row>
    <row r="26" spans="2:4" ht="14" thickTop="1">
      <c r="B26" s="405" t="s">
        <v>287</v>
      </c>
      <c r="C26" s="438">
        <f>C24/C25</f>
        <v>158.55870753715024</v>
      </c>
      <c r="D26" s="426"/>
    </row>
    <row r="27" spans="2:4" ht="14" thickBot="1">
      <c r="B27" s="413" t="s">
        <v>257</v>
      </c>
      <c r="C27" s="414"/>
      <c r="D27" s="439">
        <f>D24/D25</f>
        <v>156.93801668136405</v>
      </c>
    </row>
  </sheetData>
  <pageMargins left="0.7" right="0.7" top="0.75" bottom="0.75" header="0.3" footer="0.3"/>
  <pageSetup scale="83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tabColor rgb="FFFFCCFF"/>
    <pageSetUpPr fitToPage="1"/>
  </sheetPr>
  <dimension ref="B1:D19"/>
  <sheetViews>
    <sheetView workbookViewId="0"/>
  </sheetViews>
  <sheetFormatPr baseColWidth="10" defaultColWidth="8.83203125" defaultRowHeight="16"/>
  <cols>
    <col min="1" max="1" width="2.5" style="15" customWidth="1"/>
    <col min="2" max="2" width="10" style="15" bestFit="1" customWidth="1"/>
    <col min="3" max="4" width="9.5" style="15" bestFit="1" customWidth="1"/>
    <col min="5" max="16384" width="8.83203125" style="15"/>
  </cols>
  <sheetData>
    <row r="1" spans="2:4" ht="17" thickBot="1"/>
    <row r="2" spans="2:4" ht="17" thickBot="1">
      <c r="B2" s="442"/>
      <c r="C2" s="443" t="s">
        <v>288</v>
      </c>
      <c r="D2" s="54" t="s">
        <v>289</v>
      </c>
    </row>
    <row r="3" spans="2:4">
      <c r="B3" s="51" t="s">
        <v>201</v>
      </c>
      <c r="C3" s="37">
        <f>DDM!C13</f>
        <v>53.966566039372452</v>
      </c>
      <c r="D3" s="185">
        <f>DDM!C14</f>
        <v>54.817006136959499</v>
      </c>
    </row>
    <row r="4" spans="2:4">
      <c r="B4" s="51" t="s">
        <v>206</v>
      </c>
      <c r="C4" s="37">
        <f>FCFM!E21</f>
        <v>194.78234560471338</v>
      </c>
      <c r="D4" s="185">
        <f>FCFM!F22</f>
        <v>197.20269684916309</v>
      </c>
    </row>
    <row r="5" spans="2:4">
      <c r="B5" s="51" t="s">
        <v>203</v>
      </c>
      <c r="C5" s="37">
        <f>RIM!D16</f>
        <v>67.014516967675647</v>
      </c>
      <c r="D5" s="185">
        <f>RIM!D17</f>
        <v>68.904638671951375</v>
      </c>
    </row>
    <row r="6" spans="2:4" ht="17" thickBot="1">
      <c r="B6" s="51" t="s">
        <v>214</v>
      </c>
      <c r="C6" s="37">
        <f>'MVA Model'!C26</f>
        <v>158.55870753715024</v>
      </c>
      <c r="D6" s="185">
        <f>'MVA Model'!D27</f>
        <v>156.93801668136405</v>
      </c>
    </row>
    <row r="7" spans="2:4" ht="17" thickBot="1">
      <c r="B7" s="48" t="s">
        <v>251</v>
      </c>
      <c r="C7" s="122">
        <f>AVERAGE(C3:C6)</f>
        <v>118.58053403722792</v>
      </c>
      <c r="D7" s="123">
        <f>AVERAGE(D3:D6)</f>
        <v>119.4655895848595</v>
      </c>
    </row>
    <row r="8" spans="2:4" ht="17" thickBot="1"/>
    <row r="9" spans="2:4" ht="17" thickBot="1">
      <c r="B9" s="520" t="s">
        <v>290</v>
      </c>
      <c r="C9" s="534"/>
      <c r="D9" s="535"/>
    </row>
    <row r="10" spans="2:4">
      <c r="B10" s="51" t="s">
        <v>291</v>
      </c>
      <c r="C10" s="441" t="e">
        <f>'Market Mult. '!D5</f>
        <v>#DIV/0!</v>
      </c>
      <c r="D10" s="185" t="e">
        <f>IF(C10&lt;0,"NA",C10)</f>
        <v>#DIV/0!</v>
      </c>
    </row>
    <row r="11" spans="2:4">
      <c r="B11" s="51" t="s">
        <v>292</v>
      </c>
      <c r="C11" s="441" t="e">
        <f>'Market Mult. '!D6</f>
        <v>#DIV/0!</v>
      </c>
      <c r="D11" s="185" t="e">
        <f>IF(C11&lt;0,"NA",C11)</f>
        <v>#DIV/0!</v>
      </c>
    </row>
    <row r="12" spans="2:4">
      <c r="B12" s="51" t="s">
        <v>293</v>
      </c>
      <c r="C12" s="441" t="e">
        <f>'Market Mult. '!D7</f>
        <v>#DIV/0!</v>
      </c>
      <c r="D12" s="185" t="e">
        <f>IF(C12&lt;0,"NA",C12)</f>
        <v>#DIV/0!</v>
      </c>
    </row>
    <row r="13" spans="2:4">
      <c r="B13" s="51" t="s">
        <v>294</v>
      </c>
      <c r="C13" s="441" t="e">
        <f>'Market Mult. '!D8</f>
        <v>#DIV/0!</v>
      </c>
      <c r="D13" s="185" t="e">
        <f>IF(C13&lt;0,"NA",C13)</f>
        <v>#DIV/0!</v>
      </c>
    </row>
    <row r="14" spans="2:4" ht="17" thickBot="1">
      <c r="B14" s="51" t="s">
        <v>295</v>
      </c>
      <c r="C14" s="441" t="e">
        <f>'Market Mult. '!D9</f>
        <v>#DIV/0!</v>
      </c>
      <c r="D14" s="185" t="e">
        <f>IF(C14&lt;0,"NA",C14)</f>
        <v>#DIV/0!</v>
      </c>
    </row>
    <row r="15" spans="2:4" ht="17" thickBot="1">
      <c r="B15" s="48" t="s">
        <v>251</v>
      </c>
      <c r="C15" s="400"/>
      <c r="D15" s="124" t="e">
        <f>AVERAGE(D10:D14)</f>
        <v>#DIV/0!</v>
      </c>
    </row>
    <row r="16" spans="2:4" ht="17" thickBot="1"/>
    <row r="17" spans="2:4" ht="17" thickBot="1">
      <c r="B17" s="48" t="s">
        <v>296</v>
      </c>
      <c r="C17" s="124">
        <f>RIM!D6/Forecast!I32</f>
        <v>69.822422257856076</v>
      </c>
    </row>
    <row r="18" spans="2:4" ht="17" thickBot="1"/>
    <row r="19" spans="2:4" ht="17" thickBot="1">
      <c r="B19" s="126" t="s">
        <v>251</v>
      </c>
      <c r="C19" s="122" t="e">
        <f>($D$15+C7)/2</f>
        <v>#DIV/0!</v>
      </c>
      <c r="D19" s="123" t="e">
        <f>($D$15+D7)/2</f>
        <v>#DIV/0!</v>
      </c>
    </row>
  </sheetData>
  <mergeCells count="1">
    <mergeCell ref="B9:D9"/>
  </mergeCells>
  <pageMargins left="0.7" right="0.7" top="0.75" bottom="0.75" header="0.3" footer="0.3"/>
  <pageSetup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009A-BF0B-4CE2-95A7-681481F161D1}">
  <sheetPr codeName="Sheet15">
    <tabColor rgb="FFFFCCFF"/>
    <pageSetUpPr fitToPage="1"/>
  </sheetPr>
  <dimension ref="B2:AH27"/>
  <sheetViews>
    <sheetView topLeftCell="A13" zoomScale="115" zoomScaleNormal="115" workbookViewId="0">
      <selection activeCell="C27" sqref="C27"/>
    </sheetView>
  </sheetViews>
  <sheetFormatPr baseColWidth="10" defaultColWidth="9.1640625" defaultRowHeight="16"/>
  <cols>
    <col min="1" max="1" width="2.83203125" style="32" customWidth="1"/>
    <col min="2" max="2" width="14.5" style="32" bestFit="1" customWidth="1"/>
    <col min="3" max="7" width="12.1640625" style="32" customWidth="1"/>
    <col min="8" max="8" width="12.5" style="32" bestFit="1" customWidth="1"/>
    <col min="9" max="10" width="12.5" style="32" customWidth="1"/>
    <col min="11" max="11" width="23.1640625" style="32" customWidth="1"/>
    <col min="12" max="12" width="4.83203125" style="32" customWidth="1"/>
    <col min="13" max="13" width="3.1640625" style="32" customWidth="1"/>
    <col min="14" max="15" width="4.83203125" style="32" customWidth="1"/>
    <col min="16" max="16" width="20.1640625" style="127" bestFit="1" customWidth="1"/>
    <col min="17" max="21" width="9.1640625" style="178"/>
    <col min="22" max="34" width="8.83203125" style="15" customWidth="1"/>
    <col min="35" max="16384" width="9.1640625" style="32"/>
  </cols>
  <sheetData>
    <row r="2" spans="2:22">
      <c r="B2" s="31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9" spans="2:22" ht="17" thickBot="1">
      <c r="L9" s="134"/>
      <c r="M9" s="134"/>
      <c r="N9" s="134"/>
    </row>
    <row r="10" spans="2:22">
      <c r="K10" s="179" t="s">
        <v>297</v>
      </c>
      <c r="L10" s="129"/>
      <c r="M10" s="129"/>
      <c r="N10" s="129"/>
      <c r="O10" s="129"/>
      <c r="P10" s="507"/>
      <c r="Q10" s="129"/>
      <c r="R10" s="129"/>
      <c r="S10" s="129"/>
      <c r="T10" s="129"/>
      <c r="U10" s="132"/>
      <c r="V10" s="17"/>
    </row>
    <row r="11" spans="2:22">
      <c r="K11" s="180">
        <f>DATA!C4</f>
        <v>138.55000000000001</v>
      </c>
      <c r="L11" s="128"/>
      <c r="M11" s="128"/>
      <c r="N11" s="128"/>
      <c r="O11" s="128"/>
      <c r="P11" s="505"/>
      <c r="Q11" s="128"/>
      <c r="R11" s="128"/>
      <c r="S11" s="128"/>
      <c r="T11" s="128"/>
      <c r="U11" s="132"/>
      <c r="V11" s="17"/>
    </row>
    <row r="12" spans="2:22">
      <c r="K12" s="181" t="s">
        <v>298</v>
      </c>
      <c r="L12" s="129"/>
      <c r="M12" s="129"/>
      <c r="N12" s="129"/>
      <c r="O12" s="129"/>
      <c r="P12" s="507"/>
      <c r="Q12" s="129"/>
      <c r="R12" s="129"/>
      <c r="S12" s="129"/>
      <c r="T12" s="129"/>
      <c r="U12" s="132"/>
      <c r="V12" s="17"/>
    </row>
    <row r="13" spans="2:22">
      <c r="K13" s="588" t="e">
        <f>H26</f>
        <v>#DIV/0!</v>
      </c>
      <c r="L13" s="128"/>
      <c r="M13" s="128"/>
      <c r="N13" s="128"/>
      <c r="O13" s="128"/>
      <c r="P13" s="505"/>
      <c r="Q13" s="128"/>
      <c r="R13" s="128"/>
      <c r="S13" s="128"/>
      <c r="T13" s="128"/>
      <c r="U13" s="132"/>
      <c r="V13" s="17"/>
    </row>
    <row r="14" spans="2:22">
      <c r="K14" s="182" t="s">
        <v>299</v>
      </c>
      <c r="L14" s="130"/>
      <c r="M14" s="130"/>
      <c r="N14" s="130"/>
      <c r="O14" s="130"/>
      <c r="P14" s="509"/>
      <c r="Q14" s="130"/>
      <c r="R14" s="130"/>
      <c r="S14" s="130"/>
      <c r="T14" s="130"/>
      <c r="U14" s="132"/>
      <c r="V14" s="17"/>
    </row>
    <row r="15" spans="2:22" ht="17" thickBot="1">
      <c r="K15" s="183" t="e">
        <f>K13/K11-1</f>
        <v>#DIV/0!</v>
      </c>
      <c r="L15" s="131"/>
      <c r="M15" s="131"/>
      <c r="N15" s="131"/>
      <c r="O15" s="131"/>
      <c r="P15" s="133"/>
      <c r="Q15" s="131"/>
      <c r="R15" s="131"/>
      <c r="S15" s="131"/>
      <c r="T15" s="131"/>
      <c r="U15" s="132"/>
      <c r="V15" s="17"/>
    </row>
    <row r="16" spans="2:22">
      <c r="N16" s="134"/>
      <c r="O16" s="134"/>
      <c r="P16" s="506"/>
      <c r="Q16" s="132"/>
      <c r="R16" s="132"/>
      <c r="S16" s="132"/>
      <c r="T16" s="132"/>
      <c r="U16" s="132"/>
      <c r="V16" s="17"/>
    </row>
    <row r="22" spans="2:10" ht="17" thickBot="1"/>
    <row r="23" spans="2:10" ht="17" thickBot="1">
      <c r="B23" s="35"/>
      <c r="C23" s="81" t="s">
        <v>300</v>
      </c>
      <c r="D23" s="184" t="s">
        <v>201</v>
      </c>
      <c r="E23" s="80" t="s">
        <v>206</v>
      </c>
      <c r="F23" s="81" t="s">
        <v>203</v>
      </c>
      <c r="G23" s="80" t="s">
        <v>214</v>
      </c>
      <c r="H23" s="77" t="s">
        <v>301</v>
      </c>
      <c r="I23" s="28"/>
      <c r="J23" s="28"/>
    </row>
    <row r="24" spans="2:10">
      <c r="B24" s="36" t="s">
        <v>302</v>
      </c>
      <c r="C24" s="78" t="e">
        <f>Findings!D15</f>
        <v>#DIV/0!</v>
      </c>
      <c r="D24" s="185">
        <f>Findings!C3</f>
        <v>53.966566039372452</v>
      </c>
      <c r="E24" s="37">
        <f>Findings!C4</f>
        <v>194.78234560471338</v>
      </c>
      <c r="F24" s="78">
        <f>Findings!C5</f>
        <v>67.014516967675647</v>
      </c>
      <c r="G24" s="37">
        <f>Findings!C6</f>
        <v>158.55870753715024</v>
      </c>
      <c r="H24" s="78" t="e">
        <f>E24*$E$27+C24*$C$27+D24*$D$27+F24*$F$27+$G$27*G24</f>
        <v>#DIV/0!</v>
      </c>
      <c r="I24" s="37"/>
      <c r="J24" s="37"/>
    </row>
    <row r="25" spans="2:10">
      <c r="B25" s="36" t="s">
        <v>303</v>
      </c>
      <c r="C25" s="78" t="e">
        <f t="shared" ref="C25:H25" si="0">C26-C24</f>
        <v>#DIV/0!</v>
      </c>
      <c r="D25" s="185">
        <f t="shared" si="0"/>
        <v>0.85044009758704675</v>
      </c>
      <c r="E25" s="37">
        <f t="shared" si="0"/>
        <v>2.4203512444497051</v>
      </c>
      <c r="F25" s="78">
        <f t="shared" si="0"/>
        <v>1.8901217042757281</v>
      </c>
      <c r="G25" s="37">
        <f t="shared" si="0"/>
        <v>-1.6206908557861937</v>
      </c>
      <c r="H25" s="78" t="e">
        <f t="shared" si="0"/>
        <v>#DIV/0!</v>
      </c>
      <c r="I25" s="37"/>
      <c r="J25" s="37"/>
    </row>
    <row r="26" spans="2:10" ht="17" thickBot="1">
      <c r="B26" s="36" t="s">
        <v>304</v>
      </c>
      <c r="C26" s="78" t="e">
        <f>C24*(1+DATA!G8)</f>
        <v>#DIV/0!</v>
      </c>
      <c r="D26" s="186">
        <f>Findings!D3</f>
        <v>54.817006136959499</v>
      </c>
      <c r="E26" s="37">
        <f>Findings!D4</f>
        <v>197.20269684916309</v>
      </c>
      <c r="F26" s="78">
        <f>Findings!D5</f>
        <v>68.904638671951375</v>
      </c>
      <c r="G26" s="37">
        <f>Findings!D6</f>
        <v>156.93801668136405</v>
      </c>
      <c r="H26" s="589" t="e">
        <f>E26*$E$27+C26*$C$27+D26*$D$27+F26*$F$27+$G$27*G26</f>
        <v>#DIV/0!</v>
      </c>
      <c r="I26" s="37"/>
      <c r="J26" s="37"/>
    </row>
    <row r="27" spans="2:10" ht="17" thickBot="1">
      <c r="B27" s="508" t="s">
        <v>305</v>
      </c>
      <c r="C27" s="187">
        <v>0.2</v>
      </c>
      <c r="D27" s="187">
        <v>0.2</v>
      </c>
      <c r="E27" s="187">
        <v>0.2</v>
      </c>
      <c r="F27" s="187">
        <v>0.2</v>
      </c>
      <c r="G27" s="187">
        <v>0.2</v>
      </c>
      <c r="H27" s="188">
        <f>SUM(C27:G27)</f>
        <v>1</v>
      </c>
      <c r="I27" s="135"/>
      <c r="J27" s="135"/>
    </row>
  </sheetData>
  <pageMargins left="0.7" right="0.7" top="0.75" bottom="0.75" header="0.3" footer="0.3"/>
  <pageSetup scale="62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F578-F761-428B-A48C-B7E3E797E002}">
  <sheetPr>
    <tabColor rgb="FFFFCCFF"/>
    <pageSetUpPr fitToPage="1"/>
  </sheetPr>
  <dimension ref="B2:AH32"/>
  <sheetViews>
    <sheetView topLeftCell="A10" zoomScaleNormal="100" workbookViewId="0">
      <selection activeCell="D32" sqref="D32"/>
    </sheetView>
  </sheetViews>
  <sheetFormatPr baseColWidth="10" defaultColWidth="9.1640625" defaultRowHeight="16"/>
  <cols>
    <col min="1" max="1" width="2.83203125" style="32" customWidth="1"/>
    <col min="2" max="2" width="14.5" style="32" bestFit="1" customWidth="1"/>
    <col min="3" max="3" width="2.83203125" style="32" customWidth="1"/>
    <col min="4" max="4" width="19" style="32" bestFit="1" customWidth="1"/>
    <col min="5" max="9" width="15.83203125" style="32" customWidth="1"/>
    <col min="10" max="10" width="4.5" style="32" customWidth="1"/>
    <col min="11" max="11" width="8.5" style="32" customWidth="1"/>
    <col min="12" max="12" width="4.83203125" style="32" customWidth="1"/>
    <col min="13" max="13" width="2.5" style="32" bestFit="1" customWidth="1"/>
    <col min="14" max="14" width="7.83203125" style="32" customWidth="1"/>
    <col min="15" max="15" width="4.83203125" style="32" customWidth="1"/>
    <col min="16" max="16" width="14.83203125" style="32" customWidth="1"/>
    <col min="17" max="17" width="10.5" style="15" customWidth="1"/>
    <col min="18" max="18" width="7.83203125" style="15" customWidth="1"/>
    <col min="19" max="19" width="8.1640625" style="15" bestFit="1" customWidth="1"/>
    <col min="20" max="34" width="8.83203125" style="15" customWidth="1"/>
    <col min="35" max="16384" width="9.1640625" style="32"/>
  </cols>
  <sheetData>
    <row r="2" spans="2:19">
      <c r="B2" s="31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8" spans="2:19" ht="17" thickBot="1"/>
    <row r="9" spans="2:19">
      <c r="K9" s="561" t="s">
        <v>306</v>
      </c>
      <c r="L9" s="562"/>
      <c r="M9" s="562"/>
      <c r="N9" s="562"/>
      <c r="O9" s="563"/>
      <c r="Q9" s="17"/>
      <c r="R9" s="17"/>
      <c r="S9" s="17"/>
    </row>
    <row r="10" spans="2:19">
      <c r="K10" s="564">
        <f>DATA!C4*DATA!G4</f>
        <v>55142.9</v>
      </c>
      <c r="L10" s="565"/>
      <c r="M10" s="565"/>
      <c r="N10" s="565"/>
      <c r="O10" s="566"/>
      <c r="Q10" s="17"/>
      <c r="R10" s="17"/>
      <c r="S10" s="17"/>
    </row>
    <row r="11" spans="2:19">
      <c r="K11" s="547"/>
      <c r="L11" s="548"/>
      <c r="M11" s="548"/>
      <c r="N11" s="548"/>
      <c r="O11" s="549"/>
      <c r="Q11" s="17"/>
      <c r="R11" s="17"/>
      <c r="S11" s="17"/>
    </row>
    <row r="12" spans="2:19">
      <c r="K12" s="567" t="s">
        <v>307</v>
      </c>
      <c r="L12" s="568"/>
      <c r="M12" s="568"/>
      <c r="N12" s="568"/>
      <c r="O12" s="569"/>
      <c r="Q12" s="17"/>
      <c r="R12" s="17"/>
      <c r="S12" s="17"/>
    </row>
    <row r="13" spans="2:19" ht="7" customHeight="1">
      <c r="K13" s="547"/>
      <c r="L13" s="548"/>
      <c r="M13" s="548"/>
      <c r="N13" s="548"/>
      <c r="O13" s="549"/>
      <c r="Q13" s="17"/>
      <c r="R13" s="17"/>
      <c r="S13" s="17"/>
    </row>
    <row r="14" spans="2:19">
      <c r="K14" s="557" t="e">
        <f>I29</f>
        <v>#DIV/0!</v>
      </c>
      <c r="L14" s="558"/>
      <c r="M14" s="19" t="s">
        <v>308</v>
      </c>
      <c r="N14" s="559" t="e">
        <f>I31</f>
        <v>#DIV/0!</v>
      </c>
      <c r="O14" s="560"/>
      <c r="Q14" s="17"/>
      <c r="R14" s="17"/>
      <c r="S14" s="17"/>
    </row>
    <row r="15" spans="2:19">
      <c r="K15" s="536" t="s">
        <v>251</v>
      </c>
      <c r="L15" s="537"/>
      <c r="M15" s="19" t="s">
        <v>232</v>
      </c>
      <c r="N15" s="545" t="e">
        <f>AVERAGE(K14,N14)</f>
        <v>#DIV/0!</v>
      </c>
      <c r="O15" s="546"/>
      <c r="Q15" s="17"/>
      <c r="R15" s="17"/>
      <c r="S15" s="17"/>
    </row>
    <row r="16" spans="2:19">
      <c r="K16" s="547"/>
      <c r="L16" s="548"/>
      <c r="M16" s="548"/>
      <c r="N16" s="548"/>
      <c r="O16" s="549"/>
      <c r="Q16" s="17"/>
      <c r="R16" s="17"/>
      <c r="S16" s="17"/>
    </row>
    <row r="17" spans="2:20">
      <c r="K17" s="550" t="s">
        <v>309</v>
      </c>
      <c r="L17" s="551"/>
      <c r="M17" s="551"/>
      <c r="N17" s="551"/>
      <c r="O17" s="552"/>
      <c r="Q17" s="17"/>
      <c r="R17" s="17"/>
      <c r="S17" s="17"/>
    </row>
    <row r="18" spans="2:20" ht="7" customHeight="1">
      <c r="K18" s="547"/>
      <c r="L18" s="548"/>
      <c r="M18" s="548"/>
      <c r="N18" s="548"/>
      <c r="O18" s="549"/>
      <c r="Q18" s="17"/>
      <c r="R18" s="17"/>
      <c r="S18" s="17"/>
    </row>
    <row r="19" spans="2:20">
      <c r="K19" s="553" t="e">
        <f>K14/$K$10-1</f>
        <v>#DIV/0!</v>
      </c>
      <c r="L19" s="554"/>
      <c r="M19" s="60" t="str">
        <f>M14</f>
        <v>to</v>
      </c>
      <c r="N19" s="555" t="e">
        <f>N14/$K$10-1</f>
        <v>#DIV/0!</v>
      </c>
      <c r="O19" s="556"/>
      <c r="Q19" s="32"/>
    </row>
    <row r="20" spans="2:20">
      <c r="K20" s="536" t="s">
        <v>251</v>
      </c>
      <c r="L20" s="537"/>
      <c r="M20" s="506" t="s">
        <v>232</v>
      </c>
      <c r="N20" s="538" t="e">
        <f>AVERAGE(N19,K19)</f>
        <v>#DIV/0!</v>
      </c>
      <c r="O20" s="539"/>
    </row>
    <row r="21" spans="2:20" ht="17" thickBot="1">
      <c r="K21" s="540"/>
      <c r="L21" s="541"/>
      <c r="M21" s="541"/>
      <c r="N21" s="541"/>
      <c r="O21" s="542"/>
    </row>
    <row r="27" spans="2:20" ht="17" thickBot="1"/>
    <row r="28" spans="2:20" ht="17" thickBot="1">
      <c r="B28" s="35"/>
      <c r="C28" s="21"/>
      <c r="D28" s="80" t="s">
        <v>310</v>
      </c>
      <c r="E28" s="81" t="s">
        <v>201</v>
      </c>
      <c r="F28" s="80" t="s">
        <v>206</v>
      </c>
      <c r="G28" s="81" t="s">
        <v>203</v>
      </c>
      <c r="H28" s="80" t="s">
        <v>214</v>
      </c>
      <c r="I28" s="77" t="s">
        <v>301</v>
      </c>
      <c r="J28" s="28"/>
      <c r="R28" s="32"/>
      <c r="S28" s="32"/>
      <c r="T28" s="32"/>
    </row>
    <row r="29" spans="2:20">
      <c r="B29" s="36" t="s">
        <v>302</v>
      </c>
      <c r="C29" s="34"/>
      <c r="D29" s="37" t="e">
        <f>Findings!D15*DATA!G4</f>
        <v>#DIV/0!</v>
      </c>
      <c r="E29" s="78">
        <f>Findings!C3*DATA!G4</f>
        <v>21478.693283670236</v>
      </c>
      <c r="F29" s="37">
        <f>Findings!C4*DATA!G4</f>
        <v>77523.373550675926</v>
      </c>
      <c r="G29" s="78">
        <f>Findings!C5*DATA!G4</f>
        <v>26671.777753134906</v>
      </c>
      <c r="H29" s="37">
        <f>Findings!C6*DATA!G4</f>
        <v>63106.365599785793</v>
      </c>
      <c r="I29" s="78" t="e">
        <f>F29*$F$32+D29*$D$32+E29*$E$32+G29*$G$32+$H$32*H29</f>
        <v>#DIV/0!</v>
      </c>
      <c r="J29" s="37"/>
      <c r="R29" s="32"/>
      <c r="S29" s="32"/>
      <c r="T29" s="32"/>
    </row>
    <row r="30" spans="2:20">
      <c r="B30" s="36" t="s">
        <v>303</v>
      </c>
      <c r="C30" s="34"/>
      <c r="D30" s="37" t="e">
        <f t="shared" ref="D30:I30" si="0">D31-D29</f>
        <v>#DIV/0!</v>
      </c>
      <c r="E30" s="78">
        <f t="shared" si="0"/>
        <v>338.47515883964297</v>
      </c>
      <c r="F30" s="37">
        <f t="shared" si="0"/>
        <v>963.29979529097909</v>
      </c>
      <c r="G30" s="78">
        <f t="shared" si="0"/>
        <v>752.26843830174039</v>
      </c>
      <c r="H30" s="37">
        <f t="shared" si="0"/>
        <v>-645.0349606029049</v>
      </c>
      <c r="I30" s="78" t="e">
        <f t="shared" si="0"/>
        <v>#DIV/0!</v>
      </c>
      <c r="J30" s="37"/>
      <c r="Q30" s="32"/>
      <c r="R30" s="32"/>
      <c r="S30" s="32"/>
      <c r="T30" s="32"/>
    </row>
    <row r="31" spans="2:20" ht="17" thickBot="1">
      <c r="B31" s="36" t="s">
        <v>304</v>
      </c>
      <c r="C31" s="34"/>
      <c r="D31" s="37" t="e">
        <f>D29*(1+DATA!G8)</f>
        <v>#DIV/0!</v>
      </c>
      <c r="E31" s="110">
        <f>Findings!D3*DATA!G4</f>
        <v>21817.168442509879</v>
      </c>
      <c r="F31" s="37">
        <f>Findings!D4*DATA!G4</f>
        <v>78486.673345966905</v>
      </c>
      <c r="G31" s="78">
        <f>Findings!D5*DATA!G4</f>
        <v>27424.046191436646</v>
      </c>
      <c r="H31" s="37">
        <f>Findings!D6*DATA!G4</f>
        <v>62461.330639182888</v>
      </c>
      <c r="I31" s="79" t="e">
        <f>F31*$F$32+D31*$D$32+E31*$E$32+G31*$G$32+$H$32*H31</f>
        <v>#DIV/0!</v>
      </c>
      <c r="J31" s="37"/>
      <c r="Q31" s="32"/>
      <c r="R31" s="32"/>
      <c r="S31" s="32"/>
      <c r="T31" s="32"/>
    </row>
    <row r="32" spans="2:20" ht="17" thickBot="1">
      <c r="B32" s="543" t="s">
        <v>305</v>
      </c>
      <c r="C32" s="544"/>
      <c r="D32" s="111">
        <v>0.2</v>
      </c>
      <c r="E32" s="111">
        <v>0.2</v>
      </c>
      <c r="F32" s="111">
        <v>0.2</v>
      </c>
      <c r="G32" s="111">
        <v>0.2</v>
      </c>
      <c r="H32" s="111">
        <v>0.2</v>
      </c>
      <c r="I32" s="112">
        <f>SUM(D32:H32)</f>
        <v>1</v>
      </c>
      <c r="Q32" s="32"/>
    </row>
  </sheetData>
  <mergeCells count="18">
    <mergeCell ref="K14:L14"/>
    <mergeCell ref="N14:O14"/>
    <mergeCell ref="K9:O9"/>
    <mergeCell ref="K10:O10"/>
    <mergeCell ref="K11:O11"/>
    <mergeCell ref="K12:O12"/>
    <mergeCell ref="K13:O13"/>
    <mergeCell ref="K20:L20"/>
    <mergeCell ref="N20:O20"/>
    <mergeCell ref="K21:O21"/>
    <mergeCell ref="B32:C32"/>
    <mergeCell ref="K15:L15"/>
    <mergeCell ref="N15:O15"/>
    <mergeCell ref="K16:O16"/>
    <mergeCell ref="K17:O17"/>
    <mergeCell ref="K18:O18"/>
    <mergeCell ref="K19:L19"/>
    <mergeCell ref="N19:O19"/>
  </mergeCells>
  <pageMargins left="0.7" right="0.7" top="0.75" bottom="0.75" header="0.3" footer="0.3"/>
  <pageSetup scale="62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E2D2C24BE1048A6899B46B46F21D6" ma:contentTypeVersion="6" ma:contentTypeDescription="Create a new document." ma:contentTypeScope="" ma:versionID="c663a28f2d63b67a912c4314b43b493f">
  <xsd:schema xmlns:xsd="http://www.w3.org/2001/XMLSchema" xmlns:xs="http://www.w3.org/2001/XMLSchema" xmlns:p="http://schemas.microsoft.com/office/2006/metadata/properties" xmlns:ns2="4207c607-7698-4c8b-ac57-7cfd57e2e69b" targetNamespace="http://schemas.microsoft.com/office/2006/metadata/properties" ma:root="true" ma:fieldsID="30913fbdbcc54ca07d05901a3cd9a554" ns2:_="">
    <xsd:import namespace="4207c607-7698-4c8b-ac57-7cfd57e2e6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7c607-7698-4c8b-ac57-7cfd57e2e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035D8C-B66B-4840-8BB2-FDBF63C44D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450281-85AD-4AEA-9FFC-E25F6CE7C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07c607-7698-4c8b-ac57-7cfd57e2e6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7372B3-F3F0-45DE-B268-828637C6C62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Read First</vt:lpstr>
      <vt:lpstr>Blank</vt:lpstr>
      <vt:lpstr>IS</vt:lpstr>
      <vt:lpstr>BS</vt:lpstr>
      <vt:lpstr>CFS</vt:lpstr>
      <vt:lpstr>DATA</vt:lpstr>
      <vt:lpstr>Sourced From Original</vt:lpstr>
      <vt:lpstr>Overview</vt:lpstr>
      <vt:lpstr>Forecast</vt:lpstr>
      <vt:lpstr>Market Mult. </vt:lpstr>
      <vt:lpstr>DDM</vt:lpstr>
      <vt:lpstr>FCFM</vt:lpstr>
      <vt:lpstr>RIM</vt:lpstr>
      <vt:lpstr>MVA Model</vt:lpstr>
      <vt:lpstr>Findings</vt:lpstr>
      <vt:lpstr>Football</vt:lpstr>
      <vt:lpstr>EV Football</vt:lpstr>
      <vt:lpstr>Overview!Print_Area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Shah, Manan (Student)</dc:creator>
  <cp:keywords/>
  <dc:description/>
  <cp:lastModifiedBy>Shah, Manan (Student)</cp:lastModifiedBy>
  <cp:revision/>
  <dcterms:created xsi:type="dcterms:W3CDTF">2014-07-25T18:29:55Z</dcterms:created>
  <dcterms:modified xsi:type="dcterms:W3CDTF">2021-03-30T04:32:18Z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0x010100EB8E2D2C24BE1048A6899B46B46F21D6</vt:lpwstr>
  </property>
  <property fmtid="{D5CDD505-2E9C-101B-9397-08002B2CF9AE}" pid="3" name="Order">
    <vt:r8>2580400</vt:r8>
  </property>
  <property fmtid="{D5CDD505-2E9C-101B-9397-08002B2CF9AE}" pid="4" name="ComplianceAssetId">
    <vt:lpwstr/>
  </property>
</Properties>
</file>