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nanshah/Desktop/JFC Residency/"/>
    </mc:Choice>
  </mc:AlternateContent>
  <xr:revisionPtr revIDLastSave="0" documentId="13_ncr:1_{4A20928B-7FD5-034B-AFA6-720CC018DD91}" xr6:coauthVersionLast="46" xr6:coauthVersionMax="46" xr10:uidLastSave="{00000000-0000-0000-0000-000000000000}"/>
  <bookViews>
    <workbookView xWindow="1060" yWindow="460" windowWidth="27600" windowHeight="16420" tabRatio="855" firstSheet="2" activeTab="14" xr2:uid="{00000000-000D-0000-FFFF-FFFF00000000}"/>
  </bookViews>
  <sheets>
    <sheet name="Read First" sheetId="22" r:id="rId1"/>
    <sheet name="Blank" sheetId="24" r:id="rId2"/>
    <sheet name="IS" sheetId="18" r:id="rId3"/>
    <sheet name="BS" sheetId="19" r:id="rId4"/>
    <sheet name="CFS" sheetId="20" r:id="rId5"/>
    <sheet name="DATA" sheetId="8" r:id="rId6"/>
    <sheet name="Sourced From Original" sheetId="21" r:id="rId7"/>
    <sheet name="Overview" sheetId="1" r:id="rId8"/>
    <sheet name="Forecast" sheetId="2" r:id="rId9"/>
    <sheet name="Market Mult. " sheetId="7" r:id="rId10"/>
    <sheet name="DDM" sheetId="3" r:id="rId11"/>
    <sheet name="FCFM" sheetId="4" r:id="rId12"/>
    <sheet name="RIM" sheetId="5" r:id="rId13"/>
    <sheet name="MVA Model" sheetId="6" r:id="rId14"/>
    <sheet name="Bear Base Bull" sheetId="30" r:id="rId15"/>
  </sheets>
  <definedNames>
    <definedName name="_xlnm.Print_Area" localSheetId="7">Overview!$B:$G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5" l="1"/>
  <c r="D8" i="5"/>
  <c r="H5" i="6"/>
  <c r="D8" i="6"/>
  <c r="H5" i="4"/>
  <c r="D7" i="4"/>
  <c r="H5" i="3"/>
  <c r="D7" i="3"/>
  <c r="I32" i="2" l="1"/>
  <c r="N7" i="8" s="1"/>
  <c r="J7" i="2" l="1"/>
  <c r="J8" i="2"/>
  <c r="J10" i="2" s="1"/>
  <c r="C105" i="21"/>
  <c r="D10" i="2"/>
  <c r="C10" i="2"/>
  <c r="J6" i="2"/>
  <c r="J5" i="2"/>
  <c r="D6" i="5" l="1"/>
  <c r="E8" i="2"/>
  <c r="D8" i="8"/>
  <c r="I15" i="2" l="1"/>
  <c r="C20" i="6"/>
  <c r="G18" i="2"/>
  <c r="C18" i="2"/>
  <c r="C27" i="8"/>
  <c r="P7" i="5" s="1"/>
  <c r="O7" i="5" s="1"/>
  <c r="I12" i="8"/>
  <c r="C6" i="7" s="1"/>
  <c r="I13" i="8"/>
  <c r="C7" i="7" s="1"/>
  <c r="I14" i="8"/>
  <c r="C8" i="7" s="1"/>
  <c r="I15" i="8"/>
  <c r="C9" i="7" s="1"/>
  <c r="I11" i="8"/>
  <c r="C5" i="7" s="1"/>
  <c r="C25" i="21" a="1"/>
  <c r="C25" i="21" s="1"/>
  <c r="C23" i="8"/>
  <c r="P5" i="6" s="1"/>
  <c r="C22" i="8"/>
  <c r="J11" i="4" s="1"/>
  <c r="C21" i="8"/>
  <c r="J9" i="3" s="1"/>
  <c r="V12" i="6"/>
  <c r="G7" i="30" s="1"/>
  <c r="V11" i="6"/>
  <c r="G5" i="30" s="1"/>
  <c r="V10" i="6"/>
  <c r="G3" i="30" s="1"/>
  <c r="U7" i="6"/>
  <c r="V12" i="5"/>
  <c r="F7" i="30" s="1"/>
  <c r="V11" i="5"/>
  <c r="F5" i="30" s="1"/>
  <c r="V10" i="5"/>
  <c r="F3" i="30" s="1"/>
  <c r="U7" i="5"/>
  <c r="H8" i="30"/>
  <c r="K3" i="30"/>
  <c r="U7" i="4"/>
  <c r="V12" i="4"/>
  <c r="E7" i="30" s="1"/>
  <c r="V11" i="4"/>
  <c r="E5" i="30" s="1"/>
  <c r="V10" i="4"/>
  <c r="E3" i="30" s="1"/>
  <c r="V10" i="3"/>
  <c r="D7" i="30" s="1"/>
  <c r="V9" i="3"/>
  <c r="D5" i="30" s="1"/>
  <c r="V8" i="3"/>
  <c r="D3" i="30" s="1"/>
  <c r="U5" i="3"/>
  <c r="F7" i="7" l="1"/>
  <c r="P7" i="4"/>
  <c r="P5" i="3"/>
  <c r="P7" i="6"/>
  <c r="O7" i="6" s="1"/>
  <c r="N7" i="6" s="1"/>
  <c r="M7" i="6" s="1"/>
  <c r="G4" i="30"/>
  <c r="W11" i="6"/>
  <c r="W12" i="6"/>
  <c r="W10" i="5"/>
  <c r="W11" i="5"/>
  <c r="W12" i="5"/>
  <c r="J11" i="5"/>
  <c r="J11" i="6"/>
  <c r="P5" i="4"/>
  <c r="Q7" i="5"/>
  <c r="R7" i="5" s="1"/>
  <c r="S7" i="5" s="1"/>
  <c r="P3" i="3"/>
  <c r="D6" i="30"/>
  <c r="W9" i="3"/>
  <c r="W10" i="6"/>
  <c r="E6" i="30"/>
  <c r="W10" i="4"/>
  <c r="W11" i="4"/>
  <c r="W8" i="3"/>
  <c r="W10" i="3"/>
  <c r="W12" i="4"/>
  <c r="E4" i="30"/>
  <c r="D4" i="30"/>
  <c r="D10" i="5" l="1"/>
  <c r="D12" i="5" s="1"/>
  <c r="D10" i="3"/>
  <c r="Q7" i="4"/>
  <c r="R7" i="4" s="1"/>
  <c r="S7" i="4" s="1"/>
  <c r="Q7" i="6"/>
  <c r="R7" i="6" s="1"/>
  <c r="S7" i="6" s="1"/>
  <c r="Q5" i="3"/>
  <c r="R5" i="3" s="1"/>
  <c r="S5" i="3" s="1"/>
  <c r="O5" i="3"/>
  <c r="N5" i="3" s="1"/>
  <c r="M5" i="3" s="1"/>
  <c r="O7" i="4"/>
  <c r="N7" i="4" s="1"/>
  <c r="M7" i="4" s="1"/>
  <c r="G6" i="30"/>
  <c r="N7" i="5"/>
  <c r="M7" i="5" s="1"/>
  <c r="F4" i="30"/>
  <c r="F6" i="30"/>
  <c r="C25" i="8"/>
  <c r="D4" i="4"/>
  <c r="H21" i="2"/>
  <c r="C14" i="4"/>
  <c r="C15" i="4"/>
  <c r="C17" i="4"/>
  <c r="C18" i="4"/>
  <c r="C20" i="4"/>
  <c r="L11" i="5" l="1"/>
  <c r="L9" i="3"/>
  <c r="D4" i="1"/>
  <c r="D18" i="8" s="1"/>
  <c r="E4" i="1"/>
  <c r="E18" i="8" s="1"/>
  <c r="F4" i="1"/>
  <c r="F18" i="8" s="1"/>
  <c r="G4" i="1"/>
  <c r="G18" i="8" s="1"/>
  <c r="C4" i="1"/>
  <c r="C18" i="8" s="1"/>
  <c r="D4" i="21"/>
  <c r="E4" i="21"/>
  <c r="F4" i="21"/>
  <c r="G4" i="21"/>
  <c r="C4" i="21"/>
  <c r="L10" i="3" l="1"/>
  <c r="L11" i="3" s="1"/>
  <c r="L12" i="3" s="1"/>
  <c r="L8" i="3"/>
  <c r="L7" i="3" s="1"/>
  <c r="L6" i="3" s="1"/>
  <c r="L10" i="5"/>
  <c r="L9" i="5" s="1"/>
  <c r="L8" i="5" s="1"/>
  <c r="L12" i="5"/>
  <c r="L13" i="5" s="1"/>
  <c r="L14" i="5" s="1"/>
  <c r="C115" i="21" a="1"/>
  <c r="C115" i="21" s="1"/>
  <c r="G34" i="1" l="1"/>
  <c r="G33" i="1"/>
  <c r="C60" i="21" l="1" a="1"/>
  <c r="C60" i="21" s="1"/>
  <c r="C49" i="1" s="1"/>
  <c r="C59" i="21" a="1"/>
  <c r="C59" i="21" s="1"/>
  <c r="C158" i="21" a="1"/>
  <c r="C158" i="21" s="1"/>
  <c r="C157" i="21" a="1"/>
  <c r="C157" i="21" s="1"/>
  <c r="C156" i="21" a="1"/>
  <c r="C156" i="21" s="1"/>
  <c r="C155" i="21" a="1"/>
  <c r="C155" i="21" s="1"/>
  <c r="C154" i="21" a="1"/>
  <c r="C154" i="21" s="1"/>
  <c r="C153" i="21" a="1"/>
  <c r="C153" i="21" s="1"/>
  <c r="C150" i="21" a="1"/>
  <c r="C150" i="21" s="1"/>
  <c r="C149" i="21" a="1"/>
  <c r="C149" i="21" s="1"/>
  <c r="C148" i="21" a="1"/>
  <c r="C148" i="21" s="1"/>
  <c r="C147" i="21" a="1"/>
  <c r="C147" i="21" s="1"/>
  <c r="C146" i="21" a="1"/>
  <c r="C146" i="21" s="1"/>
  <c r="C145" i="21" a="1"/>
  <c r="C145" i="21" s="1"/>
  <c r="C144" i="21" a="1"/>
  <c r="C144" i="21" s="1"/>
  <c r="C143" i="21" a="1"/>
  <c r="C143" i="21" s="1"/>
  <c r="C142" i="21" a="1"/>
  <c r="C142" i="21" s="1"/>
  <c r="C139" i="21" a="1"/>
  <c r="C139" i="21" s="1"/>
  <c r="C138" i="21" a="1"/>
  <c r="C138" i="21" s="1"/>
  <c r="C137" i="21" a="1"/>
  <c r="C137" i="21" s="1"/>
  <c r="C136" i="21" a="1"/>
  <c r="C136" i="21" s="1"/>
  <c r="C135" i="21" a="1"/>
  <c r="C135" i="21" s="1"/>
  <c r="C134" i="21" a="1"/>
  <c r="C134" i="21" s="1"/>
  <c r="C133" i="21" a="1"/>
  <c r="C133" i="21" s="1"/>
  <c r="C132" i="21" a="1"/>
  <c r="C132" i="21" s="1"/>
  <c r="C131" i="21" a="1"/>
  <c r="C131" i="21" s="1"/>
  <c r="C128" i="21" a="1"/>
  <c r="C128" i="21" s="1"/>
  <c r="C127" i="21" a="1"/>
  <c r="C127" i="21" s="1"/>
  <c r="C126" i="21" a="1"/>
  <c r="C126" i="21" s="1"/>
  <c r="C125" i="21" a="1"/>
  <c r="C125" i="21" s="1"/>
  <c r="C124" i="21" a="1"/>
  <c r="C124" i="21" s="1"/>
  <c r="C123" i="21" a="1"/>
  <c r="C123" i="21" s="1"/>
  <c r="C122" i="21" a="1"/>
  <c r="C122" i="21" s="1"/>
  <c r="C121" i="21" a="1"/>
  <c r="C121" i="21" s="1"/>
  <c r="C120" i="21" a="1"/>
  <c r="C120" i="21" s="1"/>
  <c r="C119" i="21" a="1"/>
  <c r="C119" i="21" s="1"/>
  <c r="C118" i="21" a="1"/>
  <c r="C118" i="21" s="1"/>
  <c r="C117" i="21" a="1"/>
  <c r="C117" i="21" s="1"/>
  <c r="C116" i="21" a="1"/>
  <c r="C116" i="21" s="1"/>
  <c r="C114" i="21" a="1"/>
  <c r="C114" i="21" s="1"/>
  <c r="C113" i="21" a="1"/>
  <c r="C113" i="21" s="1"/>
  <c r="B6" i="3"/>
  <c r="K10" i="8"/>
  <c r="G35" i="1"/>
  <c r="C47" i="1" l="1"/>
  <c r="G47" i="1"/>
  <c r="C6" i="4" s="1"/>
  <c r="F47" i="1"/>
  <c r="E47" i="1"/>
  <c r="G49" i="1"/>
  <c r="D47" i="1"/>
  <c r="F49" i="1"/>
  <c r="E49" i="1"/>
  <c r="D49" i="1"/>
  <c r="C107" i="21" a="1"/>
  <c r="G4" i="8" s="1"/>
  <c r="C106" i="21" a="1"/>
  <c r="C106" i="21" s="1"/>
  <c r="C103" i="21" a="1"/>
  <c r="C103" i="21" s="1"/>
  <c r="C102" i="21" a="1"/>
  <c r="C101" i="21" a="1"/>
  <c r="C101" i="21" s="1"/>
  <c r="C100" i="21" a="1"/>
  <c r="C100" i="21" s="1"/>
  <c r="C99" i="21" a="1"/>
  <c r="C99" i="21" s="1"/>
  <c r="C98" i="21" a="1"/>
  <c r="C98" i="21" s="1"/>
  <c r="C97" i="21" a="1"/>
  <c r="C97" i="21" s="1"/>
  <c r="C96" i="21" a="1"/>
  <c r="C96" i="21" s="1"/>
  <c r="C95" i="21" a="1"/>
  <c r="C95" i="21" s="1"/>
  <c r="C92" i="21" a="1"/>
  <c r="C92" i="21" s="1"/>
  <c r="C91" i="21" a="1"/>
  <c r="C91" i="21" s="1"/>
  <c r="C90" i="21" a="1"/>
  <c r="C89" i="21" a="1"/>
  <c r="C87" i="21" a="1"/>
  <c r="C86" i="21" a="1"/>
  <c r="C84" i="21" a="1"/>
  <c r="C82" i="21" a="1"/>
  <c r="C82" i="21" s="1"/>
  <c r="C81" i="21" a="1"/>
  <c r="C80" i="21" a="1"/>
  <c r="C80" i="21" s="1"/>
  <c r="C79" i="21" a="1"/>
  <c r="C79" i="21" s="1"/>
  <c r="C76" i="21" a="1"/>
  <c r="C74" i="21" a="1"/>
  <c r="C74" i="21" s="1"/>
  <c r="C73" i="21" a="1"/>
  <c r="C73" i="21" s="1"/>
  <c r="C72" i="21" a="1"/>
  <c r="C72" i="21" s="1"/>
  <c r="C71" i="21" a="1"/>
  <c r="C71" i="21" s="1"/>
  <c r="C70" i="21" a="1"/>
  <c r="C70" i="21" s="1"/>
  <c r="C69" i="21" a="1"/>
  <c r="C69" i="21" s="1"/>
  <c r="C68" i="21" a="1"/>
  <c r="C68" i="21" s="1"/>
  <c r="C66" i="21" a="1"/>
  <c r="C66" i="21" s="1"/>
  <c r="C64" i="21" a="1"/>
  <c r="C64" i="21" s="1"/>
  <c r="C63" i="21" a="1"/>
  <c r="C63" i="21" s="1"/>
  <c r="C62" i="21" a="1"/>
  <c r="C62" i="21" s="1"/>
  <c r="C61" i="21" a="1"/>
  <c r="C53" i="21" a="1"/>
  <c r="C52" i="21" a="1"/>
  <c r="C49" i="21" a="1"/>
  <c r="C46" i="21" a="1"/>
  <c r="C46" i="21" s="1"/>
  <c r="C45" i="21" a="1"/>
  <c r="C45" i="21" s="1"/>
  <c r="C44" i="21" a="1"/>
  <c r="C44" i="21" s="1"/>
  <c r="C41" i="21" a="1"/>
  <c r="C41" i="21" s="1"/>
  <c r="C40" i="21" a="1"/>
  <c r="C39" i="21" a="1"/>
  <c r="C39" i="21" s="1"/>
  <c r="C36" i="21" a="1"/>
  <c r="C36" i="21" s="1"/>
  <c r="C35" i="21" a="1"/>
  <c r="C35" i="21" s="1"/>
  <c r="C34" i="21" a="1"/>
  <c r="C34" i="21" s="1"/>
  <c r="C27" i="21" a="1"/>
  <c r="C26" i="21" a="1"/>
  <c r="C23" i="21" a="1"/>
  <c r="C22" i="21" a="1"/>
  <c r="C22" i="21" s="1"/>
  <c r="C21" i="21" a="1"/>
  <c r="C21" i="21" s="1"/>
  <c r="C17" i="21" a="1"/>
  <c r="C15" i="21" a="1"/>
  <c r="C15" i="21" s="1"/>
  <c r="C13" i="21" a="1"/>
  <c r="C13" i="21" s="1"/>
  <c r="C12" i="21" a="1"/>
  <c r="C8" i="21" a="1"/>
  <c r="C81" i="21" l="1"/>
  <c r="D68" i="1"/>
  <c r="F68" i="1"/>
  <c r="E68" i="1"/>
  <c r="G68" i="1"/>
  <c r="C6" i="3"/>
  <c r="G23" i="1"/>
  <c r="E23" i="1"/>
  <c r="D23" i="1"/>
  <c r="F23" i="1"/>
  <c r="N10" i="8"/>
  <c r="N8" i="8"/>
  <c r="C86" i="21"/>
  <c r="G29" i="21"/>
  <c r="F29" i="21"/>
  <c r="E29" i="21"/>
  <c r="D29" i="21"/>
  <c r="C23" i="21"/>
  <c r="C31" i="21" s="1"/>
  <c r="G31" i="21"/>
  <c r="D31" i="21"/>
  <c r="F31" i="21"/>
  <c r="E31" i="21"/>
  <c r="E28" i="21"/>
  <c r="D28" i="21"/>
  <c r="G28" i="21"/>
  <c r="F28" i="21"/>
  <c r="C12" i="21"/>
  <c r="C14" i="21" s="1"/>
  <c r="E18" i="21"/>
  <c r="G18" i="21"/>
  <c r="D18" i="21"/>
  <c r="F18" i="21"/>
  <c r="E9" i="21"/>
  <c r="F9" i="21"/>
  <c r="G9" i="21"/>
  <c r="G3" i="8"/>
  <c r="N9" i="8" s="1"/>
  <c r="F11" i="1"/>
  <c r="D11" i="1"/>
  <c r="E11" i="1"/>
  <c r="G11" i="1"/>
  <c r="G29" i="1"/>
  <c r="F29" i="1"/>
  <c r="D29" i="1"/>
  <c r="E29" i="1"/>
  <c r="N6" i="8"/>
  <c r="G12" i="1"/>
  <c r="F28" i="1"/>
  <c r="D12" i="1"/>
  <c r="F12" i="1"/>
  <c r="E28" i="1"/>
  <c r="G28" i="1"/>
  <c r="E12" i="1"/>
  <c r="D28" i="1"/>
  <c r="D15" i="1"/>
  <c r="E15" i="1"/>
  <c r="E27" i="1"/>
  <c r="F27" i="1"/>
  <c r="G27" i="1"/>
  <c r="F15" i="1"/>
  <c r="G15" i="1"/>
  <c r="D27" i="1"/>
  <c r="D22" i="1"/>
  <c r="E22" i="1"/>
  <c r="F22" i="1"/>
  <c r="G22" i="1"/>
  <c r="D24" i="1"/>
  <c r="G24" i="1"/>
  <c r="E58" i="1"/>
  <c r="E67" i="1" s="1"/>
  <c r="F58" i="1"/>
  <c r="F67" i="1" s="1"/>
  <c r="G58" i="1"/>
  <c r="G67" i="1" s="1"/>
  <c r="D58" i="1"/>
  <c r="D67" i="1" s="1"/>
  <c r="E24" i="1"/>
  <c r="F24" i="1"/>
  <c r="D57" i="1"/>
  <c r="E57" i="1"/>
  <c r="F57" i="1"/>
  <c r="F69" i="1" s="1"/>
  <c r="G57" i="1"/>
  <c r="G69" i="1" s="1"/>
  <c r="C107" i="21"/>
  <c r="C29" i="1" s="1"/>
  <c r="D54" i="1"/>
  <c r="E54" i="1"/>
  <c r="F54" i="1"/>
  <c r="G54" i="1"/>
  <c r="C61" i="21"/>
  <c r="C50" i="1" s="1"/>
  <c r="D50" i="1"/>
  <c r="E50" i="1"/>
  <c r="F50" i="1"/>
  <c r="G50" i="1"/>
  <c r="G51" i="1"/>
  <c r="F51" i="1"/>
  <c r="D51" i="1"/>
  <c r="E51" i="1"/>
  <c r="D38" i="1"/>
  <c r="E38" i="1"/>
  <c r="F44" i="1"/>
  <c r="G44" i="1"/>
  <c r="F38" i="1"/>
  <c r="D44" i="1"/>
  <c r="G38" i="1"/>
  <c r="E44" i="1"/>
  <c r="C89" i="21"/>
  <c r="C52" i="1" s="1"/>
  <c r="D52" i="1"/>
  <c r="E52" i="1"/>
  <c r="F52" i="1"/>
  <c r="G52" i="1"/>
  <c r="C52" i="21"/>
  <c r="C42" i="1" s="1"/>
  <c r="G42" i="1"/>
  <c r="F42" i="1"/>
  <c r="E42" i="1"/>
  <c r="D42" i="1"/>
  <c r="C90" i="21"/>
  <c r="C53" i="1" s="1"/>
  <c r="F53" i="1"/>
  <c r="G53" i="1"/>
  <c r="D53" i="1"/>
  <c r="E53" i="1"/>
  <c r="C53" i="21"/>
  <c r="C43" i="1" s="1"/>
  <c r="D43" i="1"/>
  <c r="E43" i="1"/>
  <c r="F43" i="1"/>
  <c r="G43" i="1"/>
  <c r="F105" i="21"/>
  <c r="F26" i="1" s="1"/>
  <c r="F10" i="2" s="1"/>
  <c r="E105" i="21"/>
  <c r="E26" i="1" s="1"/>
  <c r="E10" i="2" s="1"/>
  <c r="D105" i="21"/>
  <c r="D26" i="1" s="1"/>
  <c r="G105" i="21"/>
  <c r="G26" i="1" s="1"/>
  <c r="G10" i="2" s="1"/>
  <c r="C84" i="21"/>
  <c r="C17" i="1" s="1"/>
  <c r="G17" i="1"/>
  <c r="D17" i="1"/>
  <c r="E17" i="1"/>
  <c r="F17" i="1"/>
  <c r="D18" i="1"/>
  <c r="E18" i="1"/>
  <c r="F18" i="1"/>
  <c r="G18" i="1"/>
  <c r="C76" i="21"/>
  <c r="D16" i="1"/>
  <c r="E16" i="1"/>
  <c r="F16" i="1"/>
  <c r="G16" i="1"/>
  <c r="C102" i="21"/>
  <c r="C87" i="21"/>
  <c r="C51" i="1" s="1"/>
  <c r="C8" i="21"/>
  <c r="D9" i="21" s="1"/>
  <c r="F8" i="1"/>
  <c r="G8" i="1"/>
  <c r="E8" i="1"/>
  <c r="C17" i="21"/>
  <c r="F6" i="1"/>
  <c r="G6" i="1"/>
  <c r="E6" i="1"/>
  <c r="C49" i="21"/>
  <c r="E7" i="1"/>
  <c r="F7" i="1"/>
  <c r="G7" i="1"/>
  <c r="C26" i="21"/>
  <c r="C40" i="21"/>
  <c r="C23" i="1" s="1"/>
  <c r="C27" i="21"/>
  <c r="F5" i="1"/>
  <c r="G5" i="1"/>
  <c r="E5" i="1"/>
  <c r="F75" i="21"/>
  <c r="E65" i="21"/>
  <c r="D83" i="21"/>
  <c r="F14" i="21"/>
  <c r="D14" i="21"/>
  <c r="G14" i="21"/>
  <c r="D65" i="21"/>
  <c r="F65" i="21"/>
  <c r="G65" i="21"/>
  <c r="D75" i="21"/>
  <c r="E83" i="21"/>
  <c r="E14" i="21"/>
  <c r="E75" i="21"/>
  <c r="F83" i="21"/>
  <c r="G83" i="21"/>
  <c r="G75" i="21"/>
  <c r="E69" i="1" l="1"/>
  <c r="D69" i="1"/>
  <c r="C68" i="1"/>
  <c r="C29" i="21"/>
  <c r="N11" i="8"/>
  <c r="C58" i="1"/>
  <c r="C67" i="1" s="1"/>
  <c r="N12" i="8"/>
  <c r="N14" i="8" s="1"/>
  <c r="C28" i="21"/>
  <c r="C32" i="21"/>
  <c r="C18" i="21"/>
  <c r="F32" i="21"/>
  <c r="C11" i="1"/>
  <c r="E13" i="1" s="1"/>
  <c r="E32" i="21"/>
  <c r="G13" i="1"/>
  <c r="G32" i="21"/>
  <c r="G14" i="1"/>
  <c r="F23" i="2" s="1"/>
  <c r="F13" i="1"/>
  <c r="D14" i="1"/>
  <c r="E14" i="1"/>
  <c r="C12" i="1"/>
  <c r="C28" i="1"/>
  <c r="C27" i="1"/>
  <c r="C15" i="1"/>
  <c r="F14" i="1"/>
  <c r="D30" i="1"/>
  <c r="D25" i="1"/>
  <c r="F30" i="1"/>
  <c r="F25" i="1"/>
  <c r="G25" i="1"/>
  <c r="G30" i="1"/>
  <c r="E30" i="1"/>
  <c r="E25" i="1"/>
  <c r="D5" i="1"/>
  <c r="D32" i="21"/>
  <c r="C54" i="1"/>
  <c r="C24" i="1"/>
  <c r="C22" i="1"/>
  <c r="C44" i="1"/>
  <c r="C14" i="1" s="1"/>
  <c r="C38" i="1"/>
  <c r="G21" i="1"/>
  <c r="G41" i="1"/>
  <c r="D6" i="1"/>
  <c r="C57" i="1"/>
  <c r="C69" i="1" s="1"/>
  <c r="D21" i="1"/>
  <c r="D41" i="1"/>
  <c r="E21" i="1"/>
  <c r="E41" i="1"/>
  <c r="C65" i="21"/>
  <c r="F21" i="1"/>
  <c r="F41" i="1"/>
  <c r="C16" i="1"/>
  <c r="C26" i="1"/>
  <c r="C75" i="21"/>
  <c r="C83" i="21"/>
  <c r="D8" i="1"/>
  <c r="C18" i="1"/>
  <c r="D7" i="1"/>
  <c r="D21" i="2" l="1"/>
  <c r="C30" i="1"/>
  <c r="C25" i="1"/>
  <c r="C21" i="1"/>
  <c r="C41" i="1"/>
  <c r="E15" i="4"/>
  <c r="F15" i="4" s="1"/>
  <c r="F59" i="1"/>
  <c r="F27" i="2" l="1"/>
  <c r="C8" i="8" s="1"/>
  <c r="B24" i="6"/>
  <c r="B21" i="6"/>
  <c r="B8" i="6"/>
  <c r="B7" i="6"/>
  <c r="B6" i="6"/>
  <c r="B25" i="6"/>
  <c r="B23" i="6"/>
  <c r="B22" i="6"/>
  <c r="B20" i="6"/>
  <c r="B19" i="6"/>
  <c r="B6" i="4"/>
  <c r="H4" i="4"/>
  <c r="H4" i="6" s="1"/>
  <c r="G4" i="4"/>
  <c r="G4" i="6" s="1"/>
  <c r="F4" i="4"/>
  <c r="F4" i="6" s="1"/>
  <c r="E4" i="4"/>
  <c r="E4" i="6" s="1"/>
  <c r="D4" i="6"/>
  <c r="B4" i="4"/>
  <c r="B4" i="6" s="1"/>
  <c r="H4" i="5"/>
  <c r="G4" i="5"/>
  <c r="F4" i="5"/>
  <c r="E4" i="5"/>
  <c r="D4" i="5"/>
  <c r="B4" i="5"/>
  <c r="H4" i="3"/>
  <c r="G4" i="3"/>
  <c r="F4" i="3"/>
  <c r="E4" i="3"/>
  <c r="D4" i="3"/>
  <c r="B4" i="3"/>
  <c r="B16" i="2"/>
  <c r="B15" i="2"/>
  <c r="B14" i="2"/>
  <c r="B13" i="2"/>
  <c r="F7" i="2"/>
  <c r="D7" i="2"/>
  <c r="F5" i="2"/>
  <c r="D5" i="2"/>
  <c r="G61" i="1"/>
  <c r="F61" i="1"/>
  <c r="E61" i="1"/>
  <c r="D61" i="1"/>
  <c r="C61" i="1"/>
  <c r="C59" i="1"/>
  <c r="C6" i="6"/>
  <c r="E5" i="2"/>
  <c r="C5" i="2"/>
  <c r="E20" i="4"/>
  <c r="F65" i="1"/>
  <c r="E65" i="1"/>
  <c r="D65" i="1"/>
  <c r="C65" i="1"/>
  <c r="G64" i="1"/>
  <c r="F64" i="1"/>
  <c r="E64" i="1"/>
  <c r="D64" i="1"/>
  <c r="C64" i="1"/>
  <c r="G63" i="1"/>
  <c r="F63" i="1"/>
  <c r="E63" i="1"/>
  <c r="D63" i="1"/>
  <c r="C63" i="1"/>
  <c r="G62" i="1"/>
  <c r="E17" i="4" s="1"/>
  <c r="F62" i="1"/>
  <c r="E62" i="1"/>
  <c r="D62" i="1"/>
  <c r="C62" i="1"/>
  <c r="G60" i="1"/>
  <c r="F60" i="1"/>
  <c r="E60" i="1"/>
  <c r="D60" i="1"/>
  <c r="C60" i="1"/>
  <c r="G7" i="2"/>
  <c r="E7" i="2"/>
  <c r="C7" i="2"/>
  <c r="C7" i="5"/>
  <c r="E9" i="2"/>
  <c r="G8" i="2"/>
  <c r="F8" i="2"/>
  <c r="D8" i="2"/>
  <c r="C8" i="2"/>
  <c r="G4" i="2"/>
  <c r="F4" i="2"/>
  <c r="E4" i="2"/>
  <c r="D4" i="2"/>
  <c r="C4" i="2"/>
  <c r="G10" i="1"/>
  <c r="G20" i="1" s="1"/>
  <c r="G32" i="1" s="1"/>
  <c r="G37" i="1" s="1"/>
  <c r="G40" i="1" s="1"/>
  <c r="G46" i="1" s="1"/>
  <c r="G56" i="1" s="1"/>
  <c r="C2" i="1"/>
  <c r="D5" i="6" l="1"/>
  <c r="D5" i="5"/>
  <c r="D5" i="4"/>
  <c r="C16" i="2"/>
  <c r="G65" i="1"/>
  <c r="E18" i="2"/>
  <c r="I18" i="2" s="1"/>
  <c r="D5" i="3" s="1"/>
  <c r="E17" i="2"/>
  <c r="G6" i="2"/>
  <c r="G15" i="2" s="1"/>
  <c r="D16" i="2"/>
  <c r="E14" i="4"/>
  <c r="C19" i="6" s="1"/>
  <c r="D19" i="6" s="1"/>
  <c r="F17" i="2"/>
  <c r="F16" i="2"/>
  <c r="D14" i="2"/>
  <c r="D20" i="6"/>
  <c r="C17" i="2"/>
  <c r="C14" i="2"/>
  <c r="F14" i="2"/>
  <c r="E14" i="2"/>
  <c r="C6" i="2"/>
  <c r="C15" i="2" s="1"/>
  <c r="D9" i="2"/>
  <c r="D18" i="2" s="1"/>
  <c r="D6" i="2"/>
  <c r="D15" i="2" s="1"/>
  <c r="E10" i="1"/>
  <c r="E20" i="1" s="1"/>
  <c r="E32" i="1" s="1"/>
  <c r="E37" i="1" s="1"/>
  <c r="E40" i="1" s="1"/>
  <c r="E46" i="1" s="1"/>
  <c r="E56" i="1" s="1"/>
  <c r="C25" i="6"/>
  <c r="D25" i="6" s="1"/>
  <c r="F20" i="4"/>
  <c r="D17" i="2"/>
  <c r="G16" i="2"/>
  <c r="E16" i="2"/>
  <c r="F17" i="4"/>
  <c r="C22" i="6"/>
  <c r="D22" i="6" s="1"/>
  <c r="G17" i="2"/>
  <c r="G5" i="2"/>
  <c r="G14" i="2" s="1"/>
  <c r="C9" i="2"/>
  <c r="C6" i="5"/>
  <c r="E18" i="4"/>
  <c r="C7" i="6"/>
  <c r="F10" i="1"/>
  <c r="F20" i="1" s="1"/>
  <c r="F32" i="1" s="1"/>
  <c r="F37" i="1" s="1"/>
  <c r="F40" i="1" s="1"/>
  <c r="F46" i="1" s="1"/>
  <c r="F56" i="1" s="1"/>
  <c r="E6" i="2"/>
  <c r="E15" i="2" s="1"/>
  <c r="F9" i="2"/>
  <c r="F18" i="2" s="1"/>
  <c r="F6" i="2"/>
  <c r="F15" i="2" s="1"/>
  <c r="G9" i="2"/>
  <c r="F6" i="7" l="1"/>
  <c r="C3" i="30" s="1"/>
  <c r="F8" i="7"/>
  <c r="C7" i="30" s="1"/>
  <c r="F5" i="7"/>
  <c r="F9" i="7"/>
  <c r="E5" i="3"/>
  <c r="F5" i="3" s="1"/>
  <c r="G5" i="3" s="1"/>
  <c r="E8" i="8"/>
  <c r="E5" i="5"/>
  <c r="E5" i="6"/>
  <c r="E5" i="4"/>
  <c r="K4" i="2"/>
  <c r="I16" i="2"/>
  <c r="I14" i="2"/>
  <c r="F14" i="4"/>
  <c r="I17" i="2"/>
  <c r="F18" i="4"/>
  <c r="C23" i="6"/>
  <c r="D23" i="6" s="1"/>
  <c r="D10" i="1"/>
  <c r="D20" i="1" s="1"/>
  <c r="D32" i="1" s="1"/>
  <c r="D37" i="1" s="1"/>
  <c r="D40" i="1" s="1"/>
  <c r="D46" i="1" s="1"/>
  <c r="D56" i="1" s="1"/>
  <c r="C10" i="1"/>
  <c r="C20" i="1" s="1"/>
  <c r="C32" i="1" s="1"/>
  <c r="C37" i="1" s="1"/>
  <c r="C40" i="1" s="1"/>
  <c r="C46" i="1" s="1"/>
  <c r="C56" i="1" s="1"/>
  <c r="C5" i="30" l="1"/>
  <c r="H5" i="30" s="1"/>
  <c r="K5" i="30" s="1"/>
  <c r="D6" i="3"/>
  <c r="H7" i="30"/>
  <c r="I7" i="30" s="1"/>
  <c r="F8" i="8"/>
  <c r="F5" i="6"/>
  <c r="F5" i="5"/>
  <c r="F5" i="4"/>
  <c r="L4" i="2"/>
  <c r="D6" i="4"/>
  <c r="D7" i="6"/>
  <c r="K5" i="2"/>
  <c r="K6" i="2"/>
  <c r="E7" i="6" s="1"/>
  <c r="K8" i="2"/>
  <c r="K10" i="2" s="1"/>
  <c r="K7" i="2"/>
  <c r="E6" i="4" s="1"/>
  <c r="K7" i="30" l="1"/>
  <c r="I5" i="30"/>
  <c r="E6" i="3"/>
  <c r="C6" i="30"/>
  <c r="H6" i="30"/>
  <c r="H3" i="30"/>
  <c r="I3" i="30" s="1"/>
  <c r="C4" i="30"/>
  <c r="H4" i="30" s="1"/>
  <c r="G5" i="6"/>
  <c r="G5" i="5"/>
  <c r="M4" i="2"/>
  <c r="N4" i="2" s="1"/>
  <c r="L8" i="2"/>
  <c r="L10" i="2" s="1"/>
  <c r="G5" i="4"/>
  <c r="E6" i="5"/>
  <c r="C18" i="3"/>
  <c r="L7" i="2"/>
  <c r="F6" i="4" s="1"/>
  <c r="L5" i="2"/>
  <c r="L6" i="2"/>
  <c r="F7" i="6" s="1"/>
  <c r="D6" i="6"/>
  <c r="D10" i="6" s="1"/>
  <c r="F6" i="3" l="1"/>
  <c r="G6" i="3" s="1"/>
  <c r="H6" i="3" s="1"/>
  <c r="E10" i="3"/>
  <c r="F6" i="5"/>
  <c r="M5" i="2"/>
  <c r="E6" i="6"/>
  <c r="E10" i="6" s="1"/>
  <c r="F11" i="3"/>
  <c r="C17" i="3"/>
  <c r="D7" i="5"/>
  <c r="E10" i="5" s="1"/>
  <c r="E13" i="5" s="1"/>
  <c r="M7" i="2"/>
  <c r="G6" i="4" s="1"/>
  <c r="M6" i="2"/>
  <c r="G7" i="6" s="1"/>
  <c r="N7" i="2"/>
  <c r="H6" i="4" s="1"/>
  <c r="M8" i="2"/>
  <c r="G6" i="5" s="1"/>
  <c r="E11" i="3"/>
  <c r="M10" i="2" l="1"/>
  <c r="F6" i="6"/>
  <c r="F10" i="3"/>
  <c r="N8" i="2"/>
  <c r="N5" i="2"/>
  <c r="N6" i="2"/>
  <c r="H7" i="6" s="1"/>
  <c r="E7" i="5"/>
  <c r="F10" i="5" s="1"/>
  <c r="F13" i="5" s="1"/>
  <c r="E12" i="5"/>
  <c r="N10" i="2" l="1"/>
  <c r="F10" i="6"/>
  <c r="G6" i="6"/>
  <c r="G10" i="6" s="1"/>
  <c r="H6" i="5"/>
  <c r="F12" i="5"/>
  <c r="F7" i="5"/>
  <c r="G7" i="5" s="1"/>
  <c r="H9" i="3"/>
  <c r="H6" i="6" l="1"/>
  <c r="H10" i="6" s="1"/>
  <c r="H10" i="5"/>
  <c r="G11" i="5" s="1"/>
  <c r="G10" i="5"/>
  <c r="H7" i="5"/>
  <c r="G9" i="3"/>
  <c r="G13" i="5" l="1"/>
  <c r="D17" i="5" s="1"/>
  <c r="G12" i="5"/>
  <c r="D15" i="5" s="1"/>
  <c r="D16" i="5" s="1"/>
  <c r="G11" i="3"/>
  <c r="C14" i="3" s="1"/>
  <c r="G10" i="3"/>
  <c r="C13" i="3" s="1"/>
  <c r="L7" i="5" l="1"/>
  <c r="L5" i="3"/>
  <c r="N13" i="8" l="1"/>
  <c r="N15" i="8" l="1"/>
  <c r="C26" i="8" l="1"/>
  <c r="G2" i="8"/>
  <c r="G48" i="1"/>
  <c r="G59" i="1"/>
  <c r="D11" i="6" l="1"/>
  <c r="D13" i="6" s="1"/>
  <c r="E11" i="6"/>
  <c r="E13" i="6" s="1"/>
  <c r="H11" i="6"/>
  <c r="G12" i="6" s="1"/>
  <c r="E11" i="4"/>
  <c r="D10" i="4"/>
  <c r="F11" i="4"/>
  <c r="G9" i="4"/>
  <c r="L11" i="6"/>
  <c r="L11" i="4"/>
  <c r="F11" i="6"/>
  <c r="F13" i="6" s="1"/>
  <c r="G11" i="6"/>
  <c r="F10" i="4"/>
  <c r="E10" i="4"/>
  <c r="G13" i="6" l="1"/>
  <c r="G10" i="4"/>
  <c r="E13" i="4" s="1"/>
  <c r="G11" i="4"/>
  <c r="F13" i="4" s="1"/>
  <c r="L12" i="4"/>
  <c r="L13" i="4" s="1"/>
  <c r="L14" i="4" s="1"/>
  <c r="L10" i="4"/>
  <c r="L9" i="4" s="1"/>
  <c r="L8" i="4" s="1"/>
  <c r="L12" i="6"/>
  <c r="L13" i="6" s="1"/>
  <c r="L14" i="6" s="1"/>
  <c r="L10" i="6"/>
  <c r="L9" i="6" s="1"/>
  <c r="L8" i="6" s="1"/>
  <c r="G15" i="6"/>
  <c r="F15" i="6"/>
  <c r="E15" i="6"/>
  <c r="D14" i="6"/>
  <c r="C18" i="6" s="1"/>
  <c r="E16" i="4" l="1"/>
  <c r="E19" i="4" s="1"/>
  <c r="E21" i="4" s="1"/>
  <c r="F16" i="4"/>
  <c r="F19" i="4" s="1"/>
  <c r="F22" i="4" s="1"/>
  <c r="L7" i="4" s="1"/>
  <c r="D15" i="6"/>
  <c r="D18" i="6" s="1"/>
  <c r="D21" i="6" l="1"/>
  <c r="D24" i="6" s="1"/>
  <c r="D27" i="6" s="1"/>
  <c r="C21" i="6"/>
  <c r="C24" i="6" l="1"/>
  <c r="C26" i="6" s="1"/>
  <c r="L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<sst xmlns="http://schemas.openxmlformats.org/spreadsheetml/2006/main" count="611" uniqueCount="411">
  <si>
    <t>Do not edit these sheets directly, make a copy first</t>
  </si>
  <si>
    <t>Total Revenue</t>
  </si>
  <si>
    <t>Cost of Revenue, Total</t>
  </si>
  <si>
    <t>Sell/Gen/Admin Expenses, Total</t>
  </si>
  <si>
    <t>Total Operating Expense</t>
  </si>
  <si>
    <t>Total Operating Income</t>
  </si>
  <si>
    <t>Other Non-Operation Income (Expense)</t>
  </si>
  <si>
    <t>Other, Net</t>
  </si>
  <si>
    <t>Income Before Tax</t>
  </si>
  <si>
    <t>Provision for Income Taxes</t>
  </si>
  <si>
    <t>Net Income After Taxes</t>
  </si>
  <si>
    <t>Total Extraordinary Items</t>
  </si>
  <si>
    <t>Net Income</t>
  </si>
  <si>
    <t>Income Available to Common Excl. Extra. Items</t>
  </si>
  <si>
    <t>Income Available to Common Incl. Extra. Items</t>
  </si>
  <si>
    <t>Basic/Primary Weighted Average Shares</t>
  </si>
  <si>
    <t>Basic/Primary EPS Excl. Extra. Items</t>
  </si>
  <si>
    <t>Basic/Primary EPS Incl. Extra. Items</t>
  </si>
  <si>
    <t>Diluted Weighted Average Shares</t>
  </si>
  <si>
    <t>Diluted EPS Excl. Extra. Items</t>
  </si>
  <si>
    <t>Diluted EPS Incl. Extra. Items</t>
  </si>
  <si>
    <t>Common Stock Dividends</t>
  </si>
  <si>
    <t>Gross Dividend - Common Stock</t>
  </si>
  <si>
    <t>Depreciation, Supplemental</t>
  </si>
  <si>
    <t>Basic Normalized EPS</t>
  </si>
  <si>
    <t>Diluted Normalized EPS</t>
  </si>
  <si>
    <t>Assets</t>
  </si>
  <si>
    <t>Cash &amp; Equivalents</t>
  </si>
  <si>
    <t>Cash and Short Term Investments</t>
  </si>
  <si>
    <t>Total Receivables, Net</t>
  </si>
  <si>
    <t>Total Inventory</t>
  </si>
  <si>
    <t>Other Current Assets</t>
  </si>
  <si>
    <t>Total Current Assets</t>
  </si>
  <si>
    <t>Accumulated Depreciation</t>
  </si>
  <si>
    <t>Property/Plant/Equipment - Net</t>
  </si>
  <si>
    <t>Goodwill, Net</t>
  </si>
  <si>
    <t>Intangibles, Gross</t>
  </si>
  <si>
    <t>Accumulated Intangible Amortization</t>
  </si>
  <si>
    <t>Deferred Income Tax - Long Term Asset</t>
  </si>
  <si>
    <t>Other Long Term Assets</t>
  </si>
  <si>
    <t>Total Assets</t>
  </si>
  <si>
    <t>Accounts Payable</t>
  </si>
  <si>
    <t>Accrued Expenses</t>
  </si>
  <si>
    <t>Notes Payable/Short Term Debt</t>
  </si>
  <si>
    <t>Other Current Liabilities, Total</t>
  </si>
  <si>
    <t>Total Current Liabilities</t>
  </si>
  <si>
    <t>Total Long Term Debt</t>
  </si>
  <si>
    <t>Total Debt</t>
  </si>
  <si>
    <t>Other Liabilities, Total</t>
  </si>
  <si>
    <t>Total Liabilities</t>
  </si>
  <si>
    <t>Preferred Stock - Non Redeemable, Net</t>
  </si>
  <si>
    <t>Common Stock</t>
  </si>
  <si>
    <t>Retained Earnings (Accumulated Deficit)</t>
  </si>
  <si>
    <t>Treasury Stock - Common</t>
  </si>
  <si>
    <t>Other Equity, Total</t>
  </si>
  <si>
    <t>Total Equity</t>
  </si>
  <si>
    <t>Total Liabilities &amp; Shareholders' Equity</t>
  </si>
  <si>
    <t>Total Common Shares Outstanding</t>
  </si>
  <si>
    <t>Depreciation/Depletion</t>
  </si>
  <si>
    <t>Amortization</t>
  </si>
  <si>
    <t>Deferred Taxes</t>
  </si>
  <si>
    <t>Unusual Items</t>
  </si>
  <si>
    <t>Other Non-Cash Items</t>
  </si>
  <si>
    <t>Non-Cash Items</t>
  </si>
  <si>
    <t>Cash Taxes Paid, Supplemental</t>
  </si>
  <si>
    <t>Accounts Receivable</t>
  </si>
  <si>
    <t>Inventories</t>
  </si>
  <si>
    <t>Other Assets</t>
  </si>
  <si>
    <t>Changes in Working Capital</t>
  </si>
  <si>
    <t>Total Cash from Operations</t>
  </si>
  <si>
    <t>Capital Expenditures</t>
  </si>
  <si>
    <t>Acquisition of Business</t>
  </si>
  <si>
    <t>Sale/Maturity of Investment</t>
  </si>
  <si>
    <t>Purchase of Investments</t>
  </si>
  <si>
    <t>Other Investment Cash Flow Items, Total</t>
  </si>
  <si>
    <t>Total Cash from Investing</t>
  </si>
  <si>
    <t>Financing Cash Flow Items</t>
  </si>
  <si>
    <t>Repurchase/Retirement Common</t>
  </si>
  <si>
    <t>Common Stock, Net</t>
  </si>
  <si>
    <t>Issuance (Retirement) of Stock, Net</t>
  </si>
  <si>
    <t>Total Cash from Financing</t>
  </si>
  <si>
    <t>Net Change in Cash</t>
  </si>
  <si>
    <t>Net Cash - Begin Balance/Reserved for Future Use</t>
  </si>
  <si>
    <t>Net Cash - End Balance/Reserved for Future Use</t>
  </si>
  <si>
    <t>Company Ticker</t>
  </si>
  <si>
    <t>WACC</t>
  </si>
  <si>
    <t>Market Cap</t>
  </si>
  <si>
    <t>Beta</t>
  </si>
  <si>
    <t>Price</t>
  </si>
  <si>
    <t>Shares Outstanding</t>
  </si>
  <si>
    <t>Rm</t>
  </si>
  <si>
    <t>Rf</t>
  </si>
  <si>
    <t>Forecast Data</t>
  </si>
  <si>
    <t>Tax Rate</t>
  </si>
  <si>
    <t>Year</t>
  </si>
  <si>
    <t>CoE</t>
  </si>
  <si>
    <t>g</t>
  </si>
  <si>
    <t>CoD</t>
  </si>
  <si>
    <t>E Amt</t>
  </si>
  <si>
    <t>Competitors’ Ticker</t>
  </si>
  <si>
    <t>Comp Avg.</t>
  </si>
  <si>
    <t>D Amt</t>
  </si>
  <si>
    <t>Price to Book Ratio</t>
  </si>
  <si>
    <t>%E</t>
  </si>
  <si>
    <t>Price to Sales Ratio</t>
  </si>
  <si>
    <t>%D</t>
  </si>
  <si>
    <t>Price to EPS Before Abnormal Items</t>
  </si>
  <si>
    <t>Equity</t>
  </si>
  <si>
    <t>Price to FCF</t>
  </si>
  <si>
    <t>Debt</t>
  </si>
  <si>
    <t>Price to EBITDA</t>
  </si>
  <si>
    <t>WACC =</t>
  </si>
  <si>
    <t>Competitor's Full Name</t>
  </si>
  <si>
    <t>Date</t>
  </si>
  <si>
    <t>Closing Price</t>
  </si>
  <si>
    <t>Historical</t>
  </si>
  <si>
    <t>Projected</t>
  </si>
  <si>
    <t>2016 FY</t>
  </si>
  <si>
    <t>2017 FY</t>
  </si>
  <si>
    <t>2018 FY</t>
  </si>
  <si>
    <t>2019 FY</t>
  </si>
  <si>
    <t>Income Statement</t>
  </si>
  <si>
    <t>Revenue &amp; Gross Profit:</t>
  </si>
  <si>
    <t>Operating Expenses:</t>
  </si>
  <si>
    <t>Non-Operating Income &amp; Expenses:</t>
  </si>
  <si>
    <t>EBITDA</t>
  </si>
  <si>
    <t>Basic EPS:</t>
  </si>
  <si>
    <t>Diluted EPS:</t>
  </si>
  <si>
    <t>Earnings:</t>
  </si>
  <si>
    <t>Balance Sheet</t>
  </si>
  <si>
    <t>Assets:</t>
  </si>
  <si>
    <t>Prepaid Expenses</t>
  </si>
  <si>
    <t>Discontinued Operations</t>
  </si>
  <si>
    <t>Note Receivables - Long Term</t>
  </si>
  <si>
    <t>Liabilities:</t>
  </si>
  <si>
    <t>Current Portion of Long-Term Debt/Capital Liabilities</t>
  </si>
  <si>
    <t>Other Long Term Liabilities</t>
  </si>
  <si>
    <t>Minority Interest</t>
  </si>
  <si>
    <t>Shareholder Equity:</t>
  </si>
  <si>
    <t>Other Equity</t>
  </si>
  <si>
    <t>Min. Pension Liability Adjustment</t>
  </si>
  <si>
    <t>Book Value Per Share</t>
  </si>
  <si>
    <t>Shares Outstanding-Common Primary Issue</t>
  </si>
  <si>
    <t>Cash Flow Statement</t>
  </si>
  <si>
    <t>Cash From Operating Activities:</t>
  </si>
  <si>
    <t>Cash Interest Paid, Supplemental</t>
  </si>
  <si>
    <t>Cash From Investing Activities:</t>
  </si>
  <si>
    <t>Sale of Business</t>
  </si>
  <si>
    <t>Intangible, Net</t>
  </si>
  <si>
    <t>Other Investing Cash Flow</t>
  </si>
  <si>
    <t>Cash From Financing Activities:</t>
  </si>
  <si>
    <t>Long Term Debt Issued</t>
  </si>
  <si>
    <t>Long Term Debt Reduction</t>
  </si>
  <si>
    <t>Long Term Debt, Net</t>
  </si>
  <si>
    <t>Issue (Retirement) of Debt, Net</t>
  </si>
  <si>
    <t>Increase / (Decrease) in Cash:</t>
  </si>
  <si>
    <t>Ticker</t>
  </si>
  <si>
    <t>Growth Data (In %)</t>
  </si>
  <si>
    <t>Net Income Growth</t>
  </si>
  <si>
    <t>Operating Income Growth</t>
  </si>
  <si>
    <t>Information Not Attainable</t>
  </si>
  <si>
    <t>Basic EPS Yr Chg</t>
  </si>
  <si>
    <t>Sales Growth %</t>
  </si>
  <si>
    <t>Growth Calculation Data</t>
  </si>
  <si>
    <t>ROE %</t>
  </si>
  <si>
    <t>Operating ROE %</t>
  </si>
  <si>
    <t>3 Year Average ROE %</t>
  </si>
  <si>
    <t>Payout Ratio %</t>
  </si>
  <si>
    <t>Profit Margin %</t>
  </si>
  <si>
    <t>Current Liabilities</t>
  </si>
  <si>
    <t>Sales</t>
  </si>
  <si>
    <t>Multipliers</t>
  </si>
  <si>
    <t>Price/Sales</t>
  </si>
  <si>
    <t>Price to Earnings per Share Before Abnormal Items</t>
  </si>
  <si>
    <t>Price/EBITDA</t>
  </si>
  <si>
    <t>Book Value/Share</t>
  </si>
  <si>
    <t>Sales Per Share</t>
  </si>
  <si>
    <t>T12 EPS From Operating Income</t>
  </si>
  <si>
    <t>T12 FCF/Share</t>
  </si>
  <si>
    <t xml:space="preserve">Trailing 12M EBIDA Per Share </t>
  </si>
  <si>
    <t>CAPM- Rs</t>
  </si>
  <si>
    <t>Risk Premium</t>
  </si>
  <si>
    <t>Country Risk - Risk Free Rate</t>
  </si>
  <si>
    <t>Applied Beta for EQRP %</t>
  </si>
  <si>
    <t>DDM</t>
  </si>
  <si>
    <t>Dividends per Share</t>
  </si>
  <si>
    <t>RIM</t>
  </si>
  <si>
    <t>Trailing 12M Earnings Per Share</t>
  </si>
  <si>
    <t>Trailing 12M Diluted EPS From Cont Ops</t>
  </si>
  <si>
    <t>FCFM</t>
  </si>
  <si>
    <t xml:space="preserve">Free Cash Flow </t>
  </si>
  <si>
    <t>Short-Term Investments</t>
  </si>
  <si>
    <t>Non-Operating Assets</t>
  </si>
  <si>
    <t>Total debt</t>
  </si>
  <si>
    <t>Other LT Liabilities</t>
  </si>
  <si>
    <t>Preferred Equity and Minority Interest</t>
  </si>
  <si>
    <t>Current Shares Outstanding</t>
  </si>
  <si>
    <t>MVAM</t>
  </si>
  <si>
    <t>Net Operating Profit after Tax (NOPAT)</t>
  </si>
  <si>
    <t>Total capital</t>
  </si>
  <si>
    <t>Actual Data</t>
  </si>
  <si>
    <t>NOPAT</t>
  </si>
  <si>
    <t>Capital</t>
  </si>
  <si>
    <t>FCF</t>
  </si>
  <si>
    <t>EPS</t>
  </si>
  <si>
    <t>DVD</t>
  </si>
  <si>
    <t>BVPS</t>
  </si>
  <si>
    <t>% of Sales</t>
  </si>
  <si>
    <t>Forecast Factor</t>
  </si>
  <si>
    <t>Growth</t>
  </si>
  <si>
    <t xml:space="preserve">g = ROE x (1- Payout Ratio) = </t>
  </si>
  <si>
    <t xml:space="preserve">g   =    </t>
  </si>
  <si>
    <t>M (1- Payout Ratio) S0</t>
  </si>
  <si>
    <t>=</t>
  </si>
  <si>
    <t>A0 - L0 - M(1-Payout Ratio) So</t>
  </si>
  <si>
    <t>M</t>
  </si>
  <si>
    <t>PROF_MARGIN</t>
  </si>
  <si>
    <t>A0</t>
  </si>
  <si>
    <t>BS_TOT_ASSET</t>
  </si>
  <si>
    <t>L0</t>
  </si>
  <si>
    <t>BS_CUR_LIAB</t>
  </si>
  <si>
    <t>S0</t>
  </si>
  <si>
    <t>SALES_REV_TURN</t>
  </si>
  <si>
    <t>Payout Ratio</t>
  </si>
  <si>
    <t>DVD_PAYOUT_RATIO</t>
  </si>
  <si>
    <t>Market Multipliers</t>
  </si>
  <si>
    <t xml:space="preserve">  g</t>
  </si>
  <si>
    <t xml:space="preserve"> Rs</t>
  </si>
  <si>
    <t>Terminal Value</t>
  </si>
  <si>
    <t xml:space="preserve"> PV</t>
  </si>
  <si>
    <t>DDM Price</t>
  </si>
  <si>
    <t>12-month Target</t>
  </si>
  <si>
    <t>Constant g pricing</t>
  </si>
  <si>
    <t>g1</t>
  </si>
  <si>
    <t>g2</t>
  </si>
  <si>
    <t>PV</t>
  </si>
  <si>
    <t>Vop</t>
  </si>
  <si>
    <t>+</t>
  </si>
  <si>
    <t>Value of Firm</t>
  </si>
  <si>
    <t>-</t>
  </si>
  <si>
    <t>Value of Equity</t>
  </si>
  <si>
    <t>FCF Price</t>
  </si>
  <si>
    <t>Rs</t>
  </si>
  <si>
    <t>RI</t>
  </si>
  <si>
    <t>Horizon Value RI</t>
  </si>
  <si>
    <t>RI 0</t>
  </si>
  <si>
    <t>RI Price = BVPS +RI</t>
  </si>
  <si>
    <t>ω</t>
  </si>
  <si>
    <t>`</t>
  </si>
  <si>
    <t>MVA Model</t>
  </si>
  <si>
    <t>EROICt = NOPAT t+1 /Capital t</t>
  </si>
  <si>
    <t>MVA</t>
  </si>
  <si>
    <t>Horizon Value MVA</t>
  </si>
  <si>
    <t>MVA0</t>
  </si>
  <si>
    <t>MVA1</t>
  </si>
  <si>
    <t>P0</t>
  </si>
  <si>
    <t>P1</t>
  </si>
  <si>
    <t>Vop = MVA + Capital =</t>
  </si>
  <si>
    <t>MVA Price</t>
  </si>
  <si>
    <t>Current Price</t>
  </si>
  <si>
    <t>Target Price</t>
  </si>
  <si>
    <t>Weights</t>
  </si>
  <si>
    <t>YoY Revenue Growth %</t>
  </si>
  <si>
    <t>Gross Margin</t>
  </si>
  <si>
    <t>EBITDA Margin</t>
  </si>
  <si>
    <t>Net Income Margin</t>
  </si>
  <si>
    <t>Tax Rate %</t>
  </si>
  <si>
    <t>DATE OF VALUATION</t>
  </si>
  <si>
    <t>Investment Potential</t>
  </si>
  <si>
    <t>1 Year Target Price</t>
  </si>
  <si>
    <t>Multiples</t>
  </si>
  <si>
    <t xml:space="preserve"> g</t>
  </si>
  <si>
    <t xml:space="preserve"> WACC</t>
  </si>
  <si>
    <t xml:space="preserve"> Horizon Value (Vop 4)</t>
  </si>
  <si>
    <t>Sustainable Growth Rate</t>
  </si>
  <si>
    <t>Internal</t>
  </si>
  <si>
    <t>Growth Rate</t>
  </si>
  <si>
    <t xml:space="preserve"> Using</t>
  </si>
  <si>
    <t>Average Growth Rate</t>
  </si>
  <si>
    <t>ONLY CHANGE CELLS HIGHLIGHTED IN BLUE</t>
  </si>
  <si>
    <t>Find &amp; replace all "--" values with "0" so that the model can properly account for these values</t>
  </si>
  <si>
    <t>Once the statememtns are imported, ensure the dates are moving LEFT to RIGHT and not right to left</t>
  </si>
  <si>
    <t>Manually input all information necessary in the "Data" tab</t>
  </si>
  <si>
    <t>- Dates, comps, historical prices, current price, WACC information, Stock ticker</t>
  </si>
  <si>
    <t>- Put each statement into the appropritate orange sheet for the sourced tab to work properly</t>
  </si>
  <si>
    <t xml:space="preserve">Financials must be imported one at a time (aka copied and pasted into "Blank") from Charles Schwab </t>
  </si>
  <si>
    <t>How to use the semi-automated models:</t>
  </si>
  <si>
    <t>- Clear, but DON'T DELETE, the column labeled "Annual Trend." This will fix the major formatting issues</t>
  </si>
  <si>
    <t>rs = Requiered Return on the Stock</t>
  </si>
  <si>
    <t>LTM</t>
  </si>
  <si>
    <t>Terminal Growth Rate</t>
  </si>
  <si>
    <t>Bull</t>
  </si>
  <si>
    <t>Base</t>
  </si>
  <si>
    <t>Bear</t>
  </si>
  <si>
    <t>Minimum</t>
  </si>
  <si>
    <t>Maximum</t>
  </si>
  <si>
    <t>Rs Sensitivity Adjustment</t>
  </si>
  <si>
    <t>WACC Sensitivity Adjustment</t>
  </si>
  <si>
    <t>Terminal Sensitivity Adjustment</t>
  </si>
  <si>
    <t>Quartile 3</t>
  </si>
  <si>
    <t>Quartile 1</t>
  </si>
  <si>
    <t>Returns</t>
  </si>
  <si>
    <t>(5 yr monthly)</t>
  </si>
  <si>
    <t>(10 yr treasury)</t>
  </si>
  <si>
    <t>Interest Expense, Net Non-Operating</t>
  </si>
  <si>
    <t>Median</t>
  </si>
  <si>
    <t>Implied Price</t>
  </si>
  <si>
    <t>Sensitivity Adjustments</t>
  </si>
  <si>
    <t>Invested Capital</t>
  </si>
  <si>
    <t>ROIC</t>
  </si>
  <si>
    <t>ROIC / WACC</t>
  </si>
  <si>
    <t>Other Financial Ratios</t>
  </si>
  <si>
    <t>Values are in Millions, except for per share data.</t>
  </si>
  <si>
    <r>
      <t>Years are Fiscal Years. </t>
    </r>
    <r>
      <rPr>
        <sz val="10"/>
        <color rgb="FFAA0033"/>
        <rFont val="Arial"/>
        <family val="2"/>
      </rPr>
      <t>( )</t>
    </r>
    <r>
      <rPr>
        <sz val="10"/>
        <rFont val="Arial"/>
        <family val="2"/>
      </rPr>
      <t> = Negative</t>
    </r>
  </si>
  <si>
    <t>12 Months</t>
  </si>
  <si>
    <t>Restated</t>
  </si>
  <si>
    <t>Revenue &amp; Gross Profit</t>
  </si>
  <si>
    <t>Operating Expenses</t>
  </si>
  <si>
    <t>Depreciation/Amortization</t>
  </si>
  <si>
    <t>Interest Expense, Net Operating</t>
  </si>
  <si>
    <t>Interest Income, Operating</t>
  </si>
  <si>
    <t>Investment Income, Operating</t>
  </si>
  <si>
    <t>Interest/Investment Income, Operating</t>
  </si>
  <si>
    <t>Restructuring Charge</t>
  </si>
  <si>
    <t>Impair-Assets Held for use</t>
  </si>
  <si>
    <t>Impair-Assets Held for Sale</t>
  </si>
  <si>
    <t>Other Unusual Expense (In)</t>
  </si>
  <si>
    <t>Unusual Expense (Income)</t>
  </si>
  <si>
    <t>Operating Income</t>
  </si>
  <si>
    <t>Non-Operating Income &amp; Expenses</t>
  </si>
  <si>
    <t>Income Taxes</t>
  </si>
  <si>
    <t>Minority Interest &amp; Equity in Affiliates</t>
  </si>
  <si>
    <t>Net Income Before Extra Items</t>
  </si>
  <si>
    <t>Extraordinary Items</t>
  </si>
  <si>
    <t>Extraordinary Item</t>
  </si>
  <si>
    <t>Adjustments to Net Income</t>
  </si>
  <si>
    <t>EPS Reconciliation</t>
  </si>
  <si>
    <t>Dilution Adjustment</t>
  </si>
  <si>
    <t>DPS - Common Stock Primary Issue</t>
  </si>
  <si>
    <t>Pro Forma Net Income</t>
  </si>
  <si>
    <t>Supplemental Items</t>
  </si>
  <si>
    <t>Interest Expense, Supplemental</t>
  </si>
  <si>
    <t>Normalized Income</t>
  </si>
  <si>
    <t>Total Special Items</t>
  </si>
  <si>
    <t>Normalized Income Before Tax</t>
  </si>
  <si>
    <t>Effect of Special Items on Income Taxes</t>
  </si>
  <si>
    <t>Income Tax Exempt Impact of Special Items</t>
  </si>
  <si>
    <t>Normalized Income After Tax</t>
  </si>
  <si>
    <t>Normalized Income Avail to Common</t>
  </si>
  <si>
    <t>Cash</t>
  </si>
  <si>
    <t>Short Term Investments</t>
  </si>
  <si>
    <t>Trade Accounts Receivable, Net</t>
  </si>
  <si>
    <t>Other Receivables</t>
  </si>
  <si>
    <t>Inventory - Finished Goods</t>
  </si>
  <si>
    <t>Inventory - Work in Progress</t>
  </si>
  <si>
    <t>Inventory - Raw Materials</t>
  </si>
  <si>
    <t>Inventories - Other</t>
  </si>
  <si>
    <t>Restricted Cash - Current</t>
  </si>
  <si>
    <t>Discontinued Operations - Current Assets</t>
  </si>
  <si>
    <t>Other Current Assets, Total</t>
  </si>
  <si>
    <t>Buildings</t>
  </si>
  <si>
    <t>Land/Improvements</t>
  </si>
  <si>
    <t>Machinery/Equipment</t>
  </si>
  <si>
    <t>Other Property/Plant/Equipment</t>
  </si>
  <si>
    <t>Property/Plant/Equipment - Gross</t>
  </si>
  <si>
    <t>Intangibles, Net</t>
  </si>
  <si>
    <t>Long Term Investments - Affiliate Comp.</t>
  </si>
  <si>
    <t>Long Term Investments - Other</t>
  </si>
  <si>
    <t>Long Term Investments</t>
  </si>
  <si>
    <t>Deferred Charges</t>
  </si>
  <si>
    <t>Pension Benefits Overfunded</t>
  </si>
  <si>
    <t>Liabilities</t>
  </si>
  <si>
    <t>Income Taxes Payable</t>
  </si>
  <si>
    <t>Other Current Liabilities</t>
  </si>
  <si>
    <t>Deferred Income Tax</t>
  </si>
  <si>
    <t>Reserves</t>
  </si>
  <si>
    <t>Pension Benefits - Underfunded</t>
  </si>
  <si>
    <t>Shareholder Equity</t>
  </si>
  <si>
    <t>Additional Paid-In Capital</t>
  </si>
  <si>
    <t>Unrealized Gain (Loss)</t>
  </si>
  <si>
    <t>Cumulative Translation Adjustment</t>
  </si>
  <si>
    <t>Other Comprehensive Income</t>
  </si>
  <si>
    <t>Treasury Shares-Common Primary Issue</t>
  </si>
  <si>
    <t>Reclassified</t>
  </si>
  <si>
    <t>Cash From Operating Activities</t>
  </si>
  <si>
    <t>Equity in Net Earnings/Loss</t>
  </si>
  <si>
    <t>Prepaid Expesnes</t>
  </si>
  <si>
    <t>Plus: Cash From Investing Activities</t>
  </si>
  <si>
    <t>Sale of Fixed Assets</t>
  </si>
  <si>
    <t>Plus: Cash From Financing Activities</t>
  </si>
  <si>
    <t>Total Cash Dividends Paid</t>
  </si>
  <si>
    <t>Options Exercised</t>
  </si>
  <si>
    <t>Short Term Debt Reduction</t>
  </si>
  <si>
    <t>Short Term Debt, Net</t>
  </si>
  <si>
    <t>Equals: Increase In Cash</t>
  </si>
  <si>
    <t>Foreign Exchange Effects</t>
  </si>
  <si>
    <t>MGA</t>
  </si>
  <si>
    <t>BWA</t>
  </si>
  <si>
    <t>APTV</t>
  </si>
  <si>
    <t>ALV</t>
  </si>
  <si>
    <t>LEA</t>
  </si>
  <si>
    <t>AXL</t>
  </si>
  <si>
    <t>DAN</t>
  </si>
  <si>
    <t>BorgWarner Inc</t>
  </si>
  <si>
    <t>Autoliv Inc</t>
  </si>
  <si>
    <t>Lear Corp</t>
  </si>
  <si>
    <t>American Axle &amp; Manufacturing</t>
  </si>
  <si>
    <t>Dana Inc</t>
  </si>
  <si>
    <t>APTIV Plc</t>
  </si>
  <si>
    <t>&lt;- hard coded based on DDM growth</t>
  </si>
  <si>
    <t xml:space="preserve">Current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</si>
</sst>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0.0000%"/>
    <numFmt numFmtId="166" formatCode="_(&quot;$&quot;* #,##0_);_(&quot;$&quot;* \(#,##0\);_(&quot;$&quot;* &quot;-&quot;??_);_(@_)"/>
    <numFmt numFmtId="167" formatCode="0.0%"/>
    <numFmt numFmtId="168" formatCode="_(* #,##0_);_(* \(#,##0\);_(* &quot;-&quot;??_);_(@_)"/>
    <numFmt numFmtId="169" formatCode="_(* #,##0.0_);_(* \(#,##0.0\);_(* &quot;-&quot;??_);_(@_)"/>
    <numFmt numFmtId="170" formatCode="0.0"/>
    <numFmt numFmtId="171" formatCode="&quot;$&quot;#,##0.0_);[Red]\(&quot;$&quot;#,##0.0\)"/>
    <numFmt numFmtId="172" formatCode="_(* #,##0.00000_);_(* \(#,##0.00000\);_(* &quot;-&quot;??_);_(@_)"/>
    <numFmt numFmtId="173" formatCode="&quot;$&quot;#,##0.00"/>
    <numFmt numFmtId="174" formatCode="0.00\x"/>
  </numFmts>
  <fonts count="67">
    <font>
      <sz val="10"/>
      <name val="Arial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0"/>
      <name val="Times New Roman"/>
      <family val="1"/>
    </font>
    <font>
      <sz val="12"/>
      <color rgb="FF0000FF"/>
      <name val="Times New Roman"/>
      <family val="1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  <font>
      <sz val="7"/>
      <color rgb="FF181818"/>
      <name val="Arial"/>
      <family val="2"/>
    </font>
    <font>
      <b/>
      <u/>
      <sz val="12"/>
      <color theme="1"/>
      <name val="Times New Roman"/>
      <family val="1"/>
    </font>
    <font>
      <b/>
      <u/>
      <sz val="12"/>
      <name val="Times New Roman"/>
      <family val="1"/>
    </font>
    <font>
      <u/>
      <sz val="12"/>
      <name val="Times New Roman"/>
      <family val="1"/>
    </font>
    <font>
      <b/>
      <sz val="12"/>
      <color theme="0" tint="-4.9989318521683403E-2"/>
      <name val="Times New Roman"/>
      <family val="1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2"/>
      <color rgb="FFC0000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rgb="FF339933"/>
      <name val="Times New Roman"/>
      <family val="1"/>
    </font>
    <font>
      <sz val="9"/>
      <name val="Arial"/>
      <family val="2"/>
    </font>
    <font>
      <i/>
      <sz val="9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name val="Arial"/>
      <family val="2"/>
    </font>
    <font>
      <b/>
      <u val="singleAccounting"/>
      <sz val="9"/>
      <name val="Times New Roman"/>
      <family val="1"/>
    </font>
    <font>
      <b/>
      <u/>
      <sz val="9"/>
      <name val="Times New Roman"/>
      <family val="1"/>
    </font>
    <font>
      <sz val="8"/>
      <name val="Arial"/>
      <family val="2"/>
    </font>
    <font>
      <b/>
      <sz val="16"/>
      <color theme="0"/>
      <name val="Times New Roman"/>
      <family val="1"/>
    </font>
    <font>
      <b/>
      <sz val="12"/>
      <color rgb="FFFF0000"/>
      <name val="Times New Roman"/>
      <family val="1"/>
    </font>
    <font>
      <sz val="12"/>
      <color theme="9"/>
      <name val="Times New Roman"/>
      <family val="1"/>
    </font>
    <font>
      <sz val="12"/>
      <color rgb="FF000000"/>
      <name val="Arial"/>
      <family val="2"/>
    </font>
    <font>
      <sz val="10"/>
      <color rgb="FFAA0033"/>
      <name val="Arial"/>
      <family val="2"/>
    </font>
    <font>
      <sz val="12"/>
      <name val="Arial"/>
      <family val="2"/>
    </font>
    <font>
      <sz val="12"/>
      <color rgb="FF666666"/>
      <name val="Arial"/>
      <family val="2"/>
    </font>
    <font>
      <sz val="11"/>
      <color rgb="FF666666"/>
      <name val="Arial"/>
      <family val="2"/>
    </font>
    <font>
      <sz val="11"/>
      <color rgb="FFAA0033"/>
      <name val="Arial"/>
      <family val="2"/>
    </font>
    <font>
      <b/>
      <sz val="14"/>
      <name val="Inherit"/>
    </font>
    <font>
      <b/>
      <sz val="12"/>
      <name val="Arial"/>
      <family val="2"/>
    </font>
    <font>
      <sz val="12"/>
      <color rgb="FFAA0033"/>
      <name val="Arial"/>
      <family val="2"/>
    </font>
    <font>
      <b/>
      <sz val="12"/>
      <color rgb="FFAA0033"/>
      <name val="Arial"/>
      <family val="2"/>
    </font>
    <font>
      <sz val="12"/>
      <color rgb="FF999999"/>
      <name val="Arial"/>
      <family val="2"/>
    </font>
    <font>
      <sz val="11"/>
      <color rgb="FF000000"/>
      <name val="Arial"/>
      <family val="2"/>
    </font>
    <font>
      <b/>
      <i/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0"/>
      <color theme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4F81BD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0" fontId="35" fillId="37" borderId="0"/>
    <xf numFmtId="0" fontId="36" fillId="37" borderId="17">
      <alignment horizontal="right"/>
    </xf>
    <xf numFmtId="0" fontId="66" fillId="0" borderId="0" applyNumberFormat="0" applyFill="0" applyBorder="0" applyAlignment="0" applyProtection="0"/>
  </cellStyleXfs>
  <cellXfs count="507">
    <xf numFmtId="0" fontId="18" fillId="0" borderId="0" xfId="0" applyFont="1"/>
    <xf numFmtId="0" fontId="21" fillId="0" borderId="33" xfId="0" applyFont="1" applyBorder="1"/>
    <xf numFmtId="0" fontId="21" fillId="0" borderId="33" xfId="0" applyFont="1" applyFill="1" applyBorder="1"/>
    <xf numFmtId="0" fontId="26" fillId="0" borderId="33" xfId="0" applyFont="1" applyFill="1" applyBorder="1"/>
    <xf numFmtId="0" fontId="21" fillId="0" borderId="35" xfId="0" applyFont="1" applyBorder="1"/>
    <xf numFmtId="0" fontId="21" fillId="34" borderId="23" xfId="0" applyFont="1" applyFill="1" applyBorder="1"/>
    <xf numFmtId="0" fontId="21" fillId="34" borderId="0" xfId="0" applyFont="1" applyFill="1" applyBorder="1"/>
    <xf numFmtId="0" fontId="21" fillId="34" borderId="24" xfId="0" applyFont="1" applyFill="1" applyBorder="1"/>
    <xf numFmtId="0" fontId="21" fillId="34" borderId="18" xfId="0" applyFont="1" applyFill="1" applyBorder="1"/>
    <xf numFmtId="0" fontId="21" fillId="34" borderId="19" xfId="0" applyFont="1" applyFill="1" applyBorder="1"/>
    <xf numFmtId="0" fontId="21" fillId="34" borderId="25" xfId="0" applyFont="1" applyFill="1" applyBorder="1"/>
    <xf numFmtId="14" fontId="23" fillId="35" borderId="31" xfId="0" applyNumberFormat="1" applyFont="1" applyFill="1" applyBorder="1" applyAlignment="1">
      <alignment horizontal="center"/>
    </xf>
    <xf numFmtId="14" fontId="23" fillId="35" borderId="32" xfId="0" applyNumberFormat="1" applyFont="1" applyFill="1" applyBorder="1" applyAlignment="1">
      <alignment horizontal="center"/>
    </xf>
    <xf numFmtId="10" fontId="21" fillId="33" borderId="14" xfId="43" applyNumberFormat="1" applyFont="1" applyFill="1" applyBorder="1"/>
    <xf numFmtId="10" fontId="24" fillId="33" borderId="14" xfId="43" applyNumberFormat="1" applyFont="1" applyFill="1" applyBorder="1"/>
    <xf numFmtId="0" fontId="21" fillId="0" borderId="0" xfId="0" applyFont="1" applyFill="1"/>
    <xf numFmtId="0" fontId="25" fillId="0" borderId="0" xfId="0" applyFont="1" applyFill="1" applyBorder="1"/>
    <xf numFmtId="0" fontId="21" fillId="0" borderId="0" xfId="0" applyFont="1" applyFill="1" applyBorder="1"/>
    <xf numFmtId="14" fontId="21" fillId="0" borderId="0" xfId="0" applyNumberFormat="1" applyFont="1" applyFill="1" applyBorder="1"/>
    <xf numFmtId="0" fontId="21" fillId="0" borderId="0" xfId="0" applyFont="1" applyFill="1" applyBorder="1" applyAlignment="1">
      <alignment horizontal="center"/>
    </xf>
    <xf numFmtId="10" fontId="21" fillId="0" borderId="0" xfId="43" applyNumberFormat="1" applyFont="1" applyFill="1"/>
    <xf numFmtId="168" fontId="21" fillId="0" borderId="0" xfId="44" applyNumberFormat="1" applyFont="1" applyFill="1" applyBorder="1"/>
    <xf numFmtId="168" fontId="21" fillId="33" borderId="14" xfId="44" applyNumberFormat="1" applyFont="1" applyFill="1" applyBorder="1"/>
    <xf numFmtId="0" fontId="23" fillId="35" borderId="30" xfId="0" applyFont="1" applyFill="1" applyBorder="1"/>
    <xf numFmtId="10" fontId="27" fillId="33" borderId="36" xfId="43" applyNumberFormat="1" applyFont="1" applyFill="1" applyBorder="1"/>
    <xf numFmtId="0" fontId="21" fillId="0" borderId="35" xfId="0" applyFont="1" applyFill="1" applyBorder="1"/>
    <xf numFmtId="10" fontId="24" fillId="33" borderId="36" xfId="43" applyNumberFormat="1" applyFont="1" applyFill="1" applyBorder="1"/>
    <xf numFmtId="0" fontId="22" fillId="0" borderId="0" xfId="0" applyFont="1" applyFill="1" applyBorder="1" applyAlignment="1">
      <alignment horizontal="center"/>
    </xf>
    <xf numFmtId="0" fontId="22" fillId="0" borderId="0" xfId="0" applyFont="1" applyFill="1" applyBorder="1"/>
    <xf numFmtId="0" fontId="22" fillId="0" borderId="0" xfId="0" applyFont="1" applyFill="1"/>
    <xf numFmtId="0" fontId="26" fillId="0" borderId="0" xfId="0" applyFont="1" applyFill="1"/>
    <xf numFmtId="0" fontId="21" fillId="0" borderId="24" xfId="0" applyFont="1" applyFill="1" applyBorder="1"/>
    <xf numFmtId="0" fontId="21" fillId="0" borderId="11" xfId="45" applyFont="1" applyFill="1" applyBorder="1"/>
    <xf numFmtId="0" fontId="21" fillId="0" borderId="23" xfId="45" applyFont="1" applyFill="1" applyBorder="1"/>
    <xf numFmtId="44" fontId="21" fillId="0" borderId="0" xfId="42" applyFont="1" applyFill="1" applyBorder="1"/>
    <xf numFmtId="0" fontId="21" fillId="0" borderId="19" xfId="0" applyFont="1" applyFill="1" applyBorder="1"/>
    <xf numFmtId="10" fontId="21" fillId="0" borderId="0" xfId="43" applyNumberFormat="1" applyFont="1" applyFill="1" applyBorder="1"/>
    <xf numFmtId="10" fontId="21" fillId="0" borderId="0" xfId="43" applyNumberFormat="1" applyFont="1" applyFill="1" applyBorder="1" applyAlignment="1">
      <alignment horizontal="center"/>
    </xf>
    <xf numFmtId="10" fontId="21" fillId="0" borderId="0" xfId="0" applyNumberFormat="1" applyFont="1" applyFill="1" applyBorder="1"/>
    <xf numFmtId="10" fontId="24" fillId="0" borderId="0" xfId="0" applyNumberFormat="1" applyFont="1" applyFill="1" applyBorder="1"/>
    <xf numFmtId="168" fontId="21" fillId="0" borderId="0" xfId="44" applyNumberFormat="1" applyFont="1" applyFill="1" applyBorder="1" applyAlignment="1">
      <alignment horizontal="center"/>
    </xf>
    <xf numFmtId="10" fontId="24" fillId="0" borderId="0" xfId="43" applyNumberFormat="1" applyFont="1" applyFill="1" applyBorder="1"/>
    <xf numFmtId="0" fontId="21" fillId="0" borderId="0" xfId="0" applyFont="1"/>
    <xf numFmtId="0" fontId="33" fillId="0" borderId="0" xfId="0" applyFont="1" applyFill="1" applyBorder="1"/>
    <xf numFmtId="0" fontId="21" fillId="0" borderId="0" xfId="0" applyFont="1" applyFill="1" applyBorder="1" applyAlignment="1">
      <alignment horizontal="left"/>
    </xf>
    <xf numFmtId="0" fontId="22" fillId="0" borderId="11" xfId="0" applyFont="1" applyFill="1" applyBorder="1"/>
    <xf numFmtId="0" fontId="23" fillId="0" borderId="0" xfId="0" applyFont="1" applyFill="1" applyBorder="1" applyAlignment="1">
      <alignment horizontal="center"/>
    </xf>
    <xf numFmtId="43" fontId="21" fillId="0" borderId="0" xfId="44" applyFont="1" applyFill="1" applyBorder="1" applyAlignment="1">
      <alignment horizontal="right"/>
    </xf>
    <xf numFmtId="0" fontId="22" fillId="0" borderId="23" xfId="0" applyFont="1" applyFill="1" applyBorder="1"/>
    <xf numFmtId="49" fontId="21" fillId="0" borderId="0" xfId="0" applyNumberFormat="1" applyFont="1" applyFill="1" applyBorder="1"/>
    <xf numFmtId="0" fontId="30" fillId="0" borderId="0" xfId="0" applyFont="1" applyFill="1" applyBorder="1"/>
    <xf numFmtId="0" fontId="22" fillId="0" borderId="13" xfId="0" applyFont="1" applyFill="1" applyBorder="1"/>
    <xf numFmtId="0" fontId="22" fillId="0" borderId="20" xfId="0" applyFont="1" applyFill="1" applyBorder="1"/>
    <xf numFmtId="0" fontId="22" fillId="0" borderId="20" xfId="0" applyFont="1" applyFill="1" applyBorder="1" applyAlignment="1">
      <alignment horizontal="left"/>
    </xf>
    <xf numFmtId="0" fontId="21" fillId="0" borderId="21" xfId="0" applyFont="1" applyFill="1" applyBorder="1"/>
    <xf numFmtId="0" fontId="21" fillId="0" borderId="22" xfId="0" applyFont="1" applyFill="1" applyBorder="1"/>
    <xf numFmtId="0" fontId="21" fillId="0" borderId="25" xfId="0" applyFont="1" applyFill="1" applyBorder="1"/>
    <xf numFmtId="0" fontId="22" fillId="0" borderId="18" xfId="0" applyFont="1" applyFill="1" applyBorder="1"/>
    <xf numFmtId="0" fontId="22" fillId="0" borderId="35" xfId="0" applyFont="1" applyFill="1" applyBorder="1"/>
    <xf numFmtId="0" fontId="21" fillId="0" borderId="0" xfId="0" applyFont="1" applyFill="1" applyBorder="1" applyAlignment="1"/>
    <xf numFmtId="43" fontId="21" fillId="33" borderId="14" xfId="44" applyFont="1" applyFill="1" applyBorder="1"/>
    <xf numFmtId="168" fontId="21" fillId="0" borderId="14" xfId="44" applyNumberFormat="1" applyFont="1" applyFill="1" applyBorder="1" applyAlignment="1">
      <alignment horizontal="center"/>
    </xf>
    <xf numFmtId="168" fontId="21" fillId="0" borderId="14" xfId="44" applyNumberFormat="1" applyFont="1" applyFill="1" applyBorder="1"/>
    <xf numFmtId="168" fontId="21" fillId="0" borderId="34" xfId="44" applyNumberFormat="1" applyFont="1" applyFill="1" applyBorder="1" applyAlignment="1">
      <alignment horizontal="center"/>
    </xf>
    <xf numFmtId="168" fontId="21" fillId="0" borderId="34" xfId="44" applyNumberFormat="1" applyFont="1" applyFill="1" applyBorder="1"/>
    <xf numFmtId="168" fontId="21" fillId="0" borderId="36" xfId="44" applyNumberFormat="1" applyFont="1" applyFill="1" applyBorder="1"/>
    <xf numFmtId="168" fontId="21" fillId="0" borderId="37" xfId="44" applyNumberFormat="1" applyFont="1" applyFill="1" applyBorder="1"/>
    <xf numFmtId="0" fontId="22" fillId="0" borderId="10" xfId="0" applyFont="1" applyFill="1" applyBorder="1" applyAlignment="1">
      <alignment horizontal="center"/>
    </xf>
    <xf numFmtId="44" fontId="21" fillId="0" borderId="27" xfId="42" applyFont="1" applyFill="1" applyBorder="1"/>
    <xf numFmtId="44" fontId="21" fillId="0" borderId="28" xfId="42" applyFont="1" applyFill="1" applyBorder="1"/>
    <xf numFmtId="41" fontId="22" fillId="0" borderId="12" xfId="45" applyNumberFormat="1" applyFont="1" applyFill="1" applyBorder="1" applyAlignment="1">
      <alignment horizontal="center"/>
    </xf>
    <xf numFmtId="41" fontId="22" fillId="0" borderId="10" xfId="45" applyNumberFormat="1" applyFont="1" applyFill="1" applyBorder="1" applyAlignment="1">
      <alignment horizontal="center"/>
    </xf>
    <xf numFmtId="0" fontId="22" fillId="0" borderId="26" xfId="0" applyFont="1" applyFill="1" applyBorder="1" applyAlignment="1">
      <alignment horizontal="center"/>
    </xf>
    <xf numFmtId="0" fontId="21" fillId="0" borderId="40" xfId="0" applyFont="1" applyFill="1" applyBorder="1"/>
    <xf numFmtId="9" fontId="21" fillId="0" borderId="0" xfId="43" applyFont="1" applyFill="1"/>
    <xf numFmtId="0" fontId="21" fillId="0" borderId="41" xfId="0" applyFont="1" applyFill="1" applyBorder="1"/>
    <xf numFmtId="0" fontId="21" fillId="0" borderId="42" xfId="0" applyFont="1" applyFill="1" applyBorder="1"/>
    <xf numFmtId="10" fontId="21" fillId="0" borderId="33" xfId="43" applyNumberFormat="1" applyFont="1" applyFill="1" applyBorder="1"/>
    <xf numFmtId="10" fontId="21" fillId="0" borderId="14" xfId="43" applyNumberFormat="1" applyFont="1" applyFill="1" applyBorder="1"/>
    <xf numFmtId="10" fontId="21" fillId="0" borderId="34" xfId="43" applyNumberFormat="1" applyFont="1" applyFill="1" applyBorder="1"/>
    <xf numFmtId="10" fontId="21" fillId="0" borderId="35" xfId="43" applyNumberFormat="1" applyFont="1" applyFill="1" applyBorder="1"/>
    <xf numFmtId="10" fontId="21" fillId="0" borderId="36" xfId="43" applyNumberFormat="1" applyFont="1" applyFill="1" applyBorder="1"/>
    <xf numFmtId="10" fontId="21" fillId="0" borderId="37" xfId="43" applyNumberFormat="1" applyFont="1" applyFill="1" applyBorder="1"/>
    <xf numFmtId="44" fontId="21" fillId="0" borderId="33" xfId="42" applyNumberFormat="1" applyFont="1" applyFill="1" applyBorder="1"/>
    <xf numFmtId="44" fontId="21" fillId="0" borderId="14" xfId="42" applyNumberFormat="1" applyFont="1" applyFill="1" applyBorder="1"/>
    <xf numFmtId="44" fontId="21" fillId="0" borderId="34" xfId="42" applyNumberFormat="1" applyFont="1" applyFill="1" applyBorder="1"/>
    <xf numFmtId="44" fontId="21" fillId="0" borderId="35" xfId="42" applyNumberFormat="1" applyFont="1" applyFill="1" applyBorder="1"/>
    <xf numFmtId="44" fontId="21" fillId="0" borderId="36" xfId="42" applyNumberFormat="1" applyFont="1" applyFill="1" applyBorder="1"/>
    <xf numFmtId="44" fontId="21" fillId="0" borderId="37" xfId="42" applyNumberFormat="1" applyFont="1" applyFill="1" applyBorder="1"/>
    <xf numFmtId="0" fontId="21" fillId="0" borderId="23" xfId="0" applyFont="1" applyFill="1" applyBorder="1" applyAlignment="1">
      <alignment horizontal="center"/>
    </xf>
    <xf numFmtId="0" fontId="21" fillId="0" borderId="18" xfId="0" applyFont="1" applyFill="1" applyBorder="1" applyAlignment="1">
      <alignment horizontal="center"/>
    </xf>
    <xf numFmtId="10" fontId="22" fillId="0" borderId="0" xfId="43" applyNumberFormat="1" applyFont="1" applyFill="1" applyBorder="1" applyAlignment="1"/>
    <xf numFmtId="43" fontId="21" fillId="0" borderId="0" xfId="44" applyFont="1" applyFill="1" applyBorder="1" applyAlignment="1">
      <alignment horizontal="center" vertical="center" wrapText="1"/>
    </xf>
    <xf numFmtId="168" fontId="21" fillId="0" borderId="33" xfId="44" applyNumberFormat="1" applyFont="1" applyFill="1" applyBorder="1"/>
    <xf numFmtId="0" fontId="21" fillId="0" borderId="51" xfId="0" applyFont="1" applyFill="1" applyBorder="1"/>
    <xf numFmtId="0" fontId="21" fillId="0" borderId="50" xfId="0" applyFont="1" applyFill="1" applyBorder="1"/>
    <xf numFmtId="0" fontId="21" fillId="0" borderId="39" xfId="0" applyFont="1" applyFill="1" applyBorder="1"/>
    <xf numFmtId="0" fontId="21" fillId="0" borderId="38" xfId="0" applyFont="1" applyFill="1" applyBorder="1"/>
    <xf numFmtId="0" fontId="22" fillId="0" borderId="30" xfId="0" applyFont="1" applyFill="1" applyBorder="1"/>
    <xf numFmtId="14" fontId="21" fillId="0" borderId="31" xfId="0" applyNumberFormat="1" applyFont="1" applyFill="1" applyBorder="1" applyAlignment="1">
      <alignment horizontal="center"/>
    </xf>
    <xf numFmtId="10" fontId="34" fillId="0" borderId="0" xfId="43" applyNumberFormat="1" applyFont="1" applyFill="1" applyBorder="1"/>
    <xf numFmtId="0" fontId="26" fillId="0" borderId="0" xfId="0" applyFont="1" applyFill="1" applyAlignment="1">
      <alignment horizontal="center"/>
    </xf>
    <xf numFmtId="8" fontId="21" fillId="0" borderId="0" xfId="0" applyNumberFormat="1" applyFont="1" applyFill="1" applyBorder="1" applyAlignment="1"/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10" fontId="37" fillId="0" borderId="0" xfId="43" applyNumberFormat="1" applyFont="1" applyFill="1" applyBorder="1" applyAlignment="1"/>
    <xf numFmtId="0" fontId="18" fillId="0" borderId="0" xfId="0" applyFont="1" applyFill="1" applyBorder="1"/>
    <xf numFmtId="10" fontId="37" fillId="0" borderId="0" xfId="43" applyNumberFormat="1" applyFont="1" applyFill="1" applyBorder="1" applyAlignment="1">
      <alignment horizontal="center"/>
    </xf>
    <xf numFmtId="0" fontId="26" fillId="0" borderId="0" xfId="0" applyFont="1" applyFill="1" applyBorder="1"/>
    <xf numFmtId="9" fontId="28" fillId="0" borderId="0" xfId="0" applyNumberFormat="1" applyFont="1" applyFill="1" applyBorder="1"/>
    <xf numFmtId="0" fontId="22" fillId="0" borderId="33" xfId="0" applyFont="1" applyFill="1" applyBorder="1" applyAlignment="1">
      <alignment horizontal="left"/>
    </xf>
    <xf numFmtId="0" fontId="22" fillId="0" borderId="35" xfId="0" applyFont="1" applyFill="1" applyBorder="1" applyAlignment="1">
      <alignment horizontal="left"/>
    </xf>
    <xf numFmtId="0" fontId="22" fillId="0" borderId="48" xfId="0" applyFont="1" applyFill="1" applyBorder="1"/>
    <xf numFmtId="0" fontId="22" fillId="0" borderId="41" xfId="0" applyFont="1" applyFill="1" applyBorder="1"/>
    <xf numFmtId="0" fontId="22" fillId="0" borderId="47" xfId="0" applyFont="1" applyFill="1" applyBorder="1"/>
    <xf numFmtId="0" fontId="22" fillId="0" borderId="54" xfId="0" applyFont="1" applyFill="1" applyBorder="1" applyAlignment="1">
      <alignment vertical="center"/>
    </xf>
    <xf numFmtId="14" fontId="22" fillId="0" borderId="0" xfId="0" applyNumberFormat="1" applyFont="1" applyFill="1" applyBorder="1" applyAlignment="1">
      <alignment horizontal="center"/>
    </xf>
    <xf numFmtId="171" fontId="22" fillId="0" borderId="24" xfId="0" applyNumberFormat="1" applyFont="1" applyFill="1" applyBorder="1" applyAlignment="1">
      <alignment horizontal="right"/>
    </xf>
    <xf numFmtId="170" fontId="22" fillId="0" borderId="25" xfId="0" applyNumberFormat="1" applyFont="1" applyFill="1" applyBorder="1" applyAlignment="1">
      <alignment horizontal="right"/>
    </xf>
    <xf numFmtId="0" fontId="22" fillId="0" borderId="0" xfId="0" applyFont="1" applyFill="1" applyBorder="1" applyAlignment="1">
      <alignment horizontal="left"/>
    </xf>
    <xf numFmtId="10" fontId="22" fillId="0" borderId="0" xfId="43" applyNumberFormat="1" applyFont="1" applyFill="1" applyBorder="1" applyAlignment="1">
      <alignment horizontal="center"/>
    </xf>
    <xf numFmtId="0" fontId="22" fillId="0" borderId="11" xfId="0" applyFont="1" applyFill="1" applyBorder="1" applyAlignment="1">
      <alignment vertical="center"/>
    </xf>
    <xf numFmtId="0" fontId="22" fillId="0" borderId="55" xfId="0" applyFont="1" applyFill="1" applyBorder="1" applyAlignment="1">
      <alignment horizontal="center"/>
    </xf>
    <xf numFmtId="43" fontId="21" fillId="0" borderId="0" xfId="0" applyNumberFormat="1" applyFont="1" applyFill="1" applyBorder="1" applyAlignment="1">
      <alignment horizontal="right"/>
    </xf>
    <xf numFmtId="44" fontId="21" fillId="0" borderId="36" xfId="42" applyFont="1" applyFill="1" applyBorder="1"/>
    <xf numFmtId="168" fontId="41" fillId="0" borderId="0" xfId="47" applyNumberFormat="1" applyFont="1" applyFill="1" applyBorder="1" applyAlignment="1">
      <alignment horizontal="center"/>
    </xf>
    <xf numFmtId="0" fontId="41" fillId="0" borderId="0" xfId="0" applyFont="1" applyFill="1"/>
    <xf numFmtId="0" fontId="18" fillId="0" borderId="0" xfId="0" applyFont="1" applyFill="1"/>
    <xf numFmtId="0" fontId="31" fillId="0" borderId="26" xfId="0" applyFont="1" applyFill="1" applyBorder="1" applyAlignment="1">
      <alignment horizontal="center"/>
    </xf>
    <xf numFmtId="8" fontId="21" fillId="0" borderId="27" xfId="0" applyNumberFormat="1" applyFont="1" applyFill="1" applyBorder="1" applyAlignment="1">
      <alignment horizontal="center"/>
    </xf>
    <xf numFmtId="0" fontId="31" fillId="0" borderId="27" xfId="0" applyFont="1" applyFill="1" applyBorder="1" applyAlignment="1">
      <alignment horizontal="center"/>
    </xf>
    <xf numFmtId="0" fontId="32" fillId="0" borderId="27" xfId="0" applyFont="1" applyFill="1" applyBorder="1" applyAlignment="1">
      <alignment horizontal="center"/>
    </xf>
    <xf numFmtId="10" fontId="37" fillId="0" borderId="28" xfId="43" applyNumberFormat="1" applyFont="1" applyFill="1" applyBorder="1" applyAlignment="1">
      <alignment horizontal="center"/>
    </xf>
    <xf numFmtId="41" fontId="22" fillId="0" borderId="13" xfId="45" applyNumberFormat="1" applyFont="1" applyFill="1" applyBorder="1" applyAlignment="1">
      <alignment horizontal="center"/>
    </xf>
    <xf numFmtId="44" fontId="21" fillId="0" borderId="24" xfId="42" applyFont="1" applyFill="1" applyBorder="1"/>
    <xf numFmtId="44" fontId="29" fillId="0" borderId="24" xfId="42" applyNumberFormat="1" applyFont="1" applyFill="1" applyBorder="1"/>
    <xf numFmtId="10" fontId="21" fillId="0" borderId="10" xfId="0" applyNumberFormat="1" applyFont="1" applyFill="1" applyBorder="1" applyAlignment="1">
      <alignment horizontal="right"/>
    </xf>
    <xf numFmtId="9" fontId="28" fillId="0" borderId="10" xfId="0" applyNumberFormat="1" applyFont="1" applyFill="1" applyBorder="1"/>
    <xf numFmtId="0" fontId="22" fillId="0" borderId="11" xfId="0" applyFont="1" applyFill="1" applyBorder="1" applyAlignment="1">
      <alignment horizontal="center"/>
    </xf>
    <xf numFmtId="0" fontId="22" fillId="0" borderId="12" xfId="0" applyFont="1" applyFill="1" applyBorder="1" applyAlignment="1">
      <alignment horizontal="center"/>
    </xf>
    <xf numFmtId="0" fontId="22" fillId="0" borderId="20" xfId="0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1" fillId="36" borderId="0" xfId="0" applyFont="1" applyFill="1" applyBorder="1"/>
    <xf numFmtId="0" fontId="21" fillId="36" borderId="0" xfId="0" applyFont="1" applyFill="1" applyBorder="1" applyAlignment="1">
      <alignment horizontal="center"/>
    </xf>
    <xf numFmtId="0" fontId="42" fillId="0" borderId="0" xfId="0" applyFont="1" applyFill="1"/>
    <xf numFmtId="168" fontId="44" fillId="0" borderId="0" xfId="47" applyNumberFormat="1" applyFont="1" applyFill="1" applyBorder="1"/>
    <xf numFmtId="168" fontId="44" fillId="0" borderId="26" xfId="47" applyNumberFormat="1" applyFont="1" applyFill="1" applyBorder="1"/>
    <xf numFmtId="168" fontId="44" fillId="0" borderId="28" xfId="47" applyNumberFormat="1" applyFont="1" applyFill="1" applyBorder="1"/>
    <xf numFmtId="168" fontId="43" fillId="0" borderId="10" xfId="47" applyNumberFormat="1" applyFont="1" applyFill="1" applyBorder="1" applyAlignment="1">
      <alignment horizontal="center"/>
    </xf>
    <xf numFmtId="168" fontId="43" fillId="0" borderId="26" xfId="47" applyNumberFormat="1" applyFont="1" applyFill="1" applyBorder="1" applyAlignment="1">
      <alignment horizontal="center"/>
    </xf>
    <xf numFmtId="168" fontId="43" fillId="0" borderId="22" xfId="47" applyNumberFormat="1" applyFont="1" applyFill="1" applyBorder="1" applyAlignment="1">
      <alignment horizontal="center"/>
    </xf>
    <xf numFmtId="168" fontId="44" fillId="0" borderId="23" xfId="47" applyNumberFormat="1" applyFont="1" applyFill="1" applyBorder="1" applyAlignment="1">
      <alignment horizontal="center"/>
    </xf>
    <xf numFmtId="14" fontId="44" fillId="0" borderId="18" xfId="0" applyNumberFormat="1" applyFont="1" applyFill="1" applyBorder="1"/>
    <xf numFmtId="14" fontId="44" fillId="0" borderId="42" xfId="0" applyNumberFormat="1" applyFont="1" applyFill="1" applyBorder="1"/>
    <xf numFmtId="168" fontId="44" fillId="0" borderId="0" xfId="47" applyNumberFormat="1" applyFont="1" applyFill="1" applyBorder="1" applyAlignment="1">
      <alignment horizontal="center"/>
    </xf>
    <xf numFmtId="168" fontId="44" fillId="0" borderId="24" xfId="47" applyNumberFormat="1" applyFont="1" applyFill="1" applyBorder="1" applyAlignment="1">
      <alignment horizontal="center"/>
    </xf>
    <xf numFmtId="168" fontId="42" fillId="0" borderId="26" xfId="47" applyNumberFormat="1" applyFont="1" applyFill="1" applyBorder="1"/>
    <xf numFmtId="168" fontId="44" fillId="0" borderId="20" xfId="47" applyNumberFormat="1" applyFont="1" applyFill="1" applyBorder="1" applyAlignment="1">
      <alignment horizontal="right"/>
    </xf>
    <xf numFmtId="168" fontId="44" fillId="0" borderId="21" xfId="47" applyNumberFormat="1" applyFont="1" applyFill="1" applyBorder="1" applyAlignment="1">
      <alignment horizontal="right"/>
    </xf>
    <xf numFmtId="168" fontId="44" fillId="0" borderId="22" xfId="47" applyNumberFormat="1" applyFont="1" applyFill="1" applyBorder="1" applyAlignment="1">
      <alignment horizontal="right"/>
    </xf>
    <xf numFmtId="168" fontId="44" fillId="0" borderId="20" xfId="47" applyNumberFormat="1" applyFont="1" applyFill="1" applyBorder="1"/>
    <xf numFmtId="168" fontId="44" fillId="0" borderId="21" xfId="47" applyNumberFormat="1" applyFont="1" applyFill="1" applyBorder="1"/>
    <xf numFmtId="168" fontId="44" fillId="0" borderId="22" xfId="47" applyNumberFormat="1" applyFont="1" applyFill="1" applyBorder="1"/>
    <xf numFmtId="168" fontId="44" fillId="0" borderId="27" xfId="47" applyNumberFormat="1" applyFont="1" applyFill="1" applyBorder="1"/>
    <xf numFmtId="168" fontId="44" fillId="0" borderId="23" xfId="47" applyNumberFormat="1" applyFont="1" applyFill="1" applyBorder="1" applyAlignment="1">
      <alignment horizontal="right"/>
    </xf>
    <xf numFmtId="168" fontId="44" fillId="0" borderId="0" xfId="47" applyNumberFormat="1" applyFont="1" applyFill="1" applyBorder="1" applyAlignment="1">
      <alignment horizontal="right"/>
    </xf>
    <xf numFmtId="168" fontId="44" fillId="0" borderId="24" xfId="47" applyNumberFormat="1" applyFont="1" applyFill="1" applyBorder="1" applyAlignment="1">
      <alignment horizontal="right"/>
    </xf>
    <xf numFmtId="168" fontId="44" fillId="0" borderId="23" xfId="47" applyNumberFormat="1" applyFont="1" applyFill="1" applyBorder="1"/>
    <xf numFmtId="168" fontId="44" fillId="0" borderId="24" xfId="47" applyNumberFormat="1" applyFont="1" applyFill="1" applyBorder="1"/>
    <xf numFmtId="168" fontId="46" fillId="0" borderId="27" xfId="47" applyNumberFormat="1" applyFont="1" applyFill="1" applyBorder="1"/>
    <xf numFmtId="0" fontId="43" fillId="0" borderId="26" xfId="46" applyFont="1" applyFill="1" applyBorder="1" applyAlignment="1">
      <alignment horizontal="left" vertical="top" wrapText="1" indent="1"/>
    </xf>
    <xf numFmtId="0" fontId="42" fillId="0" borderId="27" xfId="46" applyFont="1" applyFill="1" applyBorder="1" applyAlignment="1">
      <alignment horizontal="left" vertical="center" wrapText="1" indent="3"/>
    </xf>
    <xf numFmtId="168" fontId="42" fillId="0" borderId="23" xfId="47" applyNumberFormat="1" applyFont="1" applyFill="1" applyBorder="1" applyAlignment="1">
      <alignment horizontal="right"/>
    </xf>
    <xf numFmtId="10" fontId="42" fillId="0" borderId="0" xfId="43" applyNumberFormat="1" applyFont="1" applyFill="1" applyBorder="1" applyAlignment="1">
      <alignment horizontal="right"/>
    </xf>
    <xf numFmtId="10" fontId="42" fillId="0" borderId="24" xfId="43" applyNumberFormat="1" applyFont="1" applyFill="1" applyBorder="1" applyAlignment="1">
      <alignment horizontal="right"/>
    </xf>
    <xf numFmtId="10" fontId="42" fillId="0" borderId="23" xfId="43" applyNumberFormat="1" applyFont="1" applyFill="1" applyBorder="1"/>
    <xf numFmtId="10" fontId="42" fillId="0" borderId="0" xfId="43" applyNumberFormat="1" applyFont="1" applyFill="1" applyBorder="1"/>
    <xf numFmtId="10" fontId="42" fillId="0" borderId="24" xfId="43" applyNumberFormat="1" applyFont="1" applyFill="1" applyBorder="1"/>
    <xf numFmtId="168" fontId="42" fillId="0" borderId="0" xfId="47" applyNumberFormat="1" applyFont="1" applyFill="1" applyBorder="1"/>
    <xf numFmtId="168" fontId="42" fillId="0" borderId="23" xfId="47" applyNumberFormat="1" applyFont="1" applyFill="1" applyBorder="1"/>
    <xf numFmtId="168" fontId="42" fillId="0" borderId="24" xfId="47" applyNumberFormat="1" applyFont="1" applyFill="1" applyBorder="1"/>
    <xf numFmtId="0" fontId="47" fillId="0" borderId="27" xfId="46" applyFont="1" applyFill="1" applyBorder="1" applyAlignment="1">
      <alignment vertical="center" wrapText="1"/>
    </xf>
    <xf numFmtId="0" fontId="44" fillId="0" borderId="27" xfId="46" applyFont="1" applyFill="1" applyBorder="1" applyAlignment="1">
      <alignment horizontal="left" vertical="top" wrapText="1" indent="1"/>
    </xf>
    <xf numFmtId="168" fontId="44" fillId="0" borderId="48" xfId="47" applyNumberFormat="1" applyFont="1" applyFill="1" applyBorder="1" applyAlignment="1">
      <alignment horizontal="right"/>
    </xf>
    <xf numFmtId="168" fontId="43" fillId="0" borderId="0" xfId="47" applyNumberFormat="1" applyFont="1" applyFill="1" applyBorder="1"/>
    <xf numFmtId="0" fontId="43" fillId="0" borderId="39" xfId="46" applyFont="1" applyFill="1" applyBorder="1" applyAlignment="1">
      <alignment vertical="top" wrapText="1"/>
    </xf>
    <xf numFmtId="168" fontId="43" fillId="0" borderId="23" xfId="47" applyNumberFormat="1" applyFont="1" applyFill="1" applyBorder="1" applyAlignment="1">
      <alignment horizontal="right"/>
    </xf>
    <xf numFmtId="168" fontId="43" fillId="0" borderId="43" xfId="47" applyNumberFormat="1" applyFont="1" applyFill="1" applyBorder="1" applyAlignment="1">
      <alignment horizontal="right"/>
    </xf>
    <xf numFmtId="168" fontId="43" fillId="0" borderId="49" xfId="47" applyNumberFormat="1" applyFont="1" applyFill="1" applyBorder="1" applyAlignment="1">
      <alignment horizontal="right"/>
    </xf>
    <xf numFmtId="168" fontId="43" fillId="0" borderId="23" xfId="47" applyNumberFormat="1" applyFont="1" applyFill="1" applyBorder="1"/>
    <xf numFmtId="168" fontId="43" fillId="0" borderId="24" xfId="47" applyNumberFormat="1" applyFont="1" applyFill="1" applyBorder="1"/>
    <xf numFmtId="0" fontId="43" fillId="0" borderId="27" xfId="46" applyFont="1" applyFill="1" applyBorder="1" applyAlignment="1">
      <alignment vertical="top" wrapText="1"/>
    </xf>
    <xf numFmtId="10" fontId="42" fillId="0" borderId="23" xfId="43" applyNumberFormat="1" applyFont="1" applyFill="1" applyBorder="1" applyAlignment="1">
      <alignment horizontal="right"/>
    </xf>
    <xf numFmtId="0" fontId="43" fillId="0" borderId="27" xfId="46" applyFont="1" applyFill="1" applyBorder="1" applyAlignment="1">
      <alignment horizontal="left" vertical="top" wrapText="1"/>
    </xf>
    <xf numFmtId="168" fontId="43" fillId="0" borderId="0" xfId="47" applyNumberFormat="1" applyFont="1" applyFill="1" applyBorder="1" applyAlignment="1">
      <alignment horizontal="right"/>
    </xf>
    <xf numFmtId="168" fontId="43" fillId="0" borderId="24" xfId="47" applyNumberFormat="1" applyFont="1" applyFill="1" applyBorder="1" applyAlignment="1">
      <alignment horizontal="right"/>
    </xf>
    <xf numFmtId="168" fontId="42" fillId="0" borderId="48" xfId="47" applyNumberFormat="1" applyFont="1" applyFill="1" applyBorder="1" applyAlignment="1">
      <alignment horizontal="right"/>
    </xf>
    <xf numFmtId="0" fontId="43" fillId="0" borderId="46" xfId="46" applyFont="1" applyFill="1" applyBorder="1" applyAlignment="1">
      <alignment vertical="top" wrapText="1"/>
    </xf>
    <xf numFmtId="168" fontId="43" fillId="0" borderId="48" xfId="47" applyNumberFormat="1" applyFont="1" applyFill="1" applyBorder="1" applyAlignment="1">
      <alignment horizontal="right"/>
    </xf>
    <xf numFmtId="168" fontId="43" fillId="0" borderId="15" xfId="47" applyNumberFormat="1" applyFont="1" applyFill="1" applyBorder="1" applyAlignment="1">
      <alignment horizontal="right"/>
    </xf>
    <xf numFmtId="168" fontId="43" fillId="0" borderId="52" xfId="47" applyNumberFormat="1" applyFont="1" applyFill="1" applyBorder="1" applyAlignment="1">
      <alignment horizontal="right"/>
    </xf>
    <xf numFmtId="168" fontId="44" fillId="0" borderId="23" xfId="44" applyNumberFormat="1" applyFont="1" applyFill="1" applyBorder="1" applyAlignment="1">
      <alignment horizontal="right"/>
    </xf>
    <xf numFmtId="168" fontId="44" fillId="0" borderId="0" xfId="44" applyNumberFormat="1" applyFont="1" applyFill="1" applyBorder="1" applyAlignment="1">
      <alignment horizontal="right"/>
    </xf>
    <xf numFmtId="168" fontId="44" fillId="0" borderId="24" xfId="44" applyNumberFormat="1" applyFont="1" applyFill="1" applyBorder="1" applyAlignment="1">
      <alignment horizontal="right"/>
    </xf>
    <xf numFmtId="44" fontId="44" fillId="0" borderId="23" xfId="42" applyFont="1" applyFill="1" applyBorder="1" applyAlignment="1">
      <alignment horizontal="right"/>
    </xf>
    <xf numFmtId="44" fontId="44" fillId="0" borderId="0" xfId="42" applyFont="1" applyFill="1" applyBorder="1" applyAlignment="1">
      <alignment horizontal="right"/>
    </xf>
    <xf numFmtId="44" fontId="44" fillId="0" borderId="24" xfId="42" applyFont="1" applyFill="1" applyBorder="1" applyAlignment="1">
      <alignment horizontal="right"/>
    </xf>
    <xf numFmtId="43" fontId="44" fillId="0" borderId="23" xfId="47" applyFont="1" applyFill="1" applyBorder="1" applyAlignment="1">
      <alignment horizontal="right"/>
    </xf>
    <xf numFmtId="43" fontId="44" fillId="0" borderId="0" xfId="47" applyFont="1" applyFill="1" applyBorder="1" applyAlignment="1">
      <alignment horizontal="right"/>
    </xf>
    <xf numFmtId="43" fontId="44" fillId="0" borderId="24" xfId="47" applyFont="1" applyFill="1" applyBorder="1" applyAlignment="1">
      <alignment horizontal="right"/>
    </xf>
    <xf numFmtId="0" fontId="43" fillId="0" borderId="27" xfId="46" applyFont="1" applyFill="1" applyBorder="1" applyAlignment="1">
      <alignment vertical="center" wrapText="1"/>
    </xf>
    <xf numFmtId="0" fontId="47" fillId="0" borderId="27" xfId="46" applyFont="1" applyFill="1" applyBorder="1" applyAlignment="1">
      <alignment vertical="top" wrapText="1"/>
    </xf>
    <xf numFmtId="0" fontId="44" fillId="0" borderId="28" xfId="46" applyFont="1" applyFill="1" applyBorder="1" applyAlignment="1">
      <alignment horizontal="left" vertical="top" wrapText="1" indent="1"/>
    </xf>
    <xf numFmtId="44" fontId="44" fillId="0" borderId="18" xfId="42" applyFont="1" applyFill="1" applyBorder="1" applyAlignment="1">
      <alignment horizontal="right"/>
    </xf>
    <xf numFmtId="44" fontId="44" fillId="0" borderId="19" xfId="42" applyFont="1" applyFill="1" applyBorder="1" applyAlignment="1">
      <alignment horizontal="right"/>
    </xf>
    <xf numFmtId="44" fontId="44" fillId="0" borderId="25" xfId="42" applyFont="1" applyFill="1" applyBorder="1" applyAlignment="1">
      <alignment horizontal="right"/>
    </xf>
    <xf numFmtId="168" fontId="44" fillId="0" borderId="18" xfId="47" applyNumberFormat="1" applyFont="1" applyFill="1" applyBorder="1"/>
    <xf numFmtId="168" fontId="44" fillId="0" borderId="19" xfId="47" applyNumberFormat="1" applyFont="1" applyFill="1" applyBorder="1"/>
    <xf numFmtId="168" fontId="44" fillId="0" borderId="25" xfId="47" applyNumberFormat="1" applyFont="1" applyFill="1" applyBorder="1"/>
    <xf numFmtId="168" fontId="46" fillId="0" borderId="0" xfId="47" applyNumberFormat="1" applyFont="1" applyFill="1" applyBorder="1"/>
    <xf numFmtId="168" fontId="46" fillId="0" borderId="19" xfId="47" applyNumberFormat="1" applyFont="1" applyFill="1" applyBorder="1"/>
    <xf numFmtId="168" fontId="42" fillId="0" borderId="20" xfId="47" applyNumberFormat="1" applyFont="1" applyFill="1" applyBorder="1"/>
    <xf numFmtId="168" fontId="46" fillId="0" borderId="23" xfId="47" applyNumberFormat="1" applyFont="1" applyFill="1" applyBorder="1"/>
    <xf numFmtId="168" fontId="44" fillId="0" borderId="23" xfId="47" applyNumberFormat="1" applyFont="1" applyFill="1" applyBorder="1" applyAlignment="1">
      <alignment horizontal="left" indent="1"/>
    </xf>
    <xf numFmtId="168" fontId="43" fillId="0" borderId="47" xfId="47" applyNumberFormat="1" applyFont="1" applyFill="1" applyBorder="1"/>
    <xf numFmtId="0" fontId="44" fillId="0" borderId="23" xfId="46" applyFont="1" applyFill="1" applyBorder="1" applyAlignment="1">
      <alignment horizontal="left" vertical="top" wrapText="1" indent="1"/>
    </xf>
    <xf numFmtId="168" fontId="43" fillId="0" borderId="47" xfId="47" applyNumberFormat="1" applyFont="1" applyFill="1" applyBorder="1" applyAlignment="1">
      <alignment horizontal="left"/>
    </xf>
    <xf numFmtId="168" fontId="43" fillId="0" borderId="23" xfId="47" applyNumberFormat="1" applyFont="1" applyFill="1" applyBorder="1" applyAlignment="1">
      <alignment horizontal="left"/>
    </xf>
    <xf numFmtId="0" fontId="43" fillId="0" borderId="47" xfId="46" applyFont="1" applyFill="1" applyBorder="1" applyAlignment="1">
      <alignment vertical="top" wrapText="1"/>
    </xf>
    <xf numFmtId="0" fontId="44" fillId="0" borderId="18" xfId="46" applyFont="1" applyFill="1" applyBorder="1" applyAlignment="1">
      <alignment horizontal="left" vertical="top" wrapText="1" indent="1"/>
    </xf>
    <xf numFmtId="168" fontId="44" fillId="0" borderId="18" xfId="47" applyNumberFormat="1" applyFont="1" applyFill="1" applyBorder="1" applyAlignment="1">
      <alignment horizontal="right"/>
    </xf>
    <xf numFmtId="168" fontId="44" fillId="0" borderId="19" xfId="47" applyNumberFormat="1" applyFont="1" applyFill="1" applyBorder="1" applyAlignment="1">
      <alignment horizontal="right"/>
    </xf>
    <xf numFmtId="168" fontId="44" fillId="0" borderId="25" xfId="47" applyNumberFormat="1" applyFont="1" applyFill="1" applyBorder="1" applyAlignment="1">
      <alignment horizontal="right"/>
    </xf>
    <xf numFmtId="0" fontId="47" fillId="0" borderId="23" xfId="46" applyFont="1" applyFill="1" applyBorder="1" applyAlignment="1">
      <alignment vertical="center" wrapText="1"/>
    </xf>
    <xf numFmtId="0" fontId="43" fillId="0" borderId="23" xfId="46" applyFont="1" applyFill="1" applyBorder="1" applyAlignment="1">
      <alignment vertical="top" wrapText="1"/>
    </xf>
    <xf numFmtId="0" fontId="47" fillId="0" borderId="23" xfId="46" applyFont="1" applyFill="1" applyBorder="1" applyAlignment="1">
      <alignment vertical="top" wrapText="1"/>
    </xf>
    <xf numFmtId="168" fontId="43" fillId="0" borderId="21" xfId="47" applyNumberFormat="1" applyFont="1" applyFill="1" applyBorder="1" applyAlignment="1">
      <alignment horizontal="center"/>
    </xf>
    <xf numFmtId="168" fontId="44" fillId="0" borderId="54" xfId="47" applyNumberFormat="1" applyFont="1" applyFill="1" applyBorder="1" applyAlignment="1">
      <alignment horizontal="center"/>
    </xf>
    <xf numFmtId="168" fontId="41" fillId="0" borderId="55" xfId="47" applyNumberFormat="1" applyFont="1" applyFill="1" applyBorder="1" applyAlignment="1">
      <alignment horizontal="center"/>
    </xf>
    <xf numFmtId="168" fontId="41" fillId="0" borderId="56" xfId="47" applyNumberFormat="1" applyFont="1" applyFill="1" applyBorder="1" applyAlignment="1">
      <alignment horizontal="center"/>
    </xf>
    <xf numFmtId="0" fontId="38" fillId="0" borderId="20" xfId="0" applyFont="1" applyFill="1" applyBorder="1"/>
    <xf numFmtId="0" fontId="38" fillId="0" borderId="23" xfId="0" applyFont="1" applyFill="1" applyBorder="1"/>
    <xf numFmtId="0" fontId="38" fillId="0" borderId="23" xfId="0" applyFont="1" applyFill="1" applyBorder="1" applyAlignment="1">
      <alignment horizontal="left"/>
    </xf>
    <xf numFmtId="10" fontId="39" fillId="0" borderId="29" xfId="43" applyNumberFormat="1" applyFont="1" applyFill="1" applyBorder="1" applyAlignment="1"/>
    <xf numFmtId="10" fontId="39" fillId="0" borderId="45" xfId="43" applyNumberFormat="1" applyFont="1" applyFill="1" applyBorder="1" applyAlignment="1"/>
    <xf numFmtId="0" fontId="38" fillId="0" borderId="18" xfId="0" applyFont="1" applyFill="1" applyBorder="1" applyAlignment="1">
      <alignment horizontal="left"/>
    </xf>
    <xf numFmtId="10" fontId="39" fillId="0" borderId="44" xfId="43" applyNumberFormat="1" applyFont="1" applyFill="1" applyBorder="1" applyAlignment="1"/>
    <xf numFmtId="169" fontId="39" fillId="0" borderId="29" xfId="44" applyNumberFormat="1" applyFont="1" applyFill="1" applyBorder="1" applyAlignment="1"/>
    <xf numFmtId="169" fontId="40" fillId="0" borderId="29" xfId="44" applyNumberFormat="1" applyFont="1" applyFill="1" applyBorder="1" applyAlignment="1"/>
    <xf numFmtId="0" fontId="38" fillId="0" borderId="20" xfId="0" applyFont="1" applyFill="1" applyBorder="1" applyAlignment="1">
      <alignment horizontal="left"/>
    </xf>
    <xf numFmtId="0" fontId="38" fillId="0" borderId="11" xfId="0" applyFont="1" applyFill="1" applyBorder="1"/>
    <xf numFmtId="10" fontId="38" fillId="0" borderId="13" xfId="43" applyNumberFormat="1" applyFont="1" applyFill="1" applyBorder="1" applyAlignment="1"/>
    <xf numFmtId="14" fontId="22" fillId="0" borderId="10" xfId="0" applyNumberFormat="1" applyFont="1" applyFill="1" applyBorder="1" applyAlignment="1">
      <alignment horizontal="center"/>
    </xf>
    <xf numFmtId="0" fontId="22" fillId="34" borderId="26" xfId="0" applyFont="1" applyFill="1" applyBorder="1" applyAlignment="1">
      <alignment horizontal="center"/>
    </xf>
    <xf numFmtId="8" fontId="22" fillId="34" borderId="28" xfId="44" applyNumberFormat="1" applyFont="1" applyFill="1" applyBorder="1" applyAlignment="1">
      <alignment horizontal="center"/>
    </xf>
    <xf numFmtId="0" fontId="22" fillId="34" borderId="55" xfId="0" applyFont="1" applyFill="1" applyBorder="1" applyAlignment="1">
      <alignment horizontal="center"/>
    </xf>
    <xf numFmtId="169" fontId="21" fillId="34" borderId="17" xfId="44" applyNumberFormat="1" applyFont="1" applyFill="1" applyBorder="1" applyAlignment="1">
      <alignment horizontal="right"/>
    </xf>
    <xf numFmtId="169" fontId="21" fillId="34" borderId="14" xfId="44" applyNumberFormat="1" applyFont="1" applyFill="1" applyBorder="1" applyAlignment="1">
      <alignment horizontal="right"/>
    </xf>
    <xf numFmtId="169" fontId="21" fillId="34" borderId="16" xfId="44" applyNumberFormat="1" applyFont="1" applyFill="1" applyBorder="1" applyAlignment="1">
      <alignment horizontal="right"/>
    </xf>
    <xf numFmtId="0" fontId="21" fillId="0" borderId="23" xfId="0" applyFont="1" applyFill="1" applyBorder="1"/>
    <xf numFmtId="10" fontId="21" fillId="0" borderId="0" xfId="43" applyNumberFormat="1" applyFont="1" applyFill="1" applyBorder="1" applyAlignment="1">
      <alignment horizontal="right"/>
    </xf>
    <xf numFmtId="10" fontId="22" fillId="0" borderId="0" xfId="43" applyNumberFormat="1" applyFont="1" applyFill="1" applyBorder="1" applyAlignment="1">
      <alignment horizontal="right"/>
    </xf>
    <xf numFmtId="2" fontId="21" fillId="0" borderId="0" xfId="0" applyNumberFormat="1" applyFont="1" applyFill="1" applyBorder="1" applyAlignment="1">
      <alignment horizontal="right"/>
    </xf>
    <xf numFmtId="44" fontId="21" fillId="0" borderId="0" xfId="0" applyNumberFormat="1" applyFont="1" applyFill="1" applyBorder="1" applyAlignment="1">
      <alignment horizontal="right"/>
    </xf>
    <xf numFmtId="44" fontId="21" fillId="0" borderId="24" xfId="0" applyNumberFormat="1" applyFont="1" applyFill="1" applyBorder="1" applyAlignment="1">
      <alignment horizontal="right"/>
    </xf>
    <xf numFmtId="0" fontId="21" fillId="0" borderId="19" xfId="0" applyFont="1" applyFill="1" applyBorder="1" applyAlignment="1">
      <alignment horizontal="right"/>
    </xf>
    <xf numFmtId="10" fontId="22" fillId="0" borderId="19" xfId="43" applyNumberFormat="1" applyFont="1" applyFill="1" applyBorder="1" applyAlignment="1">
      <alignment horizontal="right"/>
    </xf>
    <xf numFmtId="0" fontId="21" fillId="0" borderId="25" xfId="0" applyFont="1" applyFill="1" applyBorder="1" applyAlignment="1">
      <alignment horizontal="right"/>
    </xf>
    <xf numFmtId="10" fontId="22" fillId="0" borderId="0" xfId="43" applyNumberFormat="1" applyFont="1" applyFill="1" applyBorder="1"/>
    <xf numFmtId="0" fontId="21" fillId="0" borderId="0" xfId="0" applyFont="1" applyFill="1" applyBorder="1" applyAlignment="1">
      <alignment horizontal="right"/>
    </xf>
    <xf numFmtId="44" fontId="21" fillId="0" borderId="0" xfId="42" applyFont="1" applyFill="1" applyBorder="1" applyAlignment="1">
      <alignment horizontal="right"/>
    </xf>
    <xf numFmtId="0" fontId="21" fillId="0" borderId="24" xfId="0" applyFont="1" applyFill="1" applyBorder="1" applyAlignment="1">
      <alignment horizontal="right"/>
    </xf>
    <xf numFmtId="8" fontId="21" fillId="0" borderId="0" xfId="0" applyNumberFormat="1" applyFont="1" applyFill="1" applyBorder="1" applyAlignment="1">
      <alignment horizontal="right"/>
    </xf>
    <xf numFmtId="8" fontId="21" fillId="0" borderId="24" xfId="0" applyNumberFormat="1" applyFont="1" applyFill="1" applyBorder="1" applyAlignment="1">
      <alignment horizontal="right"/>
    </xf>
    <xf numFmtId="8" fontId="21" fillId="0" borderId="19" xfId="0" applyNumberFormat="1" applyFont="1" applyFill="1" applyBorder="1" applyAlignment="1">
      <alignment horizontal="right"/>
    </xf>
    <xf numFmtId="8" fontId="21" fillId="0" borderId="25" xfId="0" applyNumberFormat="1" applyFont="1" applyFill="1" applyBorder="1" applyAlignment="1">
      <alignment horizontal="right"/>
    </xf>
    <xf numFmtId="8" fontId="21" fillId="0" borderId="0" xfId="0" applyNumberFormat="1" applyFont="1" applyFill="1" applyBorder="1"/>
    <xf numFmtId="8" fontId="21" fillId="0" borderId="22" xfId="0" applyNumberFormat="1" applyFont="1" applyFill="1" applyBorder="1" applyAlignment="1">
      <alignment horizontal="right"/>
    </xf>
    <xf numFmtId="8" fontId="22" fillId="0" borderId="24" xfId="0" applyNumberFormat="1" applyFont="1" applyFill="1" applyBorder="1" applyAlignment="1">
      <alignment horizontal="right"/>
    </xf>
    <xf numFmtId="1" fontId="22" fillId="0" borderId="13" xfId="0" applyNumberFormat="1" applyFont="1" applyFill="1" applyBorder="1"/>
    <xf numFmtId="44" fontId="22" fillId="0" borderId="25" xfId="0" applyNumberFormat="1" applyFont="1" applyFill="1" applyBorder="1" applyAlignment="1">
      <alignment horizontal="right"/>
    </xf>
    <xf numFmtId="0" fontId="21" fillId="0" borderId="12" xfId="0" applyFont="1" applyFill="1" applyBorder="1"/>
    <xf numFmtId="44" fontId="21" fillId="0" borderId="12" xfId="0" applyNumberFormat="1" applyFont="1" applyFill="1" applyBorder="1" applyAlignment="1">
      <alignment horizontal="right"/>
    </xf>
    <xf numFmtId="44" fontId="21" fillId="0" borderId="13" xfId="0" applyNumberFormat="1" applyFont="1" applyFill="1" applyBorder="1" applyAlignment="1">
      <alignment horizontal="right"/>
    </xf>
    <xf numFmtId="10" fontId="21" fillId="0" borderId="14" xfId="44" applyNumberFormat="1" applyFont="1" applyFill="1" applyBorder="1"/>
    <xf numFmtId="10" fontId="21" fillId="0" borderId="34" xfId="44" applyNumberFormat="1" applyFont="1" applyFill="1" applyBorder="1"/>
    <xf numFmtId="43" fontId="21" fillId="0" borderId="14" xfId="44" applyFont="1" applyFill="1" applyBorder="1"/>
    <xf numFmtId="43" fontId="21" fillId="0" borderId="34" xfId="44" applyFont="1" applyFill="1" applyBorder="1"/>
    <xf numFmtId="43" fontId="21" fillId="0" borderId="14" xfId="44" applyNumberFormat="1" applyFont="1" applyFill="1" applyBorder="1"/>
    <xf numFmtId="43" fontId="21" fillId="0" borderId="34" xfId="44" applyNumberFormat="1" applyFont="1" applyFill="1" applyBorder="1"/>
    <xf numFmtId="43" fontId="21" fillId="0" borderId="36" xfId="44" applyFont="1" applyFill="1" applyBorder="1"/>
    <xf numFmtId="43" fontId="21" fillId="0" borderId="37" xfId="44" applyFont="1" applyFill="1" applyBorder="1"/>
    <xf numFmtId="43" fontId="21" fillId="0" borderId="37" xfId="44" applyNumberFormat="1" applyFont="1" applyFill="1" applyBorder="1"/>
    <xf numFmtId="44" fontId="21" fillId="0" borderId="14" xfId="42" applyFont="1" applyFill="1" applyBorder="1"/>
    <xf numFmtId="44" fontId="21" fillId="0" borderId="34" xfId="42" applyFont="1" applyFill="1" applyBorder="1"/>
    <xf numFmtId="10" fontId="21" fillId="34" borderId="14" xfId="0" applyNumberFormat="1" applyFont="1" applyFill="1" applyBorder="1"/>
    <xf numFmtId="168" fontId="21" fillId="0" borderId="58" xfId="44" applyNumberFormat="1" applyFont="1" applyFill="1" applyBorder="1"/>
    <xf numFmtId="43" fontId="21" fillId="0" borderId="58" xfId="44" applyFont="1" applyFill="1" applyBorder="1"/>
    <xf numFmtId="44" fontId="21" fillId="0" borderId="58" xfId="42" applyFont="1" applyFill="1" applyBorder="1"/>
    <xf numFmtId="44" fontId="21" fillId="0" borderId="59" xfId="42" applyFont="1" applyFill="1" applyBorder="1"/>
    <xf numFmtId="44" fontId="21" fillId="0" borderId="16" xfId="42" applyFont="1" applyFill="1" applyBorder="1"/>
    <xf numFmtId="44" fontId="21" fillId="0" borderId="53" xfId="42" applyFont="1" applyFill="1" applyBorder="1"/>
    <xf numFmtId="44" fontId="21" fillId="0" borderId="60" xfId="42" applyFont="1" applyFill="1" applyBorder="1"/>
    <xf numFmtId="44" fontId="21" fillId="0" borderId="37" xfId="42" applyFont="1" applyFill="1" applyBorder="1"/>
    <xf numFmtId="0" fontId="22" fillId="0" borderId="14" xfId="0" applyFont="1" applyFill="1" applyBorder="1" applyAlignment="1">
      <alignment horizontal="center"/>
    </xf>
    <xf numFmtId="0" fontId="22" fillId="0" borderId="34" xfId="0" applyFont="1" applyFill="1" applyBorder="1" applyAlignment="1">
      <alignment horizontal="center"/>
    </xf>
    <xf numFmtId="10" fontId="21" fillId="0" borderId="36" xfId="43" applyNumberFormat="1" applyFont="1" applyFill="1" applyBorder="1" applyAlignment="1">
      <alignment horizontal="center"/>
    </xf>
    <xf numFmtId="10" fontId="21" fillId="34" borderId="37" xfId="43" applyNumberFormat="1" applyFont="1" applyFill="1" applyBorder="1" applyAlignment="1">
      <alignment horizontal="center"/>
    </xf>
    <xf numFmtId="2" fontId="39" fillId="34" borderId="45" xfId="0" applyNumberFormat="1" applyFont="1" applyFill="1" applyBorder="1" applyAlignment="1"/>
    <xf numFmtId="10" fontId="39" fillId="34" borderId="29" xfId="43" applyNumberFormat="1" applyFont="1" applyFill="1" applyBorder="1" applyAlignment="1"/>
    <xf numFmtId="168" fontId="21" fillId="0" borderId="62" xfId="44" applyNumberFormat="1" applyFont="1" applyFill="1" applyBorder="1"/>
    <xf numFmtId="168" fontId="21" fillId="0" borderId="17" xfId="44" applyNumberFormat="1" applyFont="1" applyFill="1" applyBorder="1"/>
    <xf numFmtId="168" fontId="21" fillId="0" borderId="57" xfId="44" applyNumberFormat="1" applyFont="1" applyFill="1" applyBorder="1"/>
    <xf numFmtId="0" fontId="22" fillId="0" borderId="54" xfId="0" applyFont="1" applyFill="1" applyBorder="1" applyAlignment="1">
      <alignment horizontal="center"/>
    </xf>
    <xf numFmtId="0" fontId="22" fillId="0" borderId="56" xfId="0" applyFont="1" applyFill="1" applyBorder="1" applyAlignment="1">
      <alignment horizontal="center"/>
    </xf>
    <xf numFmtId="10" fontId="21" fillId="0" borderId="65" xfId="43" applyNumberFormat="1" applyFont="1" applyFill="1" applyBorder="1"/>
    <xf numFmtId="10" fontId="21" fillId="0" borderId="17" xfId="43" applyNumberFormat="1" applyFont="1" applyFill="1" applyBorder="1"/>
    <xf numFmtId="10" fontId="21" fillId="0" borderId="57" xfId="43" applyNumberFormat="1" applyFont="1" applyFill="1" applyBorder="1"/>
    <xf numFmtId="168" fontId="21" fillId="0" borderId="65" xfId="44" applyNumberFormat="1" applyFont="1" applyFill="1" applyBorder="1"/>
    <xf numFmtId="10" fontId="22" fillId="0" borderId="50" xfId="43" applyNumberFormat="1" applyFont="1" applyFill="1" applyBorder="1"/>
    <xf numFmtId="10" fontId="22" fillId="0" borderId="38" xfId="43" applyNumberFormat="1" applyFont="1" applyFill="1" applyBorder="1"/>
    <xf numFmtId="10" fontId="22" fillId="0" borderId="46" xfId="43" applyNumberFormat="1" applyFont="1" applyFill="1" applyBorder="1"/>
    <xf numFmtId="0" fontId="21" fillId="34" borderId="20" xfId="0" applyFont="1" applyFill="1" applyBorder="1"/>
    <xf numFmtId="0" fontId="21" fillId="34" borderId="21" xfId="0" applyFont="1" applyFill="1" applyBorder="1"/>
    <xf numFmtId="165" fontId="21" fillId="34" borderId="31" xfId="43" applyNumberFormat="1" applyFont="1" applyFill="1" applyBorder="1"/>
    <xf numFmtId="0" fontId="22" fillId="34" borderId="21" xfId="0" applyFont="1" applyFill="1" applyBorder="1" applyAlignment="1">
      <alignment horizontal="right"/>
    </xf>
    <xf numFmtId="0" fontId="22" fillId="34" borderId="21" xfId="0" applyFont="1" applyFill="1" applyBorder="1"/>
    <xf numFmtId="0" fontId="22" fillId="34" borderId="22" xfId="0" applyFont="1" applyFill="1" applyBorder="1"/>
    <xf numFmtId="0" fontId="22" fillId="34" borderId="12" xfId="0" applyFont="1" applyFill="1" applyBorder="1"/>
    <xf numFmtId="0" fontId="21" fillId="34" borderId="12" xfId="0" applyFont="1" applyFill="1" applyBorder="1"/>
    <xf numFmtId="0" fontId="21" fillId="34" borderId="11" xfId="0" applyFont="1" applyFill="1" applyBorder="1"/>
    <xf numFmtId="10" fontId="22" fillId="34" borderId="12" xfId="43" applyNumberFormat="1" applyFont="1" applyFill="1" applyBorder="1" applyAlignment="1">
      <alignment horizontal="left"/>
    </xf>
    <xf numFmtId="0" fontId="21" fillId="34" borderId="13" xfId="0" applyFont="1" applyFill="1" applyBorder="1"/>
    <xf numFmtId="0" fontId="21" fillId="0" borderId="0" xfId="0" quotePrefix="1" applyFont="1" applyFill="1" applyBorder="1"/>
    <xf numFmtId="0" fontId="21" fillId="0" borderId="20" xfId="0" applyFont="1" applyFill="1" applyBorder="1"/>
    <xf numFmtId="0" fontId="22" fillId="0" borderId="21" xfId="0" applyFont="1" applyFill="1" applyBorder="1"/>
    <xf numFmtId="0" fontId="21" fillId="0" borderId="19" xfId="0" applyFont="1" applyFill="1" applyBorder="1" applyAlignment="1">
      <alignment horizontal="center"/>
    </xf>
    <xf numFmtId="169" fontId="21" fillId="34" borderId="14" xfId="44" applyNumberFormat="1" applyFont="1" applyFill="1" applyBorder="1" applyAlignment="1">
      <alignment horizontal="center" vertical="center" wrapText="1"/>
    </xf>
    <xf numFmtId="169" fontId="21" fillId="34" borderId="17" xfId="44" applyNumberFormat="1" applyFont="1" applyFill="1" applyBorder="1" applyAlignment="1">
      <alignment horizontal="center" vertical="center" wrapText="1"/>
    </xf>
    <xf numFmtId="169" fontId="21" fillId="34" borderId="57" xfId="44" applyNumberFormat="1" applyFont="1" applyFill="1" applyBorder="1" applyAlignment="1">
      <alignment horizontal="center" vertical="center" wrapText="1"/>
    </xf>
    <xf numFmtId="8" fontId="21" fillId="0" borderId="0" xfId="0" applyNumberFormat="1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/>
    </xf>
    <xf numFmtId="0" fontId="26" fillId="0" borderId="11" xfId="0" applyFont="1" applyFill="1" applyBorder="1" applyAlignment="1">
      <alignment horizontal="left"/>
    </xf>
    <xf numFmtId="0" fontId="32" fillId="0" borderId="0" xfId="0" applyFont="1" applyFill="1" applyBorder="1" applyAlignment="1">
      <alignment horizontal="center"/>
    </xf>
    <xf numFmtId="0" fontId="22" fillId="0" borderId="11" xfId="0" applyFont="1" applyFill="1" applyBorder="1" applyAlignment="1">
      <alignment horizontal="center"/>
    </xf>
    <xf numFmtId="172" fontId="21" fillId="0" borderId="0" xfId="44" applyNumberFormat="1" applyFont="1" applyFill="1"/>
    <xf numFmtId="10" fontId="21" fillId="0" borderId="0" xfId="0" applyNumberFormat="1" applyFont="1" applyFill="1"/>
    <xf numFmtId="173" fontId="26" fillId="0" borderId="0" xfId="0" applyNumberFormat="1" applyFont="1" applyFill="1" applyAlignment="1">
      <alignment horizontal="center"/>
    </xf>
    <xf numFmtId="173" fontId="21" fillId="0" borderId="27" xfId="0" applyNumberFormat="1" applyFont="1" applyFill="1" applyBorder="1" applyAlignment="1">
      <alignment horizontal="center"/>
    </xf>
    <xf numFmtId="0" fontId="42" fillId="0" borderId="27" xfId="46" applyFont="1" applyFill="1" applyBorder="1" applyAlignment="1">
      <alignment horizontal="left" vertical="top" wrapText="1" indent="1"/>
    </xf>
    <xf numFmtId="10" fontId="22" fillId="0" borderId="24" xfId="43" applyNumberFormat="1" applyFont="1" applyFill="1" applyBorder="1" applyAlignment="1">
      <alignment horizontal="right"/>
    </xf>
    <xf numFmtId="0" fontId="22" fillId="0" borderId="23" xfId="0" applyFont="1" applyFill="1" applyBorder="1" applyAlignment="1">
      <alignment horizontal="left" vertical="center"/>
    </xf>
    <xf numFmtId="10" fontId="22" fillId="0" borderId="0" xfId="43" applyNumberFormat="1" applyFont="1" applyFill="1" applyBorder="1" applyAlignment="1">
      <alignment horizontal="center" vertical="center"/>
    </xf>
    <xf numFmtId="10" fontId="22" fillId="0" borderId="24" xfId="43" applyNumberFormat="1" applyFont="1" applyFill="1" applyBorder="1" applyAlignment="1">
      <alignment horizontal="center" vertical="center"/>
    </xf>
    <xf numFmtId="44" fontId="22" fillId="0" borderId="23" xfId="42" applyFont="1" applyFill="1" applyBorder="1"/>
    <xf numFmtId="10" fontId="22" fillId="0" borderId="19" xfId="43" applyNumberFormat="1" applyFont="1" applyFill="1" applyBorder="1"/>
    <xf numFmtId="44" fontId="21" fillId="0" borderId="0" xfId="0" applyNumberFormat="1" applyFont="1" applyFill="1"/>
    <xf numFmtId="165" fontId="21" fillId="0" borderId="0" xfId="0" applyNumberFormat="1" applyFont="1" applyFill="1"/>
    <xf numFmtId="8" fontId="21" fillId="0" borderId="0" xfId="0" applyNumberFormat="1" applyFont="1" applyFill="1"/>
    <xf numFmtId="2" fontId="21" fillId="0" borderId="66" xfId="0" applyNumberFormat="1" applyFont="1" applyFill="1" applyBorder="1"/>
    <xf numFmtId="2" fontId="21" fillId="0" borderId="43" xfId="0" applyNumberFormat="1" applyFont="1" applyFill="1" applyBorder="1"/>
    <xf numFmtId="2" fontId="21" fillId="0" borderId="35" xfId="0" applyNumberFormat="1" applyFont="1" applyFill="1" applyBorder="1"/>
    <xf numFmtId="44" fontId="21" fillId="0" borderId="21" xfId="42" applyFont="1" applyFill="1" applyBorder="1"/>
    <xf numFmtId="167" fontId="21" fillId="0" borderId="0" xfId="43" applyNumberFormat="1" applyFont="1" applyFill="1"/>
    <xf numFmtId="2" fontId="21" fillId="0" borderId="67" xfId="0" applyNumberFormat="1" applyFont="1" applyFill="1" applyBorder="1"/>
    <xf numFmtId="2" fontId="21" fillId="0" borderId="0" xfId="0" applyNumberFormat="1" applyFont="1" applyFill="1" applyBorder="1"/>
    <xf numFmtId="2" fontId="21" fillId="0" borderId="68" xfId="0" applyNumberFormat="1" applyFont="1" applyFill="1" applyBorder="1"/>
    <xf numFmtId="0" fontId="21" fillId="0" borderId="18" xfId="0" applyFont="1" applyFill="1" applyBorder="1"/>
    <xf numFmtId="8" fontId="21" fillId="0" borderId="19" xfId="0" applyNumberFormat="1" applyFont="1" applyFill="1" applyBorder="1"/>
    <xf numFmtId="2" fontId="21" fillId="0" borderId="10" xfId="0" applyNumberFormat="1" applyFont="1" applyFill="1" applyBorder="1"/>
    <xf numFmtId="0" fontId="21" fillId="0" borderId="23" xfId="0" applyFont="1" applyFill="1" applyBorder="1" applyAlignment="1">
      <alignment horizontal="right"/>
    </xf>
    <xf numFmtId="44" fontId="21" fillId="0" borderId="0" xfId="0" applyNumberFormat="1" applyFont="1" applyFill="1" applyBorder="1"/>
    <xf numFmtId="2" fontId="21" fillId="0" borderId="32" xfId="0" applyNumberFormat="1" applyFont="1" applyFill="1" applyBorder="1"/>
    <xf numFmtId="2" fontId="21" fillId="0" borderId="15" xfId="0" applyNumberFormat="1" applyFont="1" applyFill="1" applyBorder="1"/>
    <xf numFmtId="2" fontId="21" fillId="0" borderId="62" xfId="0" applyNumberFormat="1" applyFont="1" applyFill="1" applyBorder="1"/>
    <xf numFmtId="0" fontId="21" fillId="0" borderId="15" xfId="0" applyFont="1" applyFill="1" applyBorder="1"/>
    <xf numFmtId="44" fontId="21" fillId="0" borderId="15" xfId="42" applyFont="1" applyFill="1" applyBorder="1"/>
    <xf numFmtId="44" fontId="21" fillId="0" borderId="15" xfId="0" applyNumberFormat="1" applyFont="1" applyFill="1" applyBorder="1"/>
    <xf numFmtId="43" fontId="21" fillId="0" borderId="0" xfId="44" applyFont="1" applyFill="1" applyBorder="1"/>
    <xf numFmtId="44" fontId="22" fillId="0" borderId="0" xfId="42" applyFont="1" applyFill="1" applyBorder="1"/>
    <xf numFmtId="0" fontId="22" fillId="0" borderId="19" xfId="0" applyFont="1" applyFill="1" applyBorder="1"/>
    <xf numFmtId="44" fontId="22" fillId="0" borderId="19" xfId="42" applyFont="1" applyFill="1" applyBorder="1"/>
    <xf numFmtId="0" fontId="22" fillId="0" borderId="11" xfId="0" applyFont="1" applyFill="1" applyBorder="1" applyAlignment="1">
      <alignment horizontal="left"/>
    </xf>
    <xf numFmtId="10" fontId="22" fillId="0" borderId="24" xfId="43" applyNumberFormat="1" applyFont="1" applyFill="1" applyBorder="1"/>
    <xf numFmtId="166" fontId="21" fillId="0" borderId="0" xfId="0" applyNumberFormat="1" applyFont="1" applyFill="1" applyBorder="1"/>
    <xf numFmtId="166" fontId="21" fillId="0" borderId="0" xfId="42" applyNumberFormat="1" applyFont="1" applyFill="1" applyBorder="1"/>
    <xf numFmtId="166" fontId="21" fillId="0" borderId="24" xfId="42" applyNumberFormat="1" applyFont="1" applyFill="1" applyBorder="1"/>
    <xf numFmtId="44" fontId="21" fillId="0" borderId="0" xfId="42" applyNumberFormat="1" applyFont="1" applyFill="1"/>
    <xf numFmtId="166" fontId="21" fillId="0" borderId="0" xfId="44" applyNumberFormat="1" applyFont="1" applyFill="1" applyBorder="1"/>
    <xf numFmtId="10" fontId="21" fillId="0" borderId="21" xfId="43" applyNumberFormat="1" applyFont="1" applyFill="1" applyBorder="1"/>
    <xf numFmtId="10" fontId="21" fillId="0" borderId="22" xfId="43" applyNumberFormat="1" applyFont="1" applyFill="1" applyBorder="1"/>
    <xf numFmtId="8" fontId="21" fillId="0" borderId="24" xfId="0" applyNumberFormat="1" applyFont="1" applyFill="1" applyBorder="1"/>
    <xf numFmtId="0" fontId="21" fillId="0" borderId="11" xfId="0" applyFont="1" applyFill="1" applyBorder="1"/>
    <xf numFmtId="166" fontId="21" fillId="0" borderId="24" xfId="0" applyNumberFormat="1" applyFont="1" applyFill="1" applyBorder="1"/>
    <xf numFmtId="44" fontId="21" fillId="0" borderId="24" xfId="0" applyNumberFormat="1" applyFont="1" applyFill="1" applyBorder="1"/>
    <xf numFmtId="166" fontId="21" fillId="0" borderId="43" xfId="42" applyNumberFormat="1" applyFont="1" applyFill="1" applyBorder="1"/>
    <xf numFmtId="166" fontId="21" fillId="0" borderId="49" xfId="42" applyNumberFormat="1" applyFont="1" applyFill="1" applyBorder="1"/>
    <xf numFmtId="43" fontId="21" fillId="0" borderId="64" xfId="44" applyFont="1" applyFill="1" applyBorder="1"/>
    <xf numFmtId="43" fontId="21" fillId="0" borderId="63" xfId="0" applyNumberFormat="1" applyFont="1" applyFill="1" applyBorder="1"/>
    <xf numFmtId="44" fontId="22" fillId="0" borderId="25" xfId="42" applyFont="1" applyFill="1" applyBorder="1"/>
    <xf numFmtId="0" fontId="22" fillId="0" borderId="10" xfId="0" applyFont="1" applyFill="1" applyBorder="1" applyAlignment="1">
      <alignment horizontal="left"/>
    </xf>
    <xf numFmtId="0" fontId="22" fillId="0" borderId="27" xfId="0" applyFont="1" applyFill="1" applyBorder="1" applyAlignment="1">
      <alignment horizontal="left"/>
    </xf>
    <xf numFmtId="44" fontId="22" fillId="0" borderId="27" xfId="0" applyNumberFormat="1" applyFont="1" applyFill="1" applyBorder="1" applyAlignment="1">
      <alignment horizontal="left"/>
    </xf>
    <xf numFmtId="44" fontId="21" fillId="0" borderId="23" xfId="42" applyFont="1" applyFill="1" applyBorder="1" applyAlignment="1">
      <alignment horizontal="left"/>
    </xf>
    <xf numFmtId="44" fontId="21" fillId="0" borderId="0" xfId="0" applyNumberFormat="1" applyFont="1" applyFill="1" applyBorder="1" applyAlignment="1">
      <alignment horizontal="left"/>
    </xf>
    <xf numFmtId="0" fontId="22" fillId="0" borderId="28" xfId="0" applyFont="1" applyFill="1" applyBorder="1" applyAlignment="1">
      <alignment horizontal="left"/>
    </xf>
    <xf numFmtId="0" fontId="21" fillId="0" borderId="18" xfId="0" applyFont="1" applyFill="1" applyBorder="1" applyAlignment="1">
      <alignment horizontal="left"/>
    </xf>
    <xf numFmtId="10" fontId="21" fillId="0" borderId="19" xfId="43" applyNumberFormat="1" applyFont="1" applyFill="1" applyBorder="1" applyAlignment="1">
      <alignment horizontal="right"/>
    </xf>
    <xf numFmtId="0" fontId="21" fillId="0" borderId="19" xfId="0" applyFont="1" applyFill="1" applyBorder="1" applyAlignment="1">
      <alignment horizontal="left"/>
    </xf>
    <xf numFmtId="0" fontId="21" fillId="0" borderId="25" xfId="0" applyFont="1" applyFill="1" applyBorder="1" applyAlignment="1">
      <alignment horizontal="left"/>
    </xf>
    <xf numFmtId="0" fontId="22" fillId="0" borderId="0" xfId="0" applyFont="1" applyFill="1" applyAlignment="1"/>
    <xf numFmtId="165" fontId="21" fillId="0" borderId="0" xfId="43" applyNumberFormat="1" applyFont="1" applyFill="1"/>
    <xf numFmtId="44" fontId="22" fillId="0" borderId="26" xfId="42" applyFont="1" applyFill="1" applyBorder="1" applyAlignment="1">
      <alignment horizontal="left"/>
    </xf>
    <xf numFmtId="0" fontId="21" fillId="0" borderId="28" xfId="0" applyFont="1" applyFill="1" applyBorder="1" applyAlignment="1"/>
    <xf numFmtId="0" fontId="22" fillId="0" borderId="26" xfId="0" applyFont="1" applyFill="1" applyBorder="1"/>
    <xf numFmtId="8" fontId="22" fillId="0" borderId="22" xfId="0" applyNumberFormat="1" applyFont="1" applyFill="1" applyBorder="1"/>
    <xf numFmtId="0" fontId="22" fillId="0" borderId="28" xfId="0" applyFont="1" applyFill="1" applyBorder="1"/>
    <xf numFmtId="8" fontId="22" fillId="0" borderId="25" xfId="0" applyNumberFormat="1" applyFont="1" applyFill="1" applyBorder="1"/>
    <xf numFmtId="0" fontId="21" fillId="0" borderId="13" xfId="0" applyFont="1" applyFill="1" applyBorder="1"/>
    <xf numFmtId="44" fontId="21" fillId="0" borderId="0" xfId="42" applyFont="1" applyFill="1"/>
    <xf numFmtId="173" fontId="21" fillId="0" borderId="0" xfId="42" applyNumberFormat="1" applyFont="1" applyFill="1"/>
    <xf numFmtId="0" fontId="22" fillId="0" borderId="0" xfId="0" applyFont="1" applyFill="1" applyAlignment="1">
      <alignment vertical="center"/>
    </xf>
    <xf numFmtId="0" fontId="51" fillId="0" borderId="26" xfId="0" applyFont="1" applyFill="1" applyBorder="1"/>
    <xf numFmtId="0" fontId="22" fillId="0" borderId="56" xfId="0" applyFont="1" applyFill="1" applyBorder="1" applyAlignment="1">
      <alignment horizontal="center" vertical="center" wrapText="1"/>
    </xf>
    <xf numFmtId="0" fontId="22" fillId="0" borderId="27" xfId="0" applyFont="1" applyFill="1" applyBorder="1"/>
    <xf numFmtId="2" fontId="22" fillId="0" borderId="0" xfId="0" applyNumberFormat="1" applyFont="1" applyFill="1" applyBorder="1"/>
    <xf numFmtId="2" fontId="22" fillId="0" borderId="29" xfId="42" applyNumberFormat="1" applyFont="1" applyFill="1" applyBorder="1" applyAlignment="1">
      <alignment horizontal="center"/>
    </xf>
    <xf numFmtId="2" fontId="22" fillId="0" borderId="44" xfId="42" applyNumberFormat="1" applyFont="1" applyFill="1" applyBorder="1" applyAlignment="1">
      <alignment horizontal="center"/>
    </xf>
    <xf numFmtId="44" fontId="21" fillId="0" borderId="69" xfId="42" applyFont="1" applyFill="1" applyBorder="1"/>
    <xf numFmtId="44" fontId="21" fillId="0" borderId="61" xfId="42" applyFont="1" applyFill="1" applyBorder="1"/>
    <xf numFmtId="44" fontId="21" fillId="0" borderId="70" xfId="42" applyFont="1" applyFill="1" applyBorder="1"/>
    <xf numFmtId="2" fontId="21" fillId="0" borderId="24" xfId="0" applyNumberFormat="1" applyFont="1" applyFill="1" applyBorder="1" applyAlignment="1">
      <alignment horizontal="left" indent="1"/>
    </xf>
    <xf numFmtId="0" fontId="21" fillId="0" borderId="24" xfId="0" applyFont="1" applyFill="1" applyBorder="1" applyAlignment="1">
      <alignment horizontal="left" indent="1"/>
    </xf>
    <xf numFmtId="0" fontId="50" fillId="0" borderId="20" xfId="0" applyFont="1" applyFill="1" applyBorder="1" applyAlignment="1">
      <alignment horizontal="left"/>
    </xf>
    <xf numFmtId="44" fontId="21" fillId="0" borderId="24" xfId="0" applyNumberFormat="1" applyFont="1" applyFill="1" applyBorder="1" applyAlignment="1">
      <alignment horizontal="left"/>
    </xf>
    <xf numFmtId="10" fontId="21" fillId="0" borderId="16" xfId="43" applyNumberFormat="1" applyFont="1" applyFill="1" applyBorder="1" applyAlignment="1">
      <alignment horizontal="center"/>
    </xf>
    <xf numFmtId="10" fontId="21" fillId="0" borderId="21" xfId="43" applyNumberFormat="1" applyFont="1" applyFill="1" applyBorder="1" applyAlignment="1">
      <alignment horizontal="right"/>
    </xf>
    <xf numFmtId="10" fontId="21" fillId="0" borderId="22" xfId="43" applyNumberFormat="1" applyFont="1" applyFill="1" applyBorder="1" applyAlignment="1">
      <alignment horizontal="right"/>
    </xf>
    <xf numFmtId="10" fontId="21" fillId="34" borderId="10" xfId="0" applyNumberFormat="1" applyFont="1" applyFill="1" applyBorder="1" applyAlignment="1">
      <alignment horizontal="center"/>
    </xf>
    <xf numFmtId="173" fontId="21" fillId="34" borderId="36" xfId="42" applyNumberFormat="1" applyFont="1" applyFill="1" applyBorder="1" applyAlignment="1">
      <alignment horizontal="center"/>
    </xf>
    <xf numFmtId="14" fontId="21" fillId="0" borderId="32" xfId="0" applyNumberFormat="1" applyFont="1" applyFill="1" applyBorder="1" applyAlignment="1">
      <alignment horizontal="center"/>
    </xf>
    <xf numFmtId="173" fontId="21" fillId="34" borderId="37" xfId="42" applyNumberFormat="1" applyFont="1" applyFill="1" applyBorder="1" applyAlignment="1">
      <alignment horizontal="center"/>
    </xf>
    <xf numFmtId="0" fontId="22" fillId="34" borderId="71" xfId="0" applyFont="1" applyFill="1" applyBorder="1" applyAlignment="1">
      <alignment horizontal="center"/>
    </xf>
    <xf numFmtId="169" fontId="21" fillId="34" borderId="72" xfId="44" applyNumberFormat="1" applyFont="1" applyFill="1" applyBorder="1" applyAlignment="1">
      <alignment horizontal="right"/>
    </xf>
    <xf numFmtId="169" fontId="21" fillId="34" borderId="73" xfId="44" applyNumberFormat="1" applyFont="1" applyFill="1" applyBorder="1" applyAlignment="1">
      <alignment horizontal="right"/>
    </xf>
    <xf numFmtId="43" fontId="21" fillId="0" borderId="46" xfId="44" applyFont="1" applyFill="1" applyBorder="1" applyAlignment="1">
      <alignment horizontal="right"/>
    </xf>
    <xf numFmtId="43" fontId="21" fillId="0" borderId="28" xfId="44" applyFont="1" applyFill="1" applyBorder="1" applyAlignment="1">
      <alignment horizontal="right"/>
    </xf>
    <xf numFmtId="43" fontId="21" fillId="0" borderId="51" xfId="44" applyFont="1" applyFill="1" applyBorder="1" applyAlignment="1">
      <alignment horizontal="right"/>
    </xf>
    <xf numFmtId="2" fontId="22" fillId="34" borderId="26" xfId="42" applyNumberFormat="1" applyFont="1" applyFill="1" applyBorder="1" applyAlignment="1">
      <alignment horizontal="center"/>
    </xf>
    <xf numFmtId="2" fontId="22" fillId="34" borderId="50" xfId="42" applyNumberFormat="1" applyFont="1" applyFill="1" applyBorder="1" applyAlignment="1">
      <alignment horizontal="center"/>
    </xf>
    <xf numFmtId="2" fontId="22" fillId="34" borderId="27" xfId="42" applyNumberFormat="1" applyFont="1" applyFill="1" applyBorder="1" applyAlignment="1">
      <alignment horizontal="center"/>
    </xf>
    <xf numFmtId="2" fontId="22" fillId="34" borderId="28" xfId="42" applyNumberFormat="1" applyFont="1" applyFill="1" applyBorder="1" applyAlignment="1">
      <alignment horizontal="center"/>
    </xf>
    <xf numFmtId="174" fontId="22" fillId="0" borderId="22" xfId="43" applyNumberFormat="1" applyFont="1" applyFill="1" applyBorder="1" applyAlignment="1">
      <alignment horizontal="right"/>
    </xf>
    <xf numFmtId="0" fontId="23" fillId="35" borderId="74" xfId="0" applyFont="1" applyFill="1" applyBorder="1"/>
    <xf numFmtId="14" fontId="23" fillId="35" borderId="61" xfId="0" applyNumberFormat="1" applyFont="1" applyFill="1" applyBorder="1" applyAlignment="1">
      <alignment horizontal="center"/>
    </xf>
    <xf numFmtId="14" fontId="23" fillId="35" borderId="45" xfId="0" applyNumberFormat="1" applyFont="1" applyFill="1" applyBorder="1" applyAlignment="1">
      <alignment horizontal="center"/>
    </xf>
    <xf numFmtId="0" fontId="21" fillId="0" borderId="30" xfId="0" applyFont="1" applyFill="1" applyBorder="1"/>
    <xf numFmtId="168" fontId="21" fillId="0" borderId="31" xfId="44" applyNumberFormat="1" applyFont="1" applyFill="1" applyBorder="1"/>
    <xf numFmtId="168" fontId="21" fillId="0" borderId="32" xfId="44" applyNumberFormat="1" applyFont="1" applyFill="1" applyBorder="1"/>
    <xf numFmtId="167" fontId="21" fillId="0" borderId="36" xfId="43" applyNumberFormat="1" applyFont="1" applyFill="1" applyBorder="1"/>
    <xf numFmtId="167" fontId="21" fillId="0" borderId="37" xfId="43" applyNumberFormat="1" applyFont="1" applyFill="1" applyBorder="1"/>
    <xf numFmtId="0" fontId="54" fillId="0" borderId="0" xfId="0" applyFont="1"/>
    <xf numFmtId="14" fontId="55" fillId="0" borderId="0" xfId="0" applyNumberFormat="1" applyFont="1"/>
    <xf numFmtId="0" fontId="56" fillId="0" borderId="0" xfId="0" applyFont="1"/>
    <xf numFmtId="0" fontId="57" fillId="0" borderId="0" xfId="0" applyFont="1"/>
    <xf numFmtId="14" fontId="57" fillId="0" borderId="0" xfId="0" applyNumberFormat="1" applyFont="1"/>
    <xf numFmtId="0" fontId="58" fillId="0" borderId="0" xfId="0" applyFont="1"/>
    <xf numFmtId="0" fontId="59" fillId="0" borderId="0" xfId="0" applyFont="1"/>
    <xf numFmtId="3" fontId="59" fillId="0" borderId="0" xfId="0" applyNumberFormat="1" applyFont="1"/>
    <xf numFmtId="3" fontId="54" fillId="0" borderId="0" xfId="0" applyNumberFormat="1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52" fillId="0" borderId="0" xfId="0" applyFont="1"/>
    <xf numFmtId="0" fontId="66" fillId="0" borderId="0" xfId="50"/>
    <xf numFmtId="0" fontId="64" fillId="0" borderId="0" xfId="0" applyFont="1"/>
    <xf numFmtId="0" fontId="65" fillId="0" borderId="0" xfId="0" applyFont="1"/>
    <xf numFmtId="0" fontId="63" fillId="0" borderId="0" xfId="0" applyFont="1"/>
    <xf numFmtId="3" fontId="60" fillId="0" borderId="0" xfId="0" applyNumberFormat="1" applyFont="1"/>
    <xf numFmtId="3" fontId="61" fillId="0" borderId="0" xfId="0" applyNumberFormat="1" applyFont="1"/>
    <xf numFmtId="0" fontId="22" fillId="0" borderId="30" xfId="0" applyFont="1" applyFill="1" applyBorder="1" applyAlignment="1">
      <alignment horizontal="left"/>
    </xf>
    <xf numFmtId="0" fontId="22" fillId="0" borderId="31" xfId="0" applyFont="1" applyFill="1" applyBorder="1" applyAlignment="1">
      <alignment horizontal="left"/>
    </xf>
    <xf numFmtId="0" fontId="22" fillId="0" borderId="32" xfId="0" applyFont="1" applyFill="1" applyBorder="1" applyAlignment="1">
      <alignment horizontal="left"/>
    </xf>
    <xf numFmtId="0" fontId="49" fillId="33" borderId="11" xfId="0" applyFont="1" applyFill="1" applyBorder="1" applyAlignment="1">
      <alignment horizontal="center"/>
    </xf>
    <xf numFmtId="0" fontId="49" fillId="33" borderId="13" xfId="0" applyFont="1" applyFill="1" applyBorder="1" applyAlignment="1">
      <alignment horizontal="center"/>
    </xf>
    <xf numFmtId="168" fontId="43" fillId="0" borderId="20" xfId="47" applyNumberFormat="1" applyFont="1" applyFill="1" applyBorder="1" applyAlignment="1">
      <alignment horizontal="center"/>
    </xf>
    <xf numFmtId="168" fontId="45" fillId="0" borderId="21" xfId="47" applyNumberFormat="1" applyFont="1" applyFill="1" applyBorder="1" applyAlignment="1">
      <alignment horizontal="center"/>
    </xf>
    <xf numFmtId="168" fontId="45" fillId="0" borderId="22" xfId="47" applyNumberFormat="1" applyFont="1" applyFill="1" applyBorder="1" applyAlignment="1">
      <alignment horizontal="center"/>
    </xf>
    <xf numFmtId="10" fontId="23" fillId="33" borderId="14" xfId="43" applyNumberFormat="1" applyFont="1" applyFill="1" applyBorder="1" applyAlignment="1">
      <alignment horizontal="center"/>
    </xf>
    <xf numFmtId="168" fontId="23" fillId="33" borderId="14" xfId="44" applyNumberFormat="1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/>
    </xf>
    <xf numFmtId="0" fontId="22" fillId="0" borderId="21" xfId="0" applyFont="1" applyFill="1" applyBorder="1" applyAlignment="1">
      <alignment horizontal="center"/>
    </xf>
    <xf numFmtId="0" fontId="21" fillId="0" borderId="21" xfId="0" applyFont="1" applyFill="1" applyBorder="1" applyAlignment="1"/>
    <xf numFmtId="0" fontId="21" fillId="0" borderId="22" xfId="0" applyFont="1" applyFill="1" applyBorder="1" applyAlignment="1"/>
    <xf numFmtId="0" fontId="22" fillId="0" borderId="2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1" fillId="34" borderId="23" xfId="0" applyFont="1" applyFill="1" applyBorder="1" applyAlignment="1">
      <alignment horizontal="right" vertical="center"/>
    </xf>
    <xf numFmtId="0" fontId="21" fillId="34" borderId="15" xfId="0" applyFont="1" applyFill="1" applyBorder="1" applyAlignment="1">
      <alignment horizontal="center"/>
    </xf>
    <xf numFmtId="0" fontId="21" fillId="34" borderId="0" xfId="0" applyFont="1" applyFill="1" applyBorder="1" applyAlignment="1">
      <alignment horizontal="center"/>
    </xf>
    <xf numFmtId="0" fontId="21" fillId="34" borderId="0" xfId="0" applyFont="1" applyFill="1" applyBorder="1" applyAlignment="1">
      <alignment horizontal="center" vertical="center"/>
    </xf>
    <xf numFmtId="164" fontId="21" fillId="34" borderId="16" xfId="43" applyNumberFormat="1" applyFont="1" applyFill="1" applyBorder="1" applyAlignment="1">
      <alignment vertical="center"/>
    </xf>
    <xf numFmtId="164" fontId="21" fillId="34" borderId="17" xfId="43" applyNumberFormat="1" applyFont="1" applyFill="1" applyBorder="1" applyAlignment="1">
      <alignment vertical="center"/>
    </xf>
    <xf numFmtId="0" fontId="23" fillId="36" borderId="23" xfId="0" applyFont="1" applyFill="1" applyBorder="1" applyAlignment="1">
      <alignment horizontal="center"/>
    </xf>
    <xf numFmtId="0" fontId="23" fillId="36" borderId="0" xfId="0" applyFont="1" applyFill="1" applyBorder="1" applyAlignment="1">
      <alignment horizontal="center"/>
    </xf>
    <xf numFmtId="0" fontId="21" fillId="0" borderId="0" xfId="0" applyFont="1" applyFill="1" applyAlignment="1">
      <alignment horizontal="center"/>
    </xf>
    <xf numFmtId="8" fontId="21" fillId="0" borderId="0" xfId="42" applyNumberFormat="1" applyFont="1" applyFill="1" applyBorder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lp_column_header" xfId="48" xr:uid="{55F102E1-C59A-4556-92B1-8F0A77BAAE39}"/>
    <cellStyle name="Calculation" xfId="11" builtinId="22" customBuiltin="1"/>
    <cellStyle name="Check Cell" xfId="13" builtinId="23" customBuiltin="1"/>
    <cellStyle name="Comma" xfId="44" builtinId="3"/>
    <cellStyle name="Comma 2" xfId="47" xr:uid="{C1541F61-F6F7-4B38-B60D-FB5A42321E80}"/>
    <cellStyle name="Currency" xfId="42" builtinId="4"/>
    <cellStyle name="Explanatory Text" xfId="16" builtinId="53" customBuiltin="1"/>
    <cellStyle name="fa_column_header_bottom" xfId="49" xr:uid="{80C7CD84-B7FF-4832-B83F-F340976998A2}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0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 xr:uid="{B5D86B6C-1F1C-43BB-B70A-925A3934AB1F}"/>
    <cellStyle name="Normal 3" xfId="46" xr:uid="{FEB77352-7DE8-454A-9FE8-B831E0C49E13}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  <color rgb="FF991B1E"/>
      <color rgb="FFCFD0FD"/>
      <color rgb="FF0000FF"/>
      <color rgb="FF339933"/>
      <color rgb="FFFFA7A7"/>
      <color rgb="FFFF7171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u="sng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Target Price </a:t>
            </a:r>
            <a:r>
              <a:rPr lang="en-US" sz="2400" u="sng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87754353286484"/>
          <c:y val="0.14968397818197254"/>
          <c:w val="0.83645867728265133"/>
          <c:h val="0.73682910191210993"/>
        </c:manualLayout>
      </c:layout>
      <c:barChart>
        <c:barDir val="col"/>
        <c:grouping val="stacked"/>
        <c:varyColors val="0"/>
        <c:ser>
          <c:idx val="0"/>
          <c:order val="0"/>
          <c:tx>
            <c:v>Bear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'Bear Base Bull'!$C$2:$H$2</c:f>
              <c:strCache>
                <c:ptCount val="6"/>
                <c:pt idx="0">
                  <c:v> Multiples </c:v>
                </c:pt>
                <c:pt idx="1">
                  <c:v> DDM </c:v>
                </c:pt>
                <c:pt idx="2">
                  <c:v> FCFM </c:v>
                </c:pt>
                <c:pt idx="3">
                  <c:v> RIM </c:v>
                </c:pt>
                <c:pt idx="4">
                  <c:v> MVAM </c:v>
                </c:pt>
                <c:pt idx="5">
                  <c:v>Target Price</c:v>
                </c:pt>
              </c:strCache>
            </c:strRef>
          </c:cat>
          <c:val>
            <c:numRef>
              <c:f>'Bear Base Bull'!$C$7:$H$7</c:f>
              <c:numCache>
                <c:formatCode>_("$"* #,##0.00_);_("$"* \(#,##0.00\);_("$"* "-"??_);_(@_)</c:formatCode>
                <c:ptCount val="6"/>
                <c:pt idx="0">
                  <c:v>86.412280701754383</c:v>
                </c:pt>
                <c:pt idx="1">
                  <c:v>31.536109692566399</c:v>
                </c:pt>
                <c:pt idx="2">
                  <c:v>157.47861414775045</c:v>
                </c:pt>
                <c:pt idx="3">
                  <c:v>62.448917188944982</c:v>
                </c:pt>
                <c:pt idx="4">
                  <c:v>102.88922500359469</c:v>
                </c:pt>
                <c:pt idx="5">
                  <c:v>98.443158323463791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DA-433E-9165-A58F182D6CEA}"/>
            </c:ext>
          </c:extLst>
        </c:ser>
        <c:ser>
          <c:idx val="1"/>
          <c:order val="1"/>
          <c:tx>
            <c:v>Base</c:v>
          </c:tx>
          <c:spPr>
            <a:solidFill>
              <a:srgbClr val="A5A5A5">
                <a:lumMod val="50000"/>
              </a:srgbClr>
            </a:solidFill>
            <a:ln>
              <a:solidFill>
                <a:sysClr val="window" lastClr="FFFFFF"/>
              </a:solidFill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991B1E"/>
              </a:solidFill>
              <a:ln>
                <a:solidFill>
                  <a:sysClr val="window" lastClr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7DA-433E-9165-A58F182D6CEA}"/>
              </c:ext>
            </c:extLst>
          </c:dPt>
          <c:cat>
            <c:strRef>
              <c:f>'Bear Base Bull'!$C$2:$H$2</c:f>
              <c:strCache>
                <c:ptCount val="6"/>
                <c:pt idx="0">
                  <c:v> Multiples </c:v>
                </c:pt>
                <c:pt idx="1">
                  <c:v> DDM </c:v>
                </c:pt>
                <c:pt idx="2">
                  <c:v> FCFM </c:v>
                </c:pt>
                <c:pt idx="3">
                  <c:v> RIM </c:v>
                </c:pt>
                <c:pt idx="4">
                  <c:v> MVAM </c:v>
                </c:pt>
                <c:pt idx="5">
                  <c:v>Target Price</c:v>
                </c:pt>
              </c:strCache>
            </c:strRef>
          </c:cat>
          <c:val>
            <c:numRef>
              <c:f>'Bear Base Bull'!$C$6:$H$6</c:f>
              <c:numCache>
                <c:formatCode>_("$"* #,##0.00_);_("$"* \(#,##0.00\);_("$"* "-"??_);_(@_)</c:formatCode>
                <c:ptCount val="6"/>
                <c:pt idx="0">
                  <c:v>19.163458689029284</c:v>
                </c:pt>
                <c:pt idx="1">
                  <c:v>2.437095913615785</c:v>
                </c:pt>
                <c:pt idx="2">
                  <c:v>10.148949404237783</c:v>
                </c:pt>
                <c:pt idx="3">
                  <c:v>2.3329415954582728</c:v>
                </c:pt>
                <c:pt idx="4">
                  <c:v>3.7560509966995426</c:v>
                </c:pt>
                <c:pt idx="5">
                  <c:v>8.8633694611259131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DA-433E-9165-A58F182D6CEA}"/>
            </c:ext>
          </c:extLst>
        </c:ser>
        <c:ser>
          <c:idx val="2"/>
          <c:order val="2"/>
          <c:tx>
            <c:v>Bull</c:v>
          </c:tx>
          <c:spPr>
            <a:solidFill>
              <a:srgbClr val="A5A5A5">
                <a:lumMod val="50000"/>
              </a:srgbClr>
            </a:solidFill>
            <a:ln>
              <a:solidFill>
                <a:sysClr val="window" lastClr="FFFFFF"/>
              </a:solidFill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991B1E"/>
              </a:solidFill>
              <a:ln>
                <a:solidFill>
                  <a:sysClr val="window" lastClr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7DA-433E-9165-A58F182D6CEA}"/>
              </c:ext>
            </c:extLst>
          </c:dPt>
          <c:cat>
            <c:strRef>
              <c:f>'Bear Base Bull'!$C$2:$H$2</c:f>
              <c:strCache>
                <c:ptCount val="6"/>
                <c:pt idx="0">
                  <c:v> Multiples </c:v>
                </c:pt>
                <c:pt idx="1">
                  <c:v> DDM </c:v>
                </c:pt>
                <c:pt idx="2">
                  <c:v> FCFM </c:v>
                </c:pt>
                <c:pt idx="3">
                  <c:v> RIM </c:v>
                </c:pt>
                <c:pt idx="4">
                  <c:v> MVAM </c:v>
                </c:pt>
                <c:pt idx="5">
                  <c:v>Target Price</c:v>
                </c:pt>
              </c:strCache>
            </c:strRef>
          </c:cat>
          <c:val>
            <c:numRef>
              <c:f>'Bear Base Bull'!$C$4:$H$4</c:f>
              <c:numCache>
                <c:formatCode>_("$"* #,##0.00_);_("$"* \(#,##0.00\);_("$"* "-"??_);_(@_)</c:formatCode>
                <c:ptCount val="6"/>
                <c:pt idx="0">
                  <c:v>11.081699347368968</c:v>
                </c:pt>
                <c:pt idx="1">
                  <c:v>2.8490014203040985</c:v>
                </c:pt>
                <c:pt idx="2">
                  <c:v>12.223727870534077</c:v>
                </c:pt>
                <c:pt idx="3">
                  <c:v>2.4809336994743063</c:v>
                </c:pt>
                <c:pt idx="4">
                  <c:v>4.4836438079034338</c:v>
                </c:pt>
                <c:pt idx="5">
                  <c:v>7.6135096464239203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DA-433E-9165-A58F182D6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694485744"/>
        <c:axId val="694487056"/>
      </c:barChart>
      <c:catAx>
        <c:axId val="69448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94487056"/>
        <c:crosses val="autoZero"/>
        <c:auto val="1"/>
        <c:lblAlgn val="ctr"/>
        <c:lblOffset val="100"/>
        <c:noMultiLvlLbl val="0"/>
      </c:catAx>
      <c:valAx>
        <c:axId val="6944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50000"/>
                </a:sys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9448574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ysClr val="window" lastClr="FFFFFF">
          <a:lumMod val="50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185173</xdr:colOff>
      <xdr:row>8</xdr:row>
      <xdr:rowOff>187699</xdr:rowOff>
    </xdr:from>
    <xdr:to>
      <xdr:col>11</xdr:col>
      <xdr:colOff>0</xdr:colOff>
      <xdr:row>34</xdr:row>
      <xdr:rowOff>44824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FB457E-78BC-4C96-8477-A92D076071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apman Red Lines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3_white" id="{7EBC9D31-4EB0-DE49-BA49-AF62ECC1C27C}" vid="{68113EC4-E98F-8E4C-A9DF-C76ABA941FA5}"/>
    </a:ext>
  </a:extLst>
</a:theme>
</file>

<file path=xl/theme/themeOverride1.xml><?xml version="1.0" encoding="utf-8"?>
<a:themeOverride xmlns:a="http://schemas.openxmlformats.org/drawingml/2006/main">
  <a:clrScheme name="Custom 2">
    <a:dk1>
      <a:srgbClr val="000000"/>
    </a:dk1>
    <a:lt1>
      <a:srgbClr val="000000"/>
    </a:lt1>
    <a:dk2>
      <a:srgbClr val="FEFFFF"/>
    </a:dk2>
    <a:lt2>
      <a:srgbClr val="A50034"/>
    </a:lt2>
    <a:accent1>
      <a:srgbClr val="A50034"/>
    </a:accent1>
    <a:accent2>
      <a:srgbClr val="00966C"/>
    </a:accent2>
    <a:accent3>
      <a:srgbClr val="009CA6"/>
    </a:accent3>
    <a:accent4>
      <a:srgbClr val="6E6159"/>
    </a:accent4>
    <a:accent5>
      <a:srgbClr val="DDCBA3"/>
    </a:accent5>
    <a:accent6>
      <a:srgbClr val="FFFFFF"/>
    </a:accent6>
    <a:hlink>
      <a:srgbClr val="009CA6"/>
    </a:hlink>
    <a:folHlink>
      <a:srgbClr val="231F20"/>
    </a:folHlink>
  </a:clrScheme>
  <a:fontScheme name="Arial">
    <a:majorFont>
      <a:latin typeface="Arial" panose="020B0604020202020204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ajorFont>
    <a:minorFont>
      <a:latin typeface="Arial" panose="020B0604020202020204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1FB9-27FC-40B9-98D9-EDA73255FB63}">
  <sheetPr codeName="Sheet10">
    <tabColor rgb="FFFFA7A7"/>
    <pageSetUpPr fitToPage="1"/>
  </sheetPr>
  <dimension ref="B1:N14"/>
  <sheetViews>
    <sheetView showGridLines="0" zoomScale="175" zoomScaleNormal="175" zoomScaleSheetLayoutView="100" workbookViewId="0">
      <selection activeCell="D7" sqref="D7"/>
    </sheetView>
  </sheetViews>
  <sheetFormatPr baseColWidth="10" defaultColWidth="8.83203125" defaultRowHeight="16"/>
  <cols>
    <col min="1" max="3" width="2.5" style="142" customWidth="1"/>
    <col min="4" max="4" width="9.1640625" style="142" bestFit="1" customWidth="1"/>
    <col min="5" max="12" width="8.83203125" style="142"/>
    <col min="13" max="13" width="8.83203125" style="142" customWidth="1"/>
    <col min="14" max="16384" width="8.83203125" style="142"/>
  </cols>
  <sheetData>
    <row r="1" spans="2:14" ht="17" thickBot="1"/>
    <row r="2" spans="2:14">
      <c r="B2" s="334"/>
      <c r="C2" s="54"/>
      <c r="D2" s="54"/>
      <c r="E2" s="54"/>
      <c r="F2" s="54"/>
      <c r="G2" s="335" t="s">
        <v>279</v>
      </c>
      <c r="H2" s="54"/>
      <c r="I2" s="54"/>
      <c r="J2" s="54"/>
      <c r="K2" s="54"/>
      <c r="L2" s="54"/>
      <c r="M2" s="54"/>
      <c r="N2" s="55"/>
    </row>
    <row r="3" spans="2:14">
      <c r="B3" s="259"/>
      <c r="C3" s="43" t="s">
        <v>286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31"/>
    </row>
    <row r="4" spans="2:14">
      <c r="B4" s="89"/>
      <c r="C4" s="19">
        <v>1</v>
      </c>
      <c r="D4" s="17" t="s">
        <v>0</v>
      </c>
      <c r="E4" s="17"/>
      <c r="F4" s="17"/>
      <c r="G4" s="17"/>
      <c r="H4" s="17"/>
      <c r="I4" s="17"/>
      <c r="J4" s="17"/>
      <c r="K4" s="17"/>
      <c r="L4" s="17"/>
      <c r="M4" s="17"/>
      <c r="N4" s="31"/>
    </row>
    <row r="5" spans="2:14">
      <c r="B5" s="89"/>
      <c r="C5" s="19">
        <v>2</v>
      </c>
      <c r="D5" s="17" t="s">
        <v>285</v>
      </c>
      <c r="E5" s="17"/>
      <c r="F5" s="17"/>
      <c r="G5" s="17"/>
      <c r="H5" s="17"/>
      <c r="I5" s="17"/>
      <c r="J5" s="17"/>
      <c r="K5" s="17"/>
      <c r="L5" s="17"/>
      <c r="M5" s="17"/>
      <c r="N5" s="31"/>
    </row>
    <row r="6" spans="2:14">
      <c r="B6" s="89"/>
      <c r="C6" s="19"/>
      <c r="D6" s="333" t="s">
        <v>287</v>
      </c>
      <c r="E6" s="17"/>
      <c r="F6" s="17"/>
      <c r="G6" s="17"/>
      <c r="H6" s="17"/>
      <c r="I6" s="17"/>
      <c r="J6" s="17"/>
      <c r="K6" s="17"/>
      <c r="L6" s="17"/>
      <c r="M6" s="17"/>
      <c r="N6" s="31"/>
    </row>
    <row r="7" spans="2:14">
      <c r="B7" s="89"/>
      <c r="C7" s="19"/>
      <c r="D7" s="333" t="s">
        <v>284</v>
      </c>
      <c r="E7" s="17"/>
      <c r="F7" s="17"/>
      <c r="G7" s="17"/>
      <c r="H7" s="17"/>
      <c r="I7" s="17"/>
      <c r="J7" s="17"/>
      <c r="K7" s="17"/>
      <c r="L7" s="17"/>
      <c r="M7" s="17"/>
      <c r="N7" s="31"/>
    </row>
    <row r="8" spans="2:14">
      <c r="B8" s="89"/>
      <c r="C8" s="19">
        <v>3</v>
      </c>
      <c r="D8" s="17" t="s">
        <v>280</v>
      </c>
      <c r="E8" s="17"/>
      <c r="F8" s="17"/>
      <c r="G8" s="17"/>
      <c r="H8" s="17"/>
      <c r="I8" s="17"/>
      <c r="J8" s="17"/>
      <c r="K8" s="17"/>
      <c r="L8" s="17"/>
      <c r="M8" s="17"/>
      <c r="N8" s="31"/>
    </row>
    <row r="9" spans="2:14">
      <c r="B9" s="89"/>
      <c r="C9" s="19">
        <v>4</v>
      </c>
      <c r="D9" s="17" t="s">
        <v>281</v>
      </c>
      <c r="E9" s="17"/>
      <c r="F9" s="17"/>
      <c r="G9" s="17"/>
      <c r="H9" s="17"/>
      <c r="I9" s="17"/>
      <c r="J9" s="17"/>
      <c r="K9" s="17"/>
      <c r="L9" s="17"/>
      <c r="M9" s="17"/>
      <c r="N9" s="31"/>
    </row>
    <row r="10" spans="2:14">
      <c r="B10" s="89"/>
      <c r="C10" s="19">
        <v>5</v>
      </c>
      <c r="D10" s="17" t="s">
        <v>282</v>
      </c>
      <c r="E10" s="17"/>
      <c r="F10" s="17"/>
      <c r="G10" s="17"/>
      <c r="H10" s="17"/>
      <c r="I10" s="17"/>
      <c r="J10" s="17"/>
      <c r="K10" s="17"/>
      <c r="L10" s="17"/>
      <c r="M10" s="17"/>
      <c r="N10" s="31"/>
    </row>
    <row r="11" spans="2:14">
      <c r="B11" s="89"/>
      <c r="C11" s="19"/>
      <c r="D11" s="333" t="s">
        <v>283</v>
      </c>
      <c r="E11" s="17"/>
      <c r="F11" s="17"/>
      <c r="G11" s="17"/>
      <c r="H11" s="17"/>
      <c r="I11" s="17"/>
      <c r="J11" s="17"/>
      <c r="K11" s="17"/>
      <c r="L11" s="17"/>
      <c r="M11" s="17"/>
      <c r="N11" s="31"/>
    </row>
    <row r="12" spans="2:14" ht="17" thickBot="1">
      <c r="B12" s="90"/>
      <c r="C12" s="336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56"/>
    </row>
    <row r="13" spans="2:14">
      <c r="C13" s="143"/>
    </row>
    <row r="14" spans="2:14">
      <c r="C14" s="143"/>
    </row>
  </sheetData>
  <pageMargins left="0.7" right="0.7" top="0.75" bottom="0.75" header="0.3" footer="0.3"/>
  <pageSetup scale="8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6396-CFAC-4A28-84A3-D78E5A90668A}">
  <dimension ref="B2:H102"/>
  <sheetViews>
    <sheetView zoomScaleNormal="100" workbookViewId="0">
      <selection sqref="A1:XFD1048576"/>
    </sheetView>
  </sheetViews>
  <sheetFormatPr baseColWidth="10" defaultColWidth="9.5" defaultRowHeight="16"/>
  <cols>
    <col min="1" max="1" width="2.6640625" style="59" customWidth="1"/>
    <col min="2" max="2" width="38.1640625" style="59" bestFit="1" customWidth="1"/>
    <col min="3" max="3" width="2.5" style="59" customWidth="1"/>
    <col min="4" max="8" width="10.83203125" style="59" bestFit="1" customWidth="1"/>
    <col min="9" max="16384" width="9.5" style="59"/>
  </cols>
  <sheetData>
    <row r="2" spans="2:8">
      <c r="B2"/>
      <c r="C2" s="462"/>
      <c r="D2" s="462"/>
      <c r="E2" s="462"/>
      <c r="F2" s="462"/>
      <c r="G2" s="462"/>
      <c r="H2" s="462"/>
    </row>
    <row r="3" spans="2:8">
      <c r="B3"/>
      <c r="C3" s="462"/>
      <c r="D3" s="463"/>
      <c r="E3" s="463"/>
      <c r="F3" s="463"/>
      <c r="G3" s="463"/>
      <c r="H3" s="463"/>
    </row>
    <row r="4" spans="2:8">
      <c r="B4"/>
      <c r="C4" s="462"/>
      <c r="D4" s="464"/>
      <c r="E4" s="464"/>
      <c r="F4" s="464"/>
      <c r="G4" s="464"/>
      <c r="H4" s="464"/>
    </row>
    <row r="5" spans="2:8">
      <c r="B5"/>
      <c r="C5" s="462"/>
      <c r="D5" s="465"/>
      <c r="E5" s="465"/>
      <c r="F5"/>
      <c r="G5"/>
      <c r="H5"/>
    </row>
    <row r="6" spans="2:8">
      <c r="B6"/>
      <c r="C6" s="462"/>
      <c r="D6" s="466"/>
      <c r="E6" s="466"/>
      <c r="F6"/>
      <c r="G6"/>
      <c r="H6"/>
    </row>
    <row r="7" spans="2:8" ht="18">
      <c r="B7" s="467"/>
      <c r="C7"/>
      <c r="D7"/>
      <c r="E7"/>
      <c r="F7"/>
      <c r="G7"/>
      <c r="H7"/>
    </row>
    <row r="8" spans="2:8">
      <c r="B8" s="462"/>
      <c r="C8" s="462"/>
      <c r="D8" s="470"/>
      <c r="E8" s="470"/>
      <c r="F8" s="470"/>
      <c r="G8" s="470"/>
      <c r="H8" s="462"/>
    </row>
    <row r="9" spans="2:8">
      <c r="B9" s="462"/>
      <c r="C9" s="462"/>
      <c r="D9" s="470"/>
      <c r="E9" s="470"/>
      <c r="F9" s="470"/>
      <c r="G9" s="470"/>
      <c r="H9" s="470"/>
    </row>
    <row r="10" spans="2:8">
      <c r="B10" s="462"/>
      <c r="C10" s="462"/>
      <c r="D10" s="462"/>
      <c r="E10" s="471"/>
      <c r="F10" s="462"/>
      <c r="G10" s="462"/>
      <c r="H10" s="462"/>
    </row>
    <row r="11" spans="2:8">
      <c r="B11" s="462"/>
      <c r="C11" s="462"/>
      <c r="D11" s="462"/>
      <c r="E11" s="462"/>
      <c r="F11" s="462"/>
      <c r="G11" s="462"/>
      <c r="H11" s="462"/>
    </row>
    <row r="12" spans="2:8">
      <c r="B12" s="462"/>
      <c r="C12" s="462"/>
      <c r="D12" s="471"/>
      <c r="E12" s="462"/>
      <c r="F12" s="462"/>
      <c r="G12" s="462"/>
      <c r="H12" s="471"/>
    </row>
    <row r="13" spans="2:8">
      <c r="B13" s="462"/>
      <c r="C13" s="462"/>
      <c r="D13" s="462"/>
      <c r="E13" s="462"/>
      <c r="F13" s="462"/>
      <c r="G13" s="462"/>
      <c r="H13" s="462"/>
    </row>
    <row r="14" spans="2:8">
      <c r="B14" s="462"/>
      <c r="C14" s="462"/>
      <c r="D14" s="462"/>
      <c r="E14" s="462"/>
      <c r="F14" s="462"/>
      <c r="G14" s="462"/>
      <c r="H14" s="462"/>
    </row>
    <row r="15" spans="2:8">
      <c r="B15" s="462"/>
      <c r="C15" s="462"/>
      <c r="D15" s="462"/>
      <c r="E15" s="462"/>
      <c r="F15" s="462"/>
      <c r="G15" s="462"/>
      <c r="H15" s="462"/>
    </row>
    <row r="16" spans="2:8">
      <c r="B16" s="462"/>
      <c r="C16" s="462"/>
      <c r="D16" s="462"/>
      <c r="E16" s="462"/>
      <c r="F16" s="462"/>
      <c r="G16" s="462"/>
      <c r="H16" s="462"/>
    </row>
    <row r="17" spans="2:8">
      <c r="B17" s="462"/>
      <c r="C17" s="462"/>
      <c r="D17" s="471"/>
      <c r="E17" s="471"/>
      <c r="F17" s="471"/>
      <c r="G17" s="462"/>
      <c r="H17" s="471"/>
    </row>
    <row r="18" spans="2:8">
      <c r="B18" s="462"/>
      <c r="C18" s="462"/>
      <c r="D18" s="471"/>
      <c r="E18" s="471"/>
      <c r="F18" s="471"/>
      <c r="G18" s="462"/>
      <c r="H18" s="462"/>
    </row>
    <row r="19" spans="2:8">
      <c r="B19" s="462"/>
      <c r="C19" s="462"/>
      <c r="D19" s="462"/>
      <c r="E19" s="462"/>
      <c r="F19" s="462"/>
      <c r="G19" s="471"/>
      <c r="H19" s="471"/>
    </row>
    <row r="20" spans="2:8">
      <c r="B20" s="462"/>
      <c r="C20" s="462"/>
      <c r="D20" s="462"/>
      <c r="E20" s="462"/>
      <c r="F20" s="462"/>
      <c r="G20" s="471"/>
      <c r="H20" s="462"/>
    </row>
    <row r="21" spans="2:8">
      <c r="B21" s="462"/>
      <c r="C21" s="462"/>
      <c r="D21" s="471"/>
      <c r="E21" s="471"/>
      <c r="F21" s="462"/>
      <c r="G21" s="462"/>
      <c r="H21" s="462"/>
    </row>
    <row r="22" spans="2:8">
      <c r="B22" s="462"/>
      <c r="C22" s="462"/>
      <c r="D22" s="471"/>
      <c r="E22" s="471"/>
      <c r="F22" s="471"/>
      <c r="G22" s="462"/>
      <c r="H22" s="462"/>
    </row>
    <row r="23" spans="2:8">
      <c r="B23" s="468"/>
      <c r="C23" s="468"/>
      <c r="D23" s="469"/>
      <c r="E23" s="469"/>
      <c r="F23" s="469"/>
      <c r="G23" s="469"/>
      <c r="H23" s="469"/>
    </row>
    <row r="24" spans="2:8" ht="18">
      <c r="B24" s="467"/>
      <c r="C24"/>
      <c r="D24"/>
      <c r="E24"/>
      <c r="F24"/>
      <c r="G24"/>
      <c r="H24"/>
    </row>
    <row r="25" spans="2:8">
      <c r="B25" s="462"/>
      <c r="C25" s="462"/>
      <c r="D25" s="479"/>
      <c r="E25" s="479"/>
      <c r="F25" s="479"/>
      <c r="G25" s="479"/>
      <c r="H25" s="479"/>
    </row>
    <row r="26" spans="2:8">
      <c r="B26" s="462"/>
      <c r="C26" s="462"/>
      <c r="D26" s="479"/>
      <c r="E26" s="462"/>
      <c r="F26" s="471"/>
      <c r="G26" s="471"/>
      <c r="H26" s="462"/>
    </row>
    <row r="27" spans="2:8">
      <c r="B27" s="462"/>
      <c r="C27" s="462"/>
      <c r="D27" s="462"/>
      <c r="E27" s="462"/>
      <c r="F27" s="462"/>
      <c r="G27" s="470"/>
      <c r="H27" s="462"/>
    </row>
    <row r="28" spans="2:8">
      <c r="B28" s="462"/>
      <c r="C28" s="462"/>
      <c r="D28" s="462"/>
      <c r="E28" s="462"/>
      <c r="F28" s="462"/>
      <c r="G28" s="462"/>
      <c r="H28" s="462"/>
    </row>
    <row r="29" spans="2:8">
      <c r="B29" s="462"/>
      <c r="C29" s="462"/>
      <c r="D29" s="462"/>
      <c r="E29" s="462"/>
      <c r="F29" s="462"/>
      <c r="G29" s="462"/>
      <c r="H29" s="462"/>
    </row>
    <row r="30" spans="2:8">
      <c r="B30" s="462"/>
      <c r="C30" s="462"/>
      <c r="D30" s="471"/>
      <c r="E30" s="471"/>
      <c r="F30" s="471"/>
      <c r="G30" s="471"/>
      <c r="H30" s="471"/>
    </row>
    <row r="31" spans="2:8">
      <c r="B31" s="462"/>
      <c r="C31" s="462"/>
      <c r="D31" s="479"/>
      <c r="E31" s="471"/>
      <c r="F31" s="471"/>
      <c r="G31" s="470"/>
      <c r="H31" s="471"/>
    </row>
    <row r="32" spans="2:8">
      <c r="B32" s="468"/>
      <c r="C32" s="468"/>
      <c r="D32" s="480"/>
      <c r="E32" s="480"/>
      <c r="F32" s="480"/>
      <c r="G32" s="472"/>
      <c r="H32" s="480"/>
    </row>
    <row r="33" spans="2:8" ht="18">
      <c r="B33" s="467"/>
      <c r="C33"/>
      <c r="D33"/>
      <c r="E33"/>
      <c r="F33"/>
      <c r="G33"/>
      <c r="H33"/>
    </row>
    <row r="34" spans="2:8">
      <c r="B34" s="462"/>
      <c r="C34" s="462"/>
      <c r="D34" s="471"/>
      <c r="E34" s="471"/>
      <c r="F34" s="471"/>
      <c r="G34" s="471"/>
      <c r="H34" s="471"/>
    </row>
    <row r="35" spans="2:8">
      <c r="B35" s="462"/>
      <c r="C35" s="462"/>
      <c r="D35" s="471"/>
      <c r="E35" s="471"/>
      <c r="F35" s="471"/>
      <c r="G35" s="471"/>
      <c r="H35" s="471"/>
    </row>
    <row r="36" spans="2:8">
      <c r="B36" s="462"/>
      <c r="C36" s="462"/>
      <c r="D36" s="471"/>
      <c r="E36" s="479"/>
      <c r="F36" s="479"/>
      <c r="G36" s="479"/>
      <c r="H36" s="471"/>
    </row>
    <row r="37" spans="2:8">
      <c r="B37" s="462"/>
      <c r="C37" s="462"/>
      <c r="D37" s="471"/>
      <c r="E37" s="479"/>
      <c r="F37" s="479"/>
      <c r="G37" s="479"/>
      <c r="H37" s="471"/>
    </row>
    <row r="38" spans="2:8">
      <c r="B38" s="462"/>
      <c r="C38" s="462"/>
      <c r="D38" s="462"/>
      <c r="E38" s="462"/>
      <c r="F38" s="462"/>
      <c r="G38" s="462"/>
      <c r="H38" s="462"/>
    </row>
    <row r="39" spans="2:8">
      <c r="B39" s="462"/>
      <c r="C39" s="462"/>
      <c r="D39" s="471"/>
      <c r="E39" s="479"/>
      <c r="F39" s="479"/>
      <c r="G39" s="479"/>
      <c r="H39" s="471"/>
    </row>
    <row r="40" spans="2:8">
      <c r="B40" s="462"/>
      <c r="C40" s="462"/>
      <c r="D40" s="462"/>
      <c r="E40" s="462"/>
      <c r="F40" s="462"/>
      <c r="G40" s="462"/>
      <c r="H40" s="471"/>
    </row>
    <row r="41" spans="2:8">
      <c r="B41" s="462"/>
      <c r="C41" s="462"/>
      <c r="D41" s="462"/>
      <c r="E41" s="471"/>
      <c r="F41" s="462"/>
      <c r="G41" s="479"/>
      <c r="H41" s="471"/>
    </row>
    <row r="42" spans="2:8">
      <c r="B42" s="462"/>
      <c r="C42" s="462"/>
      <c r="D42" s="462"/>
      <c r="E42" s="462"/>
      <c r="F42" s="462"/>
      <c r="G42" s="462"/>
      <c r="H42" s="462"/>
    </row>
    <row r="43" spans="2:8">
      <c r="B43" s="462"/>
      <c r="C43" s="462"/>
      <c r="D43" s="471"/>
      <c r="E43" s="471"/>
      <c r="F43" s="471"/>
      <c r="G43" s="471"/>
      <c r="H43" s="471"/>
    </row>
    <row r="44" spans="2:8">
      <c r="B44" s="462"/>
      <c r="C44" s="462"/>
      <c r="D44" s="471"/>
      <c r="E44" s="462"/>
      <c r="F44" s="462"/>
      <c r="G44" s="471"/>
      <c r="H44" s="462"/>
    </row>
    <row r="45" spans="2:8">
      <c r="B45" s="462"/>
      <c r="C45" s="462"/>
      <c r="D45" s="462"/>
      <c r="E45" s="462"/>
      <c r="F45" s="462"/>
      <c r="G45" s="479"/>
      <c r="H45" s="462"/>
    </row>
    <row r="46" spans="2:8">
      <c r="B46" s="468"/>
      <c r="C46" s="468"/>
      <c r="D46" s="480"/>
      <c r="E46" s="480"/>
      <c r="F46" s="480"/>
      <c r="G46" s="480"/>
      <c r="H46" s="468"/>
    </row>
    <row r="47" spans="2:8" ht="18">
      <c r="B47" s="467"/>
      <c r="C47"/>
      <c r="D47"/>
      <c r="E47"/>
      <c r="F47"/>
      <c r="G47"/>
      <c r="H47"/>
    </row>
    <row r="48" spans="2:8">
      <c r="B48" s="462"/>
      <c r="C48" s="462"/>
      <c r="D48" s="462"/>
      <c r="E48" s="462"/>
      <c r="F48" s="471"/>
      <c r="G48" s="462"/>
      <c r="H48" s="462"/>
    </row>
    <row r="49" spans="2:8">
      <c r="B49" s="468"/>
      <c r="C49" s="468"/>
      <c r="D49" s="480"/>
      <c r="E49" s="472"/>
      <c r="F49" s="472"/>
      <c r="G49" s="468"/>
      <c r="H49" s="469"/>
    </row>
    <row r="50" spans="2:8">
      <c r="B50" s="462"/>
      <c r="C50" s="462"/>
      <c r="D50" s="470"/>
      <c r="E50" s="470"/>
      <c r="F50" s="462"/>
      <c r="G50" s="462"/>
      <c r="H50" s="470"/>
    </row>
    <row r="51" spans="2:8">
      <c r="B51" s="462"/>
      <c r="C51" s="462"/>
      <c r="D51" s="470"/>
      <c r="E51" s="462"/>
      <c r="F51" s="462"/>
      <c r="G51" s="470"/>
      <c r="H51" s="470"/>
    </row>
    <row r="52" spans="2:8">
      <c r="B52" s="462"/>
      <c r="C52" s="462"/>
      <c r="D52" s="470"/>
      <c r="E52" s="470"/>
      <c r="F52" s="470"/>
      <c r="G52" s="470"/>
      <c r="H52" s="470"/>
    </row>
    <row r="53" spans="2:8">
      <c r="B53" s="462"/>
      <c r="C53" s="462"/>
      <c r="D53" s="462"/>
      <c r="E53" s="462"/>
      <c r="F53" s="462"/>
      <c r="G53" s="462"/>
      <c r="H53" s="462"/>
    </row>
    <row r="54" spans="2:8">
      <c r="B54" s="462"/>
      <c r="C54" s="462"/>
      <c r="D54" s="462"/>
      <c r="E54" s="462"/>
      <c r="F54" s="462"/>
      <c r="G54" s="462"/>
      <c r="H54" s="462"/>
    </row>
    <row r="55" spans="2:8">
      <c r="B55" s="473"/>
      <c r="C55"/>
      <c r="D55"/>
      <c r="E55"/>
      <c r="F55"/>
      <c r="G55"/>
      <c r="H55"/>
    </row>
    <row r="56" spans="2:8">
      <c r="B56" s="474"/>
      <c r="C56"/>
      <c r="D56"/>
      <c r="E56"/>
      <c r="F56"/>
      <c r="G56"/>
      <c r="H56"/>
    </row>
    <row r="57" spans="2:8">
      <c r="B57" s="475"/>
      <c r="C57"/>
      <c r="D57"/>
      <c r="E57"/>
      <c r="F57"/>
      <c r="G57"/>
      <c r="H57"/>
    </row>
    <row r="58" spans="2:8">
      <c r="B58" s="476"/>
      <c r="C58"/>
      <c r="D58"/>
      <c r="E58"/>
      <c r="F58"/>
      <c r="G58"/>
      <c r="H58"/>
    </row>
    <row r="59" spans="2:8">
      <c r="B59" s="477"/>
      <c r="C59"/>
      <c r="D59"/>
      <c r="E59"/>
      <c r="F59"/>
      <c r="G59"/>
      <c r="H59"/>
    </row>
    <row r="60" spans="2:8">
      <c r="B60" s="477"/>
      <c r="C60"/>
      <c r="D60"/>
      <c r="E60"/>
      <c r="F60"/>
      <c r="G60"/>
      <c r="H60"/>
    </row>
    <row r="61" spans="2:8">
      <c r="B61" s="478"/>
      <c r="C61"/>
      <c r="D61"/>
      <c r="E61"/>
      <c r="F61"/>
      <c r="G61"/>
      <c r="H61"/>
    </row>
    <row r="62" spans="2:8">
      <c r="B62" s="478"/>
      <c r="C62"/>
      <c r="D62"/>
      <c r="E62"/>
      <c r="F62"/>
      <c r="G62"/>
      <c r="H62"/>
    </row>
    <row r="63" spans="2:8">
      <c r="B63" s="478"/>
      <c r="C63"/>
      <c r="D63"/>
      <c r="E63"/>
      <c r="F63"/>
      <c r="G63"/>
      <c r="H63"/>
    </row>
    <row r="64" spans="2:8">
      <c r="B64" s="478"/>
      <c r="C64"/>
      <c r="D64"/>
      <c r="E64"/>
      <c r="F64"/>
      <c r="G64"/>
      <c r="H64"/>
    </row>
    <row r="65" spans="2:8">
      <c r="B65" s="478"/>
      <c r="C65"/>
      <c r="D65"/>
      <c r="E65"/>
      <c r="F65"/>
      <c r="G65"/>
      <c r="H65"/>
    </row>
    <row r="66" spans="2:8">
      <c r="B66" s="478"/>
      <c r="C66"/>
      <c r="D66"/>
      <c r="E66"/>
      <c r="F66"/>
      <c r="G66"/>
      <c r="H66"/>
    </row>
    <row r="67" spans="2:8">
      <c r="B67" s="478"/>
      <c r="C67"/>
      <c r="D67"/>
      <c r="E67"/>
      <c r="F67"/>
      <c r="G67"/>
      <c r="H67"/>
    </row>
    <row r="68" spans="2:8">
      <c r="B68" s="478"/>
      <c r="C68"/>
      <c r="D68"/>
      <c r="E68"/>
      <c r="F68"/>
      <c r="G68"/>
      <c r="H68"/>
    </row>
    <row r="69" spans="2:8">
      <c r="B69" s="478"/>
      <c r="C69"/>
      <c r="D69"/>
      <c r="E69"/>
      <c r="F69"/>
      <c r="G69"/>
      <c r="H69"/>
    </row>
    <row r="70" spans="2:8">
      <c r="B70" s="477"/>
      <c r="C70"/>
      <c r="D70"/>
      <c r="E70"/>
      <c r="F70"/>
      <c r="G70"/>
      <c r="H70"/>
    </row>
    <row r="71" spans="2:8">
      <c r="B71" s="478"/>
      <c r="C71"/>
      <c r="D71"/>
      <c r="E71"/>
      <c r="F71"/>
      <c r="G71"/>
      <c r="H71"/>
    </row>
    <row r="72" spans="2:8">
      <c r="B72" s="478"/>
      <c r="C72"/>
      <c r="D72"/>
      <c r="E72"/>
      <c r="F72"/>
      <c r="G72"/>
      <c r="H72"/>
    </row>
    <row r="73" spans="2:8">
      <c r="B73" s="478"/>
      <c r="C73"/>
      <c r="D73"/>
      <c r="E73"/>
      <c r="F73"/>
      <c r="G73"/>
      <c r="H73"/>
    </row>
    <row r="74" spans="2:8">
      <c r="B74" s="478"/>
      <c r="C74"/>
      <c r="D74"/>
      <c r="E74"/>
      <c r="F74"/>
      <c r="G74"/>
      <c r="H74"/>
    </row>
    <row r="75" spans="2:8">
      <c r="B75" s="477"/>
      <c r="C75"/>
      <c r="D75"/>
      <c r="E75"/>
      <c r="F75"/>
      <c r="G75"/>
      <c r="H75"/>
    </row>
    <row r="76" spans="2:8">
      <c r="B76" s="478"/>
      <c r="C76"/>
      <c r="D76"/>
      <c r="E76"/>
      <c r="F76"/>
      <c r="G76"/>
      <c r="H76"/>
    </row>
    <row r="77" spans="2:8">
      <c r="B77" s="478"/>
      <c r="C77"/>
      <c r="D77"/>
      <c r="E77"/>
      <c r="F77"/>
      <c r="G77"/>
      <c r="H77"/>
    </row>
    <row r="78" spans="2:8">
      <c r="B78" s="478"/>
      <c r="C78"/>
      <c r="D78"/>
      <c r="E78"/>
      <c r="F78"/>
      <c r="G78"/>
      <c r="H78"/>
    </row>
    <row r="79" spans="2:8">
      <c r="B79" s="478"/>
      <c r="C79"/>
      <c r="D79"/>
      <c r="E79"/>
      <c r="F79"/>
      <c r="G79"/>
      <c r="H79"/>
    </row>
    <row r="80" spans="2:8">
      <c r="B80" s="464"/>
      <c r="C80"/>
      <c r="D80"/>
      <c r="E80"/>
      <c r="F80"/>
      <c r="G80"/>
      <c r="H80"/>
    </row>
    <row r="81" spans="2:8">
      <c r="B81" s="477"/>
      <c r="C81"/>
      <c r="D81"/>
      <c r="E81"/>
      <c r="F81"/>
      <c r="G81"/>
      <c r="H81"/>
    </row>
    <row r="82" spans="2:8">
      <c r="B82" s="477"/>
      <c r="C82"/>
      <c r="D82"/>
      <c r="E82"/>
      <c r="F82"/>
      <c r="G82"/>
      <c r="H82"/>
    </row>
    <row r="83" spans="2:8">
      <c r="B83" s="478"/>
      <c r="C83"/>
      <c r="D83"/>
      <c r="E83"/>
      <c r="F83"/>
      <c r="G83"/>
      <c r="H83"/>
    </row>
    <row r="84" spans="2:8">
      <c r="B84" s="478"/>
      <c r="C84"/>
      <c r="D84"/>
      <c r="E84"/>
      <c r="F84"/>
      <c r="G84"/>
      <c r="H84"/>
    </row>
    <row r="85" spans="2:8">
      <c r="B85" s="478"/>
      <c r="C85"/>
      <c r="D85"/>
      <c r="E85"/>
      <c r="F85"/>
      <c r="G85"/>
      <c r="H85"/>
    </row>
    <row r="86" spans="2:8">
      <c r="B86" s="478"/>
      <c r="C86"/>
      <c r="D86"/>
      <c r="E86"/>
      <c r="F86"/>
      <c r="G86"/>
      <c r="H86"/>
    </row>
    <row r="87" spans="2:8">
      <c r="B87" s="478"/>
      <c r="C87"/>
      <c r="D87"/>
      <c r="E87"/>
      <c r="F87"/>
      <c r="G87"/>
      <c r="H87"/>
    </row>
    <row r="88" spans="2:8">
      <c r="B88" s="478"/>
      <c r="C88"/>
      <c r="D88"/>
      <c r="E88"/>
      <c r="F88"/>
      <c r="G88"/>
      <c r="H88"/>
    </row>
    <row r="89" spans="2:8">
      <c r="B89" s="478"/>
      <c r="C89"/>
      <c r="D89"/>
      <c r="E89"/>
      <c r="F89"/>
      <c r="G89"/>
      <c r="H89"/>
    </row>
    <row r="90" spans="2:8">
      <c r="B90" s="478"/>
      <c r="C90"/>
      <c r="D90"/>
      <c r="E90"/>
      <c r="F90"/>
      <c r="G90"/>
      <c r="H90"/>
    </row>
    <row r="91" spans="2:8">
      <c r="B91" s="478"/>
      <c r="C91"/>
      <c r="D91"/>
      <c r="E91"/>
      <c r="F91"/>
      <c r="G91"/>
      <c r="H91"/>
    </row>
    <row r="92" spans="2:8">
      <c r="B92" s="477"/>
      <c r="C92"/>
      <c r="D92"/>
      <c r="E92"/>
      <c r="F92"/>
      <c r="G92"/>
      <c r="H92"/>
    </row>
    <row r="93" spans="2:8">
      <c r="B93" s="478"/>
      <c r="C93"/>
      <c r="D93"/>
      <c r="E93"/>
      <c r="F93"/>
      <c r="G93"/>
      <c r="H93"/>
    </row>
    <row r="94" spans="2:8">
      <c r="B94" s="478"/>
      <c r="C94"/>
      <c r="D94"/>
      <c r="E94"/>
      <c r="F94"/>
      <c r="G94"/>
      <c r="H94"/>
    </row>
    <row r="95" spans="2:8">
      <c r="B95" s="478"/>
      <c r="C95"/>
      <c r="D95"/>
      <c r="E95"/>
      <c r="F95"/>
      <c r="G95"/>
      <c r="H95"/>
    </row>
    <row r="96" spans="2:8">
      <c r="B96" s="478"/>
      <c r="C96"/>
      <c r="D96"/>
      <c r="E96"/>
      <c r="F96"/>
      <c r="G96"/>
      <c r="H96"/>
    </row>
    <row r="97" spans="2:8">
      <c r="B97" s="477"/>
      <c r="C97"/>
      <c r="D97"/>
      <c r="E97"/>
      <c r="F97"/>
      <c r="G97"/>
      <c r="H97"/>
    </row>
    <row r="98" spans="2:8">
      <c r="B98" s="478"/>
      <c r="C98"/>
      <c r="D98"/>
      <c r="E98"/>
      <c r="F98"/>
      <c r="G98"/>
      <c r="H98"/>
    </row>
    <row r="99" spans="2:8">
      <c r="B99" s="478"/>
      <c r="C99"/>
      <c r="D99"/>
      <c r="E99"/>
      <c r="F99"/>
      <c r="G99"/>
      <c r="H99"/>
    </row>
    <row r="100" spans="2:8">
      <c r="B100" s="478"/>
      <c r="C100"/>
      <c r="D100"/>
      <c r="E100"/>
      <c r="F100"/>
      <c r="G100"/>
      <c r="H100"/>
    </row>
    <row r="101" spans="2:8">
      <c r="B101" s="478"/>
      <c r="C101"/>
      <c r="D101"/>
      <c r="E101"/>
      <c r="F101"/>
      <c r="G101"/>
      <c r="H101"/>
    </row>
    <row r="102" spans="2:8">
      <c r="B102" s="464"/>
      <c r="C102"/>
      <c r="D102"/>
      <c r="E102"/>
      <c r="F102"/>
      <c r="G102"/>
      <c r="H10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E1C1-BBF3-4E85-B0E9-C0AACF416B27}">
  <sheetPr codeName="Sheet11">
    <tabColor theme="5" tint="0.59999389629810485"/>
    <pageSetUpPr fitToPage="1"/>
  </sheetPr>
  <dimension ref="B2:H91"/>
  <sheetViews>
    <sheetView zoomScale="85" zoomScaleNormal="85" workbookViewId="0">
      <selection sqref="A1:XFD1048576"/>
    </sheetView>
  </sheetViews>
  <sheetFormatPr baseColWidth="10" defaultColWidth="9.5" defaultRowHeight="16"/>
  <cols>
    <col min="1" max="1" width="2.6640625" style="59" customWidth="1"/>
    <col min="2" max="2" width="38.1640625" style="59" bestFit="1" customWidth="1"/>
    <col min="3" max="3" width="2.5" style="59" customWidth="1"/>
    <col min="4" max="8" width="10.83203125" style="59" bestFit="1" customWidth="1"/>
    <col min="9" max="16384" width="9.5" style="59"/>
  </cols>
  <sheetData>
    <row r="2" spans="2:8">
      <c r="B2" t="s">
        <v>312</v>
      </c>
      <c r="C2" s="462"/>
      <c r="D2" s="462">
        <v>2016</v>
      </c>
      <c r="E2" s="462">
        <v>2017</v>
      </c>
      <c r="F2" s="462">
        <v>2018</v>
      </c>
      <c r="G2" s="462">
        <v>2019</v>
      </c>
      <c r="H2" s="462">
        <v>2020</v>
      </c>
    </row>
    <row r="3" spans="2:8">
      <c r="B3" t="s">
        <v>313</v>
      </c>
      <c r="C3" s="462"/>
      <c r="D3" s="463">
        <v>42735</v>
      </c>
      <c r="E3" s="463">
        <v>43100</v>
      </c>
      <c r="F3" s="463">
        <v>43465</v>
      </c>
      <c r="G3" s="463">
        <v>43830</v>
      </c>
      <c r="H3" s="463">
        <v>44196</v>
      </c>
    </row>
    <row r="4" spans="2:8">
      <c r="B4"/>
      <c r="C4" s="462"/>
      <c r="D4" s="464" t="s">
        <v>314</v>
      </c>
      <c r="E4" s="464" t="s">
        <v>314</v>
      </c>
      <c r="F4" s="464" t="s">
        <v>314</v>
      </c>
      <c r="G4" s="464" t="s">
        <v>314</v>
      </c>
      <c r="H4" s="464" t="s">
        <v>314</v>
      </c>
    </row>
    <row r="5" spans="2:8">
      <c r="B5"/>
      <c r="C5" s="462"/>
      <c r="D5"/>
      <c r="E5" s="465" t="s">
        <v>315</v>
      </c>
      <c r="F5"/>
      <c r="G5"/>
      <c r="H5"/>
    </row>
    <row r="6" spans="2:8">
      <c r="B6"/>
      <c r="C6" s="462"/>
      <c r="D6"/>
      <c r="E6" s="466">
        <v>43465</v>
      </c>
      <c r="F6"/>
      <c r="G6"/>
      <c r="H6"/>
    </row>
    <row r="7" spans="2:8" ht="18">
      <c r="B7" s="467" t="s">
        <v>316</v>
      </c>
      <c r="C7"/>
      <c r="D7"/>
      <c r="E7"/>
      <c r="F7"/>
      <c r="G7"/>
      <c r="H7"/>
    </row>
    <row r="8" spans="2:8">
      <c r="B8" s="468" t="s">
        <v>1</v>
      </c>
      <c r="C8" s="468"/>
      <c r="D8" s="469">
        <v>36445</v>
      </c>
      <c r="E8" s="469">
        <v>36588</v>
      </c>
      <c r="F8" s="469">
        <v>40827</v>
      </c>
      <c r="G8" s="469">
        <v>39431</v>
      </c>
      <c r="H8" s="469">
        <v>32647</v>
      </c>
    </row>
    <row r="9" spans="2:8" ht="18">
      <c r="B9" s="467" t="s">
        <v>317</v>
      </c>
      <c r="C9"/>
      <c r="D9"/>
      <c r="E9"/>
      <c r="F9"/>
      <c r="G9"/>
      <c r="H9"/>
    </row>
    <row r="10" spans="2:8">
      <c r="B10" s="462" t="s">
        <v>2</v>
      </c>
      <c r="C10" s="462"/>
      <c r="D10" s="470">
        <v>31123</v>
      </c>
      <c r="E10" s="470">
        <v>30895</v>
      </c>
      <c r="F10" s="470">
        <v>35055</v>
      </c>
      <c r="G10" s="470">
        <v>34022</v>
      </c>
      <c r="H10" s="470">
        <v>28207</v>
      </c>
    </row>
    <row r="11" spans="2:8">
      <c r="B11" s="462" t="s">
        <v>3</v>
      </c>
      <c r="C11" s="462"/>
      <c r="D11" s="470">
        <v>1601</v>
      </c>
      <c r="E11" s="470">
        <v>1668</v>
      </c>
      <c r="F11" s="470">
        <v>1664</v>
      </c>
      <c r="G11" s="470">
        <v>1697</v>
      </c>
      <c r="H11" s="470">
        <v>1587</v>
      </c>
    </row>
    <row r="12" spans="2:8">
      <c r="B12" s="462" t="s">
        <v>318</v>
      </c>
      <c r="C12" s="462"/>
      <c r="D12" s="470">
        <v>1056</v>
      </c>
      <c r="E12" s="470">
        <v>1184</v>
      </c>
      <c r="F12" s="470">
        <v>1278</v>
      </c>
      <c r="G12" s="470">
        <v>1345</v>
      </c>
      <c r="H12" s="470">
        <v>1366</v>
      </c>
    </row>
    <row r="13" spans="2:8">
      <c r="B13" s="462" t="s">
        <v>319</v>
      </c>
      <c r="C13" s="462"/>
      <c r="D13" s="462">
        <v>100</v>
      </c>
      <c r="E13" s="462">
        <v>90</v>
      </c>
      <c r="F13" s="462">
        <v>113</v>
      </c>
      <c r="G13" s="462">
        <v>104</v>
      </c>
      <c r="H13" s="462">
        <v>105</v>
      </c>
    </row>
    <row r="14" spans="2:8">
      <c r="B14" s="462" t="s">
        <v>320</v>
      </c>
      <c r="C14" s="462"/>
      <c r="D14" s="471">
        <v>-12</v>
      </c>
      <c r="E14" s="471">
        <v>-20</v>
      </c>
      <c r="F14" s="471">
        <v>-20</v>
      </c>
      <c r="G14" s="471">
        <v>-22</v>
      </c>
      <c r="H14" s="471">
        <v>-19</v>
      </c>
    </row>
    <row r="15" spans="2:8">
      <c r="B15" s="462" t="s">
        <v>321</v>
      </c>
      <c r="C15" s="462"/>
      <c r="D15" s="471">
        <v>-233</v>
      </c>
      <c r="E15" s="471">
        <v>-279</v>
      </c>
      <c r="F15" s="471">
        <v>-333</v>
      </c>
      <c r="G15" s="471">
        <v>-172</v>
      </c>
      <c r="H15" s="471">
        <v>-223</v>
      </c>
    </row>
    <row r="16" spans="2:8">
      <c r="B16" s="462" t="s">
        <v>322</v>
      </c>
      <c r="C16" s="462"/>
      <c r="D16" s="471">
        <v>-245</v>
      </c>
      <c r="E16" s="471">
        <v>-299</v>
      </c>
      <c r="F16" s="471">
        <v>-353</v>
      </c>
      <c r="G16" s="471">
        <v>-194</v>
      </c>
      <c r="H16" s="471">
        <v>-242</v>
      </c>
    </row>
    <row r="17" spans="2:8">
      <c r="B17" s="462" t="s">
        <v>323</v>
      </c>
      <c r="C17" s="462"/>
      <c r="D17" s="462">
        <v>17</v>
      </c>
      <c r="E17" s="462">
        <v>29</v>
      </c>
      <c r="F17" s="462">
        <v>45</v>
      </c>
      <c r="G17" s="462">
        <v>31</v>
      </c>
      <c r="H17" s="462">
        <v>189</v>
      </c>
    </row>
    <row r="18" spans="2:8">
      <c r="B18" s="462" t="s">
        <v>324</v>
      </c>
      <c r="C18" s="462"/>
      <c r="D18" s="462">
        <v>0</v>
      </c>
      <c r="E18" s="462">
        <v>64</v>
      </c>
      <c r="F18" s="462">
        <v>14</v>
      </c>
      <c r="G18" s="462">
        <v>27</v>
      </c>
      <c r="H18" s="462">
        <v>57</v>
      </c>
    </row>
    <row r="19" spans="2:8">
      <c r="B19" s="462" t="s">
        <v>325</v>
      </c>
      <c r="C19" s="462"/>
      <c r="D19" s="462">
        <v>0</v>
      </c>
      <c r="E19" s="462">
        <v>17</v>
      </c>
      <c r="F19" s="462">
        <v>60</v>
      </c>
      <c r="G19" s="462">
        <v>700</v>
      </c>
      <c r="H19" s="462">
        <v>339</v>
      </c>
    </row>
    <row r="20" spans="2:8">
      <c r="B20" s="462" t="s">
        <v>326</v>
      </c>
      <c r="C20" s="462"/>
      <c r="D20" s="462">
        <v>13</v>
      </c>
      <c r="E20" s="471">
        <v>-45</v>
      </c>
      <c r="F20" s="462">
        <v>0</v>
      </c>
      <c r="G20" s="471">
        <v>-524</v>
      </c>
      <c r="H20" s="462">
        <v>33</v>
      </c>
    </row>
    <row r="21" spans="2:8">
      <c r="B21" s="462" t="s">
        <v>327</v>
      </c>
      <c r="C21" s="462"/>
      <c r="D21" s="462">
        <v>30</v>
      </c>
      <c r="E21" s="462">
        <v>65</v>
      </c>
      <c r="F21" s="462">
        <v>119</v>
      </c>
      <c r="G21" s="462">
        <v>234</v>
      </c>
      <c r="H21" s="462">
        <v>618</v>
      </c>
    </row>
    <row r="22" spans="2:8">
      <c r="B22" s="468" t="s">
        <v>4</v>
      </c>
      <c r="C22" s="468"/>
      <c r="D22" s="469">
        <v>33665</v>
      </c>
      <c r="E22" s="469">
        <v>33603</v>
      </c>
      <c r="F22" s="469">
        <v>37876</v>
      </c>
      <c r="G22" s="469">
        <v>37208</v>
      </c>
      <c r="H22" s="469">
        <v>31641</v>
      </c>
    </row>
    <row r="23" spans="2:8" ht="18">
      <c r="B23" s="467" t="s">
        <v>328</v>
      </c>
      <c r="C23"/>
      <c r="D23"/>
      <c r="E23"/>
      <c r="F23"/>
      <c r="G23"/>
      <c r="H23"/>
    </row>
    <row r="24" spans="2:8">
      <c r="B24" s="468" t="s">
        <v>5</v>
      </c>
      <c r="C24" s="468"/>
      <c r="D24" s="469">
        <v>2780</v>
      </c>
      <c r="E24" s="469">
        <v>2985</v>
      </c>
      <c r="F24" s="469">
        <v>2951</v>
      </c>
      <c r="G24" s="469">
        <v>2223</v>
      </c>
      <c r="H24" s="469">
        <v>1006</v>
      </c>
    </row>
    <row r="25" spans="2:8" ht="18">
      <c r="B25" s="467" t="s">
        <v>329</v>
      </c>
      <c r="C25"/>
      <c r="D25"/>
      <c r="E25"/>
      <c r="F25"/>
      <c r="G25"/>
      <c r="H25"/>
    </row>
    <row r="26" spans="2:8">
      <c r="B26" s="468" t="s">
        <v>8</v>
      </c>
      <c r="C26" s="468"/>
      <c r="D26" s="469">
        <v>2780</v>
      </c>
      <c r="E26" s="469">
        <v>2985</v>
      </c>
      <c r="F26" s="469">
        <v>2951</v>
      </c>
      <c r="G26" s="469">
        <v>2223</v>
      </c>
      <c r="H26" s="469">
        <v>1006</v>
      </c>
    </row>
    <row r="27" spans="2:8" ht="18">
      <c r="B27" s="467" t="s">
        <v>330</v>
      </c>
      <c r="C27"/>
      <c r="D27"/>
      <c r="E27"/>
      <c r="F27"/>
      <c r="G27"/>
      <c r="H27"/>
    </row>
    <row r="28" spans="2:8">
      <c r="B28" s="462" t="s">
        <v>9</v>
      </c>
      <c r="C28" s="462"/>
      <c r="D28" s="462">
        <v>706</v>
      </c>
      <c r="E28" s="462">
        <v>764</v>
      </c>
      <c r="F28" s="462">
        <v>608</v>
      </c>
      <c r="G28" s="462">
        <v>591</v>
      </c>
      <c r="H28" s="462">
        <v>329</v>
      </c>
    </row>
    <row r="29" spans="2:8">
      <c r="B29" s="468" t="s">
        <v>10</v>
      </c>
      <c r="C29" s="468"/>
      <c r="D29" s="469">
        <v>2074</v>
      </c>
      <c r="E29" s="469">
        <v>2221</v>
      </c>
      <c r="F29" s="469">
        <v>2343</v>
      </c>
      <c r="G29" s="469">
        <v>1632</v>
      </c>
      <c r="H29" s="468">
        <v>677</v>
      </c>
    </row>
    <row r="30" spans="2:8" ht="18">
      <c r="B30" s="467" t="s">
        <v>331</v>
      </c>
      <c r="C30"/>
      <c r="D30"/>
      <c r="E30"/>
      <c r="F30"/>
      <c r="G30"/>
      <c r="H30"/>
    </row>
    <row r="31" spans="2:8">
      <c r="B31" s="462" t="s">
        <v>137</v>
      </c>
      <c r="C31" s="462"/>
      <c r="D31" s="471">
        <v>-43</v>
      </c>
      <c r="E31" s="471">
        <v>-48</v>
      </c>
      <c r="F31" s="471">
        <v>-36</v>
      </c>
      <c r="G31" s="462">
        <v>133</v>
      </c>
      <c r="H31" s="462">
        <v>80</v>
      </c>
    </row>
    <row r="32" spans="2:8">
      <c r="B32" s="468" t="s">
        <v>332</v>
      </c>
      <c r="C32" s="468"/>
      <c r="D32" s="469">
        <v>2031</v>
      </c>
      <c r="E32" s="469">
        <v>2173</v>
      </c>
      <c r="F32" s="469">
        <v>2307</v>
      </c>
      <c r="G32" s="469">
        <v>1765</v>
      </c>
      <c r="H32" s="468">
        <v>757</v>
      </c>
    </row>
    <row r="33" spans="2:8" ht="18">
      <c r="B33" s="467" t="s">
        <v>333</v>
      </c>
      <c r="C33"/>
      <c r="D33"/>
      <c r="E33"/>
      <c r="F33"/>
      <c r="G33"/>
      <c r="H33"/>
    </row>
    <row r="34" spans="2:8">
      <c r="B34" s="462" t="s">
        <v>334</v>
      </c>
      <c r="C34" s="462"/>
      <c r="D34" s="462">
        <v>0</v>
      </c>
      <c r="E34" s="462">
        <v>23</v>
      </c>
      <c r="F34" s="471">
        <v>-11</v>
      </c>
      <c r="G34" s="462">
        <v>0</v>
      </c>
      <c r="H34" s="462">
        <v>0</v>
      </c>
    </row>
    <row r="35" spans="2:8">
      <c r="B35" s="468" t="s">
        <v>11</v>
      </c>
      <c r="C35" s="468"/>
      <c r="D35" s="468">
        <v>0</v>
      </c>
      <c r="E35" s="468">
        <v>23</v>
      </c>
      <c r="F35" s="472">
        <v>-11</v>
      </c>
      <c r="G35" s="468">
        <v>0</v>
      </c>
      <c r="H35" s="468">
        <v>0</v>
      </c>
    </row>
    <row r="36" spans="2:8" ht="18">
      <c r="B36" s="467" t="s">
        <v>12</v>
      </c>
      <c r="C36"/>
      <c r="D36"/>
      <c r="E36"/>
      <c r="F36"/>
      <c r="G36"/>
      <c r="H36"/>
    </row>
    <row r="37" spans="2:8">
      <c r="B37" s="468" t="s">
        <v>12</v>
      </c>
      <c r="C37" s="468"/>
      <c r="D37" s="469">
        <v>2031</v>
      </c>
      <c r="E37" s="469">
        <v>2196</v>
      </c>
      <c r="F37" s="469">
        <v>2296</v>
      </c>
      <c r="G37" s="469">
        <v>1765</v>
      </c>
      <c r="H37" s="468">
        <v>757</v>
      </c>
    </row>
    <row r="38" spans="2:8" ht="18">
      <c r="B38" s="467" t="s">
        <v>335</v>
      </c>
      <c r="C38"/>
      <c r="D38"/>
      <c r="E38"/>
      <c r="F38"/>
      <c r="G38"/>
      <c r="H38"/>
    </row>
    <row r="39" spans="2:8">
      <c r="B39" s="468" t="s">
        <v>13</v>
      </c>
      <c r="C39" s="468"/>
      <c r="D39" s="469">
        <v>2031</v>
      </c>
      <c r="E39" s="469">
        <v>2173</v>
      </c>
      <c r="F39" s="469">
        <v>2307</v>
      </c>
      <c r="G39" s="469">
        <v>1765</v>
      </c>
      <c r="H39" s="468">
        <v>757</v>
      </c>
    </row>
    <row r="40" spans="2:8">
      <c r="B40" s="468" t="s">
        <v>14</v>
      </c>
      <c r="C40" s="468"/>
      <c r="D40" s="469">
        <v>2031</v>
      </c>
      <c r="E40" s="469">
        <v>2196</v>
      </c>
      <c r="F40" s="469">
        <v>2296</v>
      </c>
      <c r="G40" s="469">
        <v>1765</v>
      </c>
      <c r="H40" s="468">
        <v>757</v>
      </c>
    </row>
    <row r="41" spans="2:8" ht="18">
      <c r="B41" s="467" t="s">
        <v>336</v>
      </c>
      <c r="C41"/>
      <c r="D41"/>
      <c r="E41"/>
      <c r="F41"/>
      <c r="G41"/>
      <c r="H41"/>
    </row>
    <row r="42" spans="2:8">
      <c r="B42" s="462" t="s">
        <v>15</v>
      </c>
      <c r="C42" s="462"/>
      <c r="D42" s="462">
        <v>391</v>
      </c>
      <c r="E42" s="462">
        <v>372</v>
      </c>
      <c r="F42" s="462">
        <v>345</v>
      </c>
      <c r="G42" s="462">
        <v>315</v>
      </c>
      <c r="H42" s="462">
        <v>300</v>
      </c>
    </row>
    <row r="43" spans="2:8">
      <c r="B43" s="462" t="s">
        <v>16</v>
      </c>
      <c r="C43" s="462"/>
      <c r="D43" s="462">
        <v>5.19</v>
      </c>
      <c r="E43" s="462">
        <v>5.84</v>
      </c>
      <c r="F43" s="462">
        <v>6.68</v>
      </c>
      <c r="G43" s="462">
        <v>5.61</v>
      </c>
      <c r="H43" s="462">
        <v>2.5299999999999998</v>
      </c>
    </row>
    <row r="44" spans="2:8">
      <c r="B44" s="462" t="s">
        <v>17</v>
      </c>
      <c r="C44" s="462"/>
      <c r="D44" s="462">
        <v>5.19</v>
      </c>
      <c r="E44" s="462">
        <v>5.91</v>
      </c>
      <c r="F44" s="462">
        <v>6.65</v>
      </c>
      <c r="G44" s="462">
        <v>5.61</v>
      </c>
      <c r="H44" s="462">
        <v>2.5299999999999998</v>
      </c>
    </row>
    <row r="45" spans="2:8">
      <c r="B45" s="462" t="s">
        <v>337</v>
      </c>
      <c r="C45" s="462"/>
      <c r="D45" s="462">
        <v>0</v>
      </c>
      <c r="E45" s="462">
        <v>0</v>
      </c>
      <c r="F45" s="462">
        <v>0</v>
      </c>
      <c r="G45" s="462">
        <v>0</v>
      </c>
      <c r="H45" s="462">
        <v>0</v>
      </c>
    </row>
    <row r="46" spans="2:8">
      <c r="B46" s="462" t="s">
        <v>18</v>
      </c>
      <c r="C46" s="462"/>
      <c r="D46" s="462">
        <v>393</v>
      </c>
      <c r="E46" s="462">
        <v>374</v>
      </c>
      <c r="F46" s="462">
        <v>348</v>
      </c>
      <c r="G46" s="462">
        <v>316</v>
      </c>
      <c r="H46" s="462">
        <v>300</v>
      </c>
    </row>
    <row r="47" spans="2:8">
      <c r="B47" s="462" t="s">
        <v>19</v>
      </c>
      <c r="C47" s="462"/>
      <c r="D47" s="462">
        <v>5.17</v>
      </c>
      <c r="E47" s="462">
        <v>5.81</v>
      </c>
      <c r="F47" s="462">
        <v>6.64</v>
      </c>
      <c r="G47" s="462">
        <v>5.59</v>
      </c>
      <c r="H47" s="462">
        <v>2.52</v>
      </c>
    </row>
    <row r="48" spans="2:8">
      <c r="B48" s="462" t="s">
        <v>20</v>
      </c>
      <c r="C48" s="462"/>
      <c r="D48" s="462">
        <v>5.17</v>
      </c>
      <c r="E48" s="462">
        <v>5.87</v>
      </c>
      <c r="F48" s="462">
        <v>6.61</v>
      </c>
      <c r="G48" s="462">
        <v>5.59</v>
      </c>
      <c r="H48" s="462">
        <v>2.52</v>
      </c>
    </row>
    <row r="49" spans="2:8" ht="18">
      <c r="B49" s="467" t="s">
        <v>21</v>
      </c>
      <c r="C49"/>
      <c r="D49"/>
      <c r="E49"/>
      <c r="F49"/>
      <c r="G49"/>
      <c r="H49"/>
    </row>
    <row r="50" spans="2:8">
      <c r="B50" s="462" t="s">
        <v>338</v>
      </c>
      <c r="C50" s="462"/>
      <c r="D50" s="462">
        <v>1</v>
      </c>
      <c r="E50" s="462">
        <v>1.1000000000000001</v>
      </c>
      <c r="F50" s="462">
        <v>1.32</v>
      </c>
      <c r="G50" s="462">
        <v>1.46</v>
      </c>
      <c r="H50" s="462">
        <v>1.6</v>
      </c>
    </row>
    <row r="51" spans="2:8">
      <c r="B51" s="462" t="s">
        <v>22</v>
      </c>
      <c r="C51" s="462"/>
      <c r="D51" s="462">
        <v>385</v>
      </c>
      <c r="E51" s="462">
        <v>407</v>
      </c>
      <c r="F51" s="462">
        <v>458</v>
      </c>
      <c r="G51" s="462">
        <v>464</v>
      </c>
      <c r="H51" s="462">
        <v>482</v>
      </c>
    </row>
    <row r="52" spans="2:8" ht="18">
      <c r="B52" s="467" t="s">
        <v>339</v>
      </c>
      <c r="C52"/>
      <c r="D52"/>
      <c r="E52"/>
      <c r="F52"/>
      <c r="G52"/>
      <c r="H52"/>
    </row>
    <row r="53" spans="2:8">
      <c r="B53" s="468" t="s">
        <v>339</v>
      </c>
      <c r="C53" s="468"/>
      <c r="D53" s="468">
        <v>0</v>
      </c>
      <c r="E53" s="468">
        <v>0</v>
      </c>
      <c r="F53" s="468">
        <v>0</v>
      </c>
      <c r="G53" s="468">
        <v>0</v>
      </c>
      <c r="H53" s="468">
        <v>0</v>
      </c>
    </row>
    <row r="54" spans="2:8" ht="18">
      <c r="B54" s="467" t="s">
        <v>340</v>
      </c>
      <c r="C54"/>
      <c r="D54"/>
      <c r="E54"/>
      <c r="F54"/>
      <c r="G54"/>
      <c r="H54"/>
    </row>
    <row r="55" spans="2:8">
      <c r="B55" s="462" t="s">
        <v>341</v>
      </c>
      <c r="C55" s="462"/>
      <c r="D55" s="462">
        <v>100</v>
      </c>
      <c r="E55" s="462">
        <v>90</v>
      </c>
      <c r="F55" s="462">
        <v>113</v>
      </c>
      <c r="G55" s="462">
        <v>104</v>
      </c>
      <c r="H55" s="462">
        <v>105</v>
      </c>
    </row>
    <row r="56" spans="2:8">
      <c r="B56" s="462" t="s">
        <v>23</v>
      </c>
      <c r="C56" s="462"/>
      <c r="D56" s="470">
        <v>1056</v>
      </c>
      <c r="E56" s="470">
        <v>1184</v>
      </c>
      <c r="F56" s="470">
        <v>1278</v>
      </c>
      <c r="G56" s="470">
        <v>1345</v>
      </c>
      <c r="H56" s="470">
        <v>1281</v>
      </c>
    </row>
    <row r="57" spans="2:8" ht="18">
      <c r="B57" s="467" t="s">
        <v>342</v>
      </c>
      <c r="C57"/>
      <c r="D57"/>
      <c r="E57"/>
      <c r="F57"/>
      <c r="G57"/>
      <c r="H57"/>
    </row>
    <row r="58" spans="2:8">
      <c r="B58" s="462" t="s">
        <v>343</v>
      </c>
      <c r="C58" s="462"/>
      <c r="D58" s="462">
        <v>30</v>
      </c>
      <c r="E58" s="462">
        <v>65</v>
      </c>
      <c r="F58" s="462">
        <v>119</v>
      </c>
      <c r="G58" s="462">
        <v>234</v>
      </c>
      <c r="H58" s="462">
        <v>618</v>
      </c>
    </row>
    <row r="59" spans="2:8">
      <c r="B59" s="468" t="s">
        <v>344</v>
      </c>
      <c r="C59" s="468"/>
      <c r="D59" s="469">
        <v>2810</v>
      </c>
      <c r="E59" s="469">
        <v>3050</v>
      </c>
      <c r="F59" s="469">
        <v>3070</v>
      </c>
      <c r="G59" s="469">
        <v>2457</v>
      </c>
      <c r="H59" s="469">
        <v>1624</v>
      </c>
    </row>
    <row r="60" spans="2:8">
      <c r="B60" s="462" t="s">
        <v>345</v>
      </c>
      <c r="C60" s="462"/>
      <c r="D60" s="462">
        <v>8</v>
      </c>
      <c r="E60" s="462">
        <v>17</v>
      </c>
      <c r="F60" s="462">
        <v>25</v>
      </c>
      <c r="G60" s="462">
        <v>62</v>
      </c>
      <c r="H60" s="471">
        <v>-80</v>
      </c>
    </row>
    <row r="61" spans="2:8">
      <c r="B61" s="462" t="s">
        <v>346</v>
      </c>
      <c r="C61" s="462"/>
      <c r="D61" s="462">
        <v>714</v>
      </c>
      <c r="E61" s="462">
        <v>781</v>
      </c>
      <c r="F61" s="462">
        <v>633</v>
      </c>
      <c r="G61" s="462">
        <v>653</v>
      </c>
      <c r="H61" s="462">
        <v>249</v>
      </c>
    </row>
    <row r="62" spans="2:8">
      <c r="B62" s="468" t="s">
        <v>347</v>
      </c>
      <c r="C62" s="468"/>
      <c r="D62" s="469">
        <v>2096</v>
      </c>
      <c r="E62" s="469">
        <v>2269</v>
      </c>
      <c r="F62" s="469">
        <v>2437</v>
      </c>
      <c r="G62" s="469">
        <v>1804</v>
      </c>
      <c r="H62" s="469">
        <v>1375</v>
      </c>
    </row>
    <row r="63" spans="2:8">
      <c r="B63" s="468" t="s">
        <v>348</v>
      </c>
      <c r="C63" s="468"/>
      <c r="D63" s="469">
        <v>2053</v>
      </c>
      <c r="E63" s="469">
        <v>2221</v>
      </c>
      <c r="F63" s="469">
        <v>2401</v>
      </c>
      <c r="G63" s="469">
        <v>1937</v>
      </c>
      <c r="H63" s="469">
        <v>1455</v>
      </c>
    </row>
    <row r="64" spans="2:8">
      <c r="B64" s="462" t="s">
        <v>24</v>
      </c>
      <c r="C64" s="462"/>
      <c r="D64" s="462">
        <v>5.25</v>
      </c>
      <c r="E64" s="462">
        <v>5.97</v>
      </c>
      <c r="F64" s="462">
        <v>6.95</v>
      </c>
      <c r="G64" s="462">
        <v>6.15</v>
      </c>
      <c r="H64" s="462">
        <v>4.8499999999999996</v>
      </c>
    </row>
    <row r="65" spans="2:8">
      <c r="B65" s="462" t="s">
        <v>25</v>
      </c>
      <c r="C65" s="462"/>
      <c r="D65" s="462">
        <v>5.22</v>
      </c>
      <c r="E65" s="462">
        <v>5.94</v>
      </c>
      <c r="F65" s="462">
        <v>6.91</v>
      </c>
      <c r="G65" s="462">
        <v>6.13</v>
      </c>
      <c r="H65" s="462">
        <v>4.84</v>
      </c>
    </row>
    <row r="66" spans="2:8">
      <c r="B66" s="473"/>
      <c r="C66"/>
      <c r="D66"/>
      <c r="E66"/>
      <c r="F66"/>
      <c r="G66"/>
      <c r="H66"/>
    </row>
    <row r="67" spans="2:8">
      <c r="B67" s="474"/>
      <c r="C67"/>
      <c r="D67"/>
      <c r="E67"/>
      <c r="F67"/>
      <c r="G67"/>
      <c r="H67"/>
    </row>
    <row r="68" spans="2:8">
      <c r="B68" s="475"/>
      <c r="C68"/>
      <c r="D68"/>
      <c r="E68"/>
      <c r="F68"/>
      <c r="G68"/>
      <c r="H68"/>
    </row>
    <row r="69" spans="2:8">
      <c r="B69" s="476"/>
      <c r="C69"/>
      <c r="D69"/>
      <c r="E69"/>
      <c r="F69"/>
      <c r="G69"/>
      <c r="H69"/>
    </row>
    <row r="70" spans="2:8">
      <c r="B70" s="477"/>
      <c r="C70"/>
      <c r="D70"/>
      <c r="E70"/>
      <c r="F70"/>
      <c r="G70"/>
      <c r="H70"/>
    </row>
    <row r="71" spans="2:8">
      <c r="B71" s="477"/>
      <c r="C71"/>
      <c r="D71"/>
      <c r="E71"/>
      <c r="F71"/>
      <c r="G71"/>
      <c r="H71"/>
    </row>
    <row r="72" spans="2:8">
      <c r="B72" s="478"/>
      <c r="C72"/>
      <c r="D72"/>
      <c r="E72"/>
      <c r="F72"/>
      <c r="G72"/>
      <c r="H72"/>
    </row>
    <row r="73" spans="2:8">
      <c r="B73" s="478"/>
      <c r="C73"/>
      <c r="D73"/>
      <c r="E73"/>
      <c r="F73"/>
      <c r="G73"/>
      <c r="H73"/>
    </row>
    <row r="74" spans="2:8">
      <c r="B74" s="478"/>
      <c r="C74"/>
      <c r="D74"/>
      <c r="E74"/>
      <c r="F74"/>
      <c r="G74"/>
      <c r="H74"/>
    </row>
    <row r="75" spans="2:8">
      <c r="B75" s="478"/>
      <c r="C75"/>
      <c r="D75"/>
      <c r="E75"/>
      <c r="F75"/>
      <c r="G75"/>
      <c r="H75"/>
    </row>
    <row r="76" spans="2:8">
      <c r="B76" s="478"/>
      <c r="C76"/>
      <c r="D76"/>
      <c r="E76"/>
      <c r="F76"/>
      <c r="G76"/>
      <c r="H76"/>
    </row>
    <row r="77" spans="2:8">
      <c r="B77" s="478"/>
      <c r="C77"/>
      <c r="D77"/>
      <c r="E77"/>
      <c r="F77"/>
      <c r="G77"/>
      <c r="H77"/>
    </row>
    <row r="78" spans="2:8">
      <c r="B78" s="478"/>
      <c r="C78"/>
      <c r="D78"/>
      <c r="E78"/>
      <c r="F78"/>
      <c r="G78"/>
      <c r="H78"/>
    </row>
    <row r="79" spans="2:8">
      <c r="B79" s="478"/>
      <c r="C79"/>
      <c r="D79"/>
      <c r="E79"/>
      <c r="F79"/>
      <c r="G79"/>
      <c r="H79"/>
    </row>
    <row r="80" spans="2:8">
      <c r="B80" s="478"/>
      <c r="C80"/>
      <c r="D80"/>
      <c r="E80"/>
      <c r="F80"/>
      <c r="G80"/>
      <c r="H80"/>
    </row>
    <row r="81" spans="2:8">
      <c r="B81" s="477"/>
      <c r="C81"/>
      <c r="D81"/>
      <c r="E81"/>
      <c r="F81"/>
      <c r="G81"/>
      <c r="H81"/>
    </row>
    <row r="82" spans="2:8">
      <c r="B82" s="478"/>
      <c r="C82"/>
      <c r="D82"/>
      <c r="E82"/>
      <c r="F82"/>
      <c r="G82"/>
      <c r="H82"/>
    </row>
    <row r="83" spans="2:8">
      <c r="B83" s="478"/>
      <c r="C83"/>
      <c r="D83"/>
      <c r="E83"/>
      <c r="F83"/>
      <c r="G83"/>
      <c r="H83"/>
    </row>
    <row r="84" spans="2:8">
      <c r="B84" s="478"/>
      <c r="C84"/>
      <c r="D84"/>
      <c r="E84"/>
      <c r="F84"/>
      <c r="G84"/>
      <c r="H84"/>
    </row>
    <row r="85" spans="2:8">
      <c r="B85" s="478"/>
      <c r="C85"/>
      <c r="D85"/>
      <c r="E85"/>
      <c r="F85"/>
      <c r="G85"/>
      <c r="H85"/>
    </row>
    <row r="86" spans="2:8">
      <c r="B86" s="477"/>
      <c r="C86"/>
      <c r="D86"/>
      <c r="E86"/>
      <c r="F86"/>
      <c r="G86"/>
      <c r="H86"/>
    </row>
    <row r="87" spans="2:8">
      <c r="B87" s="478"/>
      <c r="C87"/>
      <c r="D87"/>
      <c r="E87"/>
      <c r="F87"/>
      <c r="G87"/>
      <c r="H87"/>
    </row>
    <row r="88" spans="2:8">
      <c r="B88" s="478"/>
      <c r="C88"/>
      <c r="D88"/>
      <c r="E88"/>
      <c r="F88"/>
      <c r="G88"/>
      <c r="H88"/>
    </row>
    <row r="89" spans="2:8">
      <c r="B89" s="478"/>
      <c r="C89"/>
      <c r="D89"/>
      <c r="E89"/>
      <c r="F89"/>
      <c r="G89"/>
      <c r="H89"/>
    </row>
    <row r="90" spans="2:8">
      <c r="B90" s="478"/>
      <c r="C90"/>
      <c r="D90"/>
      <c r="E90"/>
      <c r="F90"/>
      <c r="G90"/>
      <c r="H90"/>
    </row>
    <row r="91" spans="2:8">
      <c r="B91" s="464"/>
      <c r="C91"/>
      <c r="D91"/>
      <c r="E91"/>
      <c r="F91"/>
      <c r="G91"/>
      <c r="H91"/>
    </row>
  </sheetData>
  <pageMargins left="0.7" right="0.7" top="0.75" bottom="0.75" header="0.3" footer="0.3"/>
  <pageSetup scale="6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3FB4-E70A-4110-9D15-574CA9FBD1B8}">
  <sheetPr codeName="Sheet12">
    <tabColor theme="5" tint="0.59999389629810485"/>
    <pageSetUpPr fitToPage="1"/>
  </sheetPr>
  <dimension ref="B2:H102"/>
  <sheetViews>
    <sheetView zoomScale="85" zoomScaleNormal="85" workbookViewId="0">
      <selection sqref="A1:XFD1048576"/>
    </sheetView>
  </sheetViews>
  <sheetFormatPr baseColWidth="10" defaultColWidth="9.5" defaultRowHeight="16"/>
  <cols>
    <col min="1" max="1" width="2.6640625" style="59" customWidth="1"/>
    <col min="2" max="2" width="38.1640625" style="59" bestFit="1" customWidth="1"/>
    <col min="3" max="3" width="2.5" style="59" customWidth="1"/>
    <col min="4" max="8" width="10.83203125" style="59" bestFit="1" customWidth="1"/>
    <col min="9" max="16384" width="9.5" style="59"/>
  </cols>
  <sheetData>
    <row r="2" spans="2:8">
      <c r="B2" t="s">
        <v>312</v>
      </c>
      <c r="C2" s="462"/>
      <c r="D2" s="462">
        <v>2016</v>
      </c>
      <c r="E2" s="462">
        <v>2017</v>
      </c>
      <c r="F2" s="462">
        <v>2018</v>
      </c>
      <c r="G2" s="462">
        <v>2019</v>
      </c>
      <c r="H2" s="462">
        <v>2020</v>
      </c>
    </row>
    <row r="3" spans="2:8">
      <c r="B3" t="s">
        <v>313</v>
      </c>
      <c r="C3" s="462"/>
      <c r="D3" s="463">
        <v>42735</v>
      </c>
      <c r="E3" s="463">
        <v>43100</v>
      </c>
      <c r="F3" s="463">
        <v>43465</v>
      </c>
      <c r="G3" s="463">
        <v>43830</v>
      </c>
      <c r="H3" s="463">
        <v>44196</v>
      </c>
    </row>
    <row r="4" spans="2:8">
      <c r="B4"/>
      <c r="C4" s="462"/>
      <c r="D4"/>
      <c r="E4" s="465" t="s">
        <v>315</v>
      </c>
      <c r="F4"/>
      <c r="G4"/>
      <c r="H4"/>
    </row>
    <row r="5" spans="2:8">
      <c r="B5"/>
      <c r="C5" s="462"/>
      <c r="D5"/>
      <c r="E5" s="466">
        <v>43190</v>
      </c>
      <c r="F5"/>
      <c r="G5"/>
      <c r="H5"/>
    </row>
    <row r="6" spans="2:8" ht="18">
      <c r="B6" s="467" t="s">
        <v>26</v>
      </c>
      <c r="C6"/>
      <c r="D6"/>
      <c r="E6"/>
      <c r="F6"/>
      <c r="G6"/>
      <c r="H6"/>
    </row>
    <row r="7" spans="2:8">
      <c r="B7" s="462" t="s">
        <v>349</v>
      </c>
      <c r="C7" s="462"/>
      <c r="D7" s="462">
        <v>476</v>
      </c>
      <c r="E7" s="462">
        <v>492</v>
      </c>
      <c r="F7" s="462">
        <v>370</v>
      </c>
      <c r="G7" s="462">
        <v>552</v>
      </c>
      <c r="H7" s="470">
        <v>1281</v>
      </c>
    </row>
    <row r="8" spans="2:8">
      <c r="B8" s="462" t="s">
        <v>27</v>
      </c>
      <c r="C8" s="462"/>
      <c r="D8" s="462">
        <v>0</v>
      </c>
      <c r="E8" s="462">
        <v>0</v>
      </c>
      <c r="F8" s="462">
        <v>0</v>
      </c>
      <c r="G8" s="462">
        <v>0</v>
      </c>
      <c r="H8" s="470">
        <v>1987</v>
      </c>
    </row>
    <row r="9" spans="2:8">
      <c r="B9" s="462" t="s">
        <v>350</v>
      </c>
      <c r="C9" s="462"/>
      <c r="D9" s="462">
        <v>498</v>
      </c>
      <c r="E9" s="462">
        <v>234</v>
      </c>
      <c r="F9" s="462">
        <v>314</v>
      </c>
      <c r="G9" s="462">
        <v>724</v>
      </c>
      <c r="H9" s="462">
        <v>0</v>
      </c>
    </row>
    <row r="10" spans="2:8">
      <c r="B10" s="462" t="s">
        <v>28</v>
      </c>
      <c r="C10" s="462"/>
      <c r="D10" s="462">
        <v>974</v>
      </c>
      <c r="E10" s="462">
        <v>726</v>
      </c>
      <c r="F10" s="462">
        <v>684</v>
      </c>
      <c r="G10" s="470">
        <v>1276</v>
      </c>
      <c r="H10" s="470">
        <v>3268</v>
      </c>
    </row>
    <row r="11" spans="2:8">
      <c r="B11" s="462" t="s">
        <v>351</v>
      </c>
      <c r="C11" s="462"/>
      <c r="D11" s="470">
        <v>6165</v>
      </c>
      <c r="E11" s="470">
        <v>6695</v>
      </c>
      <c r="F11" s="470">
        <v>6548</v>
      </c>
      <c r="G11" s="470">
        <v>5927</v>
      </c>
      <c r="H11" s="470">
        <v>6394</v>
      </c>
    </row>
    <row r="12" spans="2:8">
      <c r="B12" s="462" t="s">
        <v>352</v>
      </c>
      <c r="C12" s="462"/>
      <c r="D12" s="462">
        <v>0</v>
      </c>
      <c r="E12" s="462">
        <v>0</v>
      </c>
      <c r="F12" s="462">
        <v>57</v>
      </c>
      <c r="G12" s="462">
        <v>0</v>
      </c>
      <c r="H12" s="462">
        <v>0</v>
      </c>
    </row>
    <row r="13" spans="2:8">
      <c r="B13" s="462" t="s">
        <v>29</v>
      </c>
      <c r="C13" s="462"/>
      <c r="D13" s="470">
        <v>6165</v>
      </c>
      <c r="E13" s="470">
        <v>6695</v>
      </c>
      <c r="F13" s="470">
        <v>6605</v>
      </c>
      <c r="G13" s="470">
        <v>5927</v>
      </c>
      <c r="H13" s="470">
        <v>6394</v>
      </c>
    </row>
    <row r="14" spans="2:8">
      <c r="B14" s="462" t="s">
        <v>353</v>
      </c>
      <c r="C14" s="462"/>
      <c r="D14" s="462">
        <v>327</v>
      </c>
      <c r="E14" s="462">
        <v>433</v>
      </c>
      <c r="F14" s="462">
        <v>408</v>
      </c>
      <c r="G14" s="462">
        <v>425</v>
      </c>
      <c r="H14" s="462">
        <v>470</v>
      </c>
    </row>
    <row r="15" spans="2:8">
      <c r="B15" s="462" t="s">
        <v>354</v>
      </c>
      <c r="C15" s="462"/>
      <c r="D15" s="462">
        <v>264</v>
      </c>
      <c r="E15" s="462">
        <v>331</v>
      </c>
      <c r="F15" s="462">
        <v>331</v>
      </c>
      <c r="G15" s="462">
        <v>339</v>
      </c>
      <c r="H15" s="462">
        <v>340</v>
      </c>
    </row>
    <row r="16" spans="2:8">
      <c r="B16" s="462" t="s">
        <v>355</v>
      </c>
      <c r="C16" s="462"/>
      <c r="D16" s="470">
        <v>1007</v>
      </c>
      <c r="E16" s="470">
        <v>1254</v>
      </c>
      <c r="F16" s="470">
        <v>1282</v>
      </c>
      <c r="G16" s="470">
        <v>1201</v>
      </c>
      <c r="H16" s="470">
        <v>1226</v>
      </c>
    </row>
    <row r="17" spans="2:8">
      <c r="B17" s="462" t="s">
        <v>356</v>
      </c>
      <c r="C17" s="462"/>
      <c r="D17" s="470">
        <v>1206</v>
      </c>
      <c r="E17" s="470">
        <v>1524</v>
      </c>
      <c r="F17" s="470">
        <v>1382</v>
      </c>
      <c r="G17" s="470">
        <v>1339</v>
      </c>
      <c r="H17" s="470">
        <v>1408</v>
      </c>
    </row>
    <row r="18" spans="2:8">
      <c r="B18" s="462" t="s">
        <v>30</v>
      </c>
      <c r="C18" s="462"/>
      <c r="D18" s="470">
        <v>2804</v>
      </c>
      <c r="E18" s="470">
        <v>3542</v>
      </c>
      <c r="F18" s="470">
        <v>3403</v>
      </c>
      <c r="G18" s="470">
        <v>3304</v>
      </c>
      <c r="H18" s="470">
        <v>3444</v>
      </c>
    </row>
    <row r="19" spans="2:8">
      <c r="B19" s="462" t="s">
        <v>131</v>
      </c>
      <c r="C19" s="462"/>
      <c r="D19" s="462">
        <v>220</v>
      </c>
      <c r="E19" s="462">
        <v>237</v>
      </c>
      <c r="F19" s="462">
        <v>193</v>
      </c>
      <c r="G19" s="462">
        <v>232</v>
      </c>
      <c r="H19" s="462">
        <v>102</v>
      </c>
    </row>
    <row r="20" spans="2:8">
      <c r="B20" s="462" t="s">
        <v>357</v>
      </c>
      <c r="C20" s="462"/>
      <c r="D20" s="462">
        <v>0</v>
      </c>
      <c r="E20" s="462">
        <v>0</v>
      </c>
      <c r="F20" s="462">
        <v>0</v>
      </c>
      <c r="G20" s="462">
        <v>6</v>
      </c>
      <c r="H20" s="462">
        <v>106</v>
      </c>
    </row>
    <row r="21" spans="2:8">
      <c r="B21" s="462" t="s">
        <v>358</v>
      </c>
      <c r="C21" s="462"/>
      <c r="D21" s="462">
        <v>0</v>
      </c>
      <c r="E21" s="462">
        <v>0</v>
      </c>
      <c r="F21" s="462">
        <v>949</v>
      </c>
      <c r="G21" s="462">
        <v>0</v>
      </c>
      <c r="H21" s="462">
        <v>0</v>
      </c>
    </row>
    <row r="22" spans="2:8">
      <c r="B22" s="462" t="s">
        <v>31</v>
      </c>
      <c r="C22" s="462"/>
      <c r="D22" s="462">
        <v>0</v>
      </c>
      <c r="E22" s="462">
        <v>0</v>
      </c>
      <c r="F22" s="462">
        <v>0</v>
      </c>
      <c r="G22" s="462">
        <v>0</v>
      </c>
      <c r="H22" s="462">
        <v>52</v>
      </c>
    </row>
    <row r="23" spans="2:8">
      <c r="B23" s="462" t="s">
        <v>359</v>
      </c>
      <c r="C23" s="462"/>
      <c r="D23" s="462">
        <v>0</v>
      </c>
      <c r="E23" s="462">
        <v>0</v>
      </c>
      <c r="F23" s="462">
        <v>949</v>
      </c>
      <c r="G23" s="462">
        <v>6</v>
      </c>
      <c r="H23" s="462">
        <v>158</v>
      </c>
    </row>
    <row r="24" spans="2:8">
      <c r="B24" s="468" t="s">
        <v>32</v>
      </c>
      <c r="C24" s="468"/>
      <c r="D24" s="469">
        <v>10163</v>
      </c>
      <c r="E24" s="469">
        <v>11200</v>
      </c>
      <c r="F24" s="469">
        <v>11834</v>
      </c>
      <c r="G24" s="469">
        <v>10745</v>
      </c>
      <c r="H24" s="469">
        <v>13366</v>
      </c>
    </row>
    <row r="25" spans="2:8">
      <c r="B25" s="462" t="s">
        <v>360</v>
      </c>
      <c r="C25" s="462"/>
      <c r="D25" s="470">
        <v>1942</v>
      </c>
      <c r="E25" s="470">
        <v>2232</v>
      </c>
      <c r="F25" s="470">
        <v>2205</v>
      </c>
      <c r="G25" s="470">
        <v>2413</v>
      </c>
      <c r="H25" s="470">
        <v>2709</v>
      </c>
    </row>
    <row r="26" spans="2:8">
      <c r="B26" s="462" t="s">
        <v>361</v>
      </c>
      <c r="C26" s="462"/>
      <c r="D26" s="462">
        <v>254</v>
      </c>
      <c r="E26" s="462">
        <v>269</v>
      </c>
      <c r="F26" s="462">
        <v>229</v>
      </c>
      <c r="G26" s="462">
        <v>219</v>
      </c>
      <c r="H26" s="462">
        <v>195</v>
      </c>
    </row>
    <row r="27" spans="2:8">
      <c r="B27" s="462" t="s">
        <v>362</v>
      </c>
      <c r="C27" s="462"/>
      <c r="D27" s="470">
        <v>12349</v>
      </c>
      <c r="E27" s="470">
        <v>14320</v>
      </c>
      <c r="F27" s="470">
        <v>14396</v>
      </c>
      <c r="G27" s="470">
        <v>15368</v>
      </c>
      <c r="H27" s="470">
        <v>17217</v>
      </c>
    </row>
    <row r="28" spans="2:8">
      <c r="B28" s="462" t="s">
        <v>363</v>
      </c>
      <c r="C28" s="462"/>
      <c r="D28" s="462">
        <v>0</v>
      </c>
      <c r="E28" s="462">
        <v>0</v>
      </c>
      <c r="F28" s="462">
        <v>0</v>
      </c>
      <c r="G28" s="470">
        <v>1811</v>
      </c>
      <c r="H28" s="470">
        <v>1906</v>
      </c>
    </row>
    <row r="29" spans="2:8">
      <c r="B29" s="462" t="s">
        <v>364</v>
      </c>
      <c r="C29" s="462"/>
      <c r="D29" s="470">
        <v>14545</v>
      </c>
      <c r="E29" s="470">
        <v>16821</v>
      </c>
      <c r="F29" s="470">
        <v>16830</v>
      </c>
      <c r="G29" s="470">
        <v>19811</v>
      </c>
      <c r="H29" s="470">
        <v>22027</v>
      </c>
    </row>
    <row r="30" spans="2:8">
      <c r="B30" s="462" t="s">
        <v>33</v>
      </c>
      <c r="C30" s="462"/>
      <c r="D30" s="479">
        <v>-7523</v>
      </c>
      <c r="E30" s="479">
        <v>-8645</v>
      </c>
      <c r="F30" s="479">
        <v>-8735</v>
      </c>
      <c r="G30" s="479">
        <v>-9740</v>
      </c>
      <c r="H30" s="479">
        <v>-11646</v>
      </c>
    </row>
    <row r="31" spans="2:8">
      <c r="B31" s="462" t="s">
        <v>34</v>
      </c>
      <c r="C31" s="462"/>
      <c r="D31" s="470">
        <v>7022</v>
      </c>
      <c r="E31" s="470">
        <v>8176</v>
      </c>
      <c r="F31" s="470">
        <v>8095</v>
      </c>
      <c r="G31" s="470">
        <v>10071</v>
      </c>
      <c r="H31" s="470">
        <v>10381</v>
      </c>
    </row>
    <row r="32" spans="2:8">
      <c r="B32" s="462" t="s">
        <v>35</v>
      </c>
      <c r="C32" s="462"/>
      <c r="D32" s="470">
        <v>1923</v>
      </c>
      <c r="E32" s="470">
        <v>2099</v>
      </c>
      <c r="F32" s="470">
        <v>1979</v>
      </c>
      <c r="G32" s="470">
        <v>1976</v>
      </c>
      <c r="H32" s="470">
        <v>2095</v>
      </c>
    </row>
    <row r="33" spans="2:8">
      <c r="B33" s="462" t="s">
        <v>36</v>
      </c>
      <c r="C33" s="462"/>
      <c r="D33" s="462">
        <v>986</v>
      </c>
      <c r="E33" s="470">
        <v>1128</v>
      </c>
      <c r="F33" s="470">
        <v>1046</v>
      </c>
      <c r="G33" s="470">
        <v>1089</v>
      </c>
      <c r="H33" s="470">
        <v>1093</v>
      </c>
    </row>
    <row r="34" spans="2:8">
      <c r="B34" s="462" t="s">
        <v>37</v>
      </c>
      <c r="C34" s="462"/>
      <c r="D34" s="471">
        <v>-365</v>
      </c>
      <c r="E34" s="471">
        <v>-478</v>
      </c>
      <c r="F34" s="471">
        <v>-486</v>
      </c>
      <c r="G34" s="471">
        <v>-605</v>
      </c>
      <c r="H34" s="471">
        <v>-612</v>
      </c>
    </row>
    <row r="35" spans="2:8">
      <c r="B35" s="462" t="s">
        <v>365</v>
      </c>
      <c r="C35" s="462"/>
      <c r="D35" s="462">
        <v>621</v>
      </c>
      <c r="E35" s="462">
        <v>650</v>
      </c>
      <c r="F35" s="462">
        <v>560</v>
      </c>
      <c r="G35" s="462">
        <v>484</v>
      </c>
      <c r="H35" s="462">
        <v>481</v>
      </c>
    </row>
    <row r="36" spans="2:8">
      <c r="B36" s="462" t="s">
        <v>366</v>
      </c>
      <c r="C36" s="462"/>
      <c r="D36" s="462">
        <v>0</v>
      </c>
      <c r="E36" s="462">
        <v>0</v>
      </c>
      <c r="F36" s="470">
        <v>1862</v>
      </c>
      <c r="G36" s="470">
        <v>1107</v>
      </c>
      <c r="H36" s="462">
        <v>677</v>
      </c>
    </row>
    <row r="37" spans="2:8">
      <c r="B37" s="462" t="s">
        <v>367</v>
      </c>
      <c r="C37" s="462"/>
      <c r="D37" s="470">
        <v>1850</v>
      </c>
      <c r="E37" s="470">
        <v>2079</v>
      </c>
      <c r="F37" s="462">
        <v>327</v>
      </c>
      <c r="G37" s="462">
        <v>103</v>
      </c>
      <c r="H37" s="462">
        <v>270</v>
      </c>
    </row>
    <row r="38" spans="2:8">
      <c r="B38" s="462" t="s">
        <v>368</v>
      </c>
      <c r="C38" s="462"/>
      <c r="D38" s="470">
        <v>1850</v>
      </c>
      <c r="E38" s="470">
        <v>2079</v>
      </c>
      <c r="F38" s="470">
        <v>2189</v>
      </c>
      <c r="G38" s="470">
        <v>1210</v>
      </c>
      <c r="H38" s="462">
        <v>947</v>
      </c>
    </row>
    <row r="39" spans="2:8">
      <c r="B39" s="462" t="s">
        <v>133</v>
      </c>
      <c r="C39" s="462"/>
      <c r="D39" s="462">
        <v>0</v>
      </c>
      <c r="E39" s="462">
        <v>204</v>
      </c>
      <c r="F39" s="462">
        <v>198</v>
      </c>
      <c r="G39" s="462">
        <v>217</v>
      </c>
      <c r="H39" s="462">
        <v>209</v>
      </c>
    </row>
    <row r="40" spans="2:8">
      <c r="B40" s="462" t="s">
        <v>369</v>
      </c>
      <c r="C40" s="462"/>
      <c r="D40" s="462">
        <v>0</v>
      </c>
      <c r="E40" s="462">
        <v>732</v>
      </c>
      <c r="F40" s="462">
        <v>741</v>
      </c>
      <c r="G40" s="462">
        <v>683</v>
      </c>
      <c r="H40" s="462">
        <v>694</v>
      </c>
    </row>
    <row r="41" spans="2:8">
      <c r="B41" s="462" t="s">
        <v>370</v>
      </c>
      <c r="C41" s="462"/>
      <c r="D41" s="462">
        <v>0</v>
      </c>
      <c r="E41" s="462">
        <v>23</v>
      </c>
      <c r="F41" s="462">
        <v>18</v>
      </c>
      <c r="G41" s="462">
        <v>22</v>
      </c>
      <c r="H41" s="462">
        <v>4</v>
      </c>
    </row>
    <row r="42" spans="2:8">
      <c r="B42" s="462" t="s">
        <v>38</v>
      </c>
      <c r="C42" s="462"/>
      <c r="D42" s="462">
        <v>268</v>
      </c>
      <c r="E42" s="462">
        <v>238</v>
      </c>
      <c r="F42" s="462">
        <v>300</v>
      </c>
      <c r="G42" s="462">
        <v>308</v>
      </c>
      <c r="H42" s="462">
        <v>372</v>
      </c>
    </row>
    <row r="43" spans="2:8">
      <c r="B43" s="462" t="s">
        <v>39</v>
      </c>
      <c r="C43" s="462"/>
      <c r="D43" s="462">
        <v>719</v>
      </c>
      <c r="E43" s="462">
        <v>67</v>
      </c>
      <c r="F43" s="462">
        <v>31</v>
      </c>
      <c r="G43" s="462">
        <v>74</v>
      </c>
      <c r="H43" s="462">
        <v>56</v>
      </c>
    </row>
    <row r="44" spans="2:8">
      <c r="B44" s="468" t="s">
        <v>40</v>
      </c>
      <c r="C44" s="468"/>
      <c r="D44" s="469">
        <v>22566</v>
      </c>
      <c r="E44" s="469">
        <v>25468</v>
      </c>
      <c r="F44" s="469">
        <v>25945</v>
      </c>
      <c r="G44" s="469">
        <v>25790</v>
      </c>
      <c r="H44" s="469">
        <v>28605</v>
      </c>
    </row>
    <row r="45" spans="2:8" ht="18">
      <c r="B45" s="467" t="s">
        <v>371</v>
      </c>
      <c r="C45"/>
      <c r="D45"/>
      <c r="E45"/>
      <c r="F45"/>
      <c r="G45"/>
      <c r="H45"/>
    </row>
    <row r="46" spans="2:8">
      <c r="B46" s="462" t="s">
        <v>41</v>
      </c>
      <c r="C46" s="462"/>
      <c r="D46" s="470">
        <v>5430</v>
      </c>
      <c r="E46" s="470">
        <v>6283</v>
      </c>
      <c r="F46" s="470">
        <v>6094</v>
      </c>
      <c r="G46" s="470">
        <v>5628</v>
      </c>
      <c r="H46" s="470">
        <v>6266</v>
      </c>
    </row>
    <row r="47" spans="2:8">
      <c r="B47" s="462" t="s">
        <v>42</v>
      </c>
      <c r="C47" s="462"/>
      <c r="D47" s="470">
        <v>2407</v>
      </c>
      <c r="E47" s="470">
        <v>2575</v>
      </c>
      <c r="F47" s="470">
        <v>2503</v>
      </c>
      <c r="G47" s="470">
        <v>2778</v>
      </c>
      <c r="H47" s="470">
        <v>3299</v>
      </c>
    </row>
    <row r="48" spans="2:8">
      <c r="B48" s="462" t="s">
        <v>43</v>
      </c>
      <c r="C48" s="462"/>
      <c r="D48" s="462">
        <v>623</v>
      </c>
      <c r="E48" s="462">
        <v>259</v>
      </c>
      <c r="F48" s="470">
        <v>1098</v>
      </c>
      <c r="G48" s="462">
        <v>0</v>
      </c>
      <c r="H48" s="462">
        <v>0</v>
      </c>
    </row>
    <row r="49" spans="2:8">
      <c r="B49" s="462" t="s">
        <v>135</v>
      </c>
      <c r="C49" s="462"/>
      <c r="D49" s="462">
        <v>139</v>
      </c>
      <c r="E49" s="462">
        <v>108</v>
      </c>
      <c r="F49" s="462">
        <v>201</v>
      </c>
      <c r="G49" s="462">
        <v>106</v>
      </c>
      <c r="H49" s="462">
        <v>129</v>
      </c>
    </row>
    <row r="50" spans="2:8">
      <c r="B50" s="462" t="s">
        <v>372</v>
      </c>
      <c r="C50" s="462"/>
      <c r="D50" s="462">
        <v>96</v>
      </c>
      <c r="E50" s="462">
        <v>18</v>
      </c>
      <c r="F50" s="462">
        <v>0</v>
      </c>
      <c r="G50" s="462">
        <v>17</v>
      </c>
      <c r="H50" s="462">
        <v>38</v>
      </c>
    </row>
    <row r="51" spans="2:8">
      <c r="B51" s="462" t="s">
        <v>132</v>
      </c>
      <c r="C51" s="462"/>
      <c r="D51" s="462">
        <v>0</v>
      </c>
      <c r="E51" s="462">
        <v>0</v>
      </c>
      <c r="F51" s="462">
        <v>408</v>
      </c>
      <c r="G51" s="462">
        <v>0</v>
      </c>
      <c r="H51" s="462">
        <v>0</v>
      </c>
    </row>
    <row r="52" spans="2:8">
      <c r="B52" s="462" t="s">
        <v>373</v>
      </c>
      <c r="C52" s="462"/>
      <c r="D52" s="462">
        <v>0</v>
      </c>
      <c r="E52" s="462">
        <v>0</v>
      </c>
      <c r="F52" s="462">
        <v>0</v>
      </c>
      <c r="G52" s="462">
        <v>0</v>
      </c>
      <c r="H52" s="462">
        <v>11</v>
      </c>
    </row>
    <row r="53" spans="2:8">
      <c r="B53" s="462" t="s">
        <v>44</v>
      </c>
      <c r="C53" s="462"/>
      <c r="D53" s="462">
        <v>96</v>
      </c>
      <c r="E53" s="462">
        <v>18</v>
      </c>
      <c r="F53" s="462">
        <v>408</v>
      </c>
      <c r="G53" s="462">
        <v>17</v>
      </c>
      <c r="H53" s="462">
        <v>49</v>
      </c>
    </row>
    <row r="54" spans="2:8">
      <c r="B54" s="468" t="s">
        <v>45</v>
      </c>
      <c r="C54" s="468"/>
      <c r="D54" s="469">
        <v>8695</v>
      </c>
      <c r="E54" s="469">
        <v>9243</v>
      </c>
      <c r="F54" s="469">
        <v>10304</v>
      </c>
      <c r="G54" s="469">
        <v>8529</v>
      </c>
      <c r="H54" s="469">
        <v>9743</v>
      </c>
    </row>
    <row r="55" spans="2:8">
      <c r="B55" s="462" t="s">
        <v>46</v>
      </c>
      <c r="C55" s="462"/>
      <c r="D55" s="470">
        <v>2394</v>
      </c>
      <c r="E55" s="470">
        <v>3195</v>
      </c>
      <c r="F55" s="470">
        <v>3084</v>
      </c>
      <c r="G55" s="470">
        <v>3062</v>
      </c>
      <c r="H55" s="470">
        <v>3973</v>
      </c>
    </row>
    <row r="56" spans="2:8">
      <c r="B56" s="468" t="s">
        <v>47</v>
      </c>
      <c r="C56" s="468"/>
      <c r="D56" s="469">
        <v>3156</v>
      </c>
      <c r="E56" s="469">
        <v>3562</v>
      </c>
      <c r="F56" s="469">
        <v>4383</v>
      </c>
      <c r="G56" s="469">
        <v>3168</v>
      </c>
      <c r="H56" s="469">
        <v>4102</v>
      </c>
    </row>
    <row r="57" spans="2:8">
      <c r="B57" s="462" t="s">
        <v>374</v>
      </c>
      <c r="C57" s="462"/>
      <c r="D57" s="462">
        <v>293</v>
      </c>
      <c r="E57" s="462">
        <v>322</v>
      </c>
      <c r="F57" s="462">
        <v>401</v>
      </c>
      <c r="G57" s="462">
        <v>419</v>
      </c>
      <c r="H57" s="462">
        <v>452</v>
      </c>
    </row>
    <row r="58" spans="2:8">
      <c r="B58" s="462" t="s">
        <v>137</v>
      </c>
      <c r="C58" s="462"/>
      <c r="D58" s="462">
        <v>451</v>
      </c>
      <c r="E58" s="462">
        <v>502</v>
      </c>
      <c r="F58" s="462">
        <v>458</v>
      </c>
      <c r="G58" s="462">
        <v>300</v>
      </c>
      <c r="H58" s="462">
        <v>350</v>
      </c>
    </row>
    <row r="59" spans="2:8">
      <c r="B59" s="462" t="s">
        <v>375</v>
      </c>
      <c r="C59" s="462"/>
      <c r="D59" s="462">
        <v>28</v>
      </c>
      <c r="E59" s="462">
        <v>34</v>
      </c>
      <c r="F59" s="462">
        <v>33</v>
      </c>
      <c r="G59" s="462">
        <v>34</v>
      </c>
      <c r="H59" s="462">
        <v>39</v>
      </c>
    </row>
    <row r="60" spans="2:8">
      <c r="B60" s="462" t="s">
        <v>376</v>
      </c>
      <c r="C60" s="462"/>
      <c r="D60" s="462">
        <v>667</v>
      </c>
      <c r="E60" s="462">
        <v>670</v>
      </c>
      <c r="F60" s="462">
        <v>597</v>
      </c>
      <c r="G60" s="462">
        <v>677</v>
      </c>
      <c r="H60" s="462">
        <v>729</v>
      </c>
    </row>
    <row r="61" spans="2:8">
      <c r="B61" s="462" t="s">
        <v>136</v>
      </c>
      <c r="C61" s="462"/>
      <c r="D61" s="462">
        <v>270</v>
      </c>
      <c r="E61" s="462">
        <v>292</v>
      </c>
      <c r="F61" s="462">
        <v>367</v>
      </c>
      <c r="G61" s="470">
        <v>1938</v>
      </c>
      <c r="H61" s="470">
        <v>1949</v>
      </c>
    </row>
    <row r="62" spans="2:8">
      <c r="B62" s="462" t="s">
        <v>48</v>
      </c>
      <c r="C62" s="462"/>
      <c r="D62" s="462">
        <v>965</v>
      </c>
      <c r="E62" s="462">
        <v>996</v>
      </c>
      <c r="F62" s="462">
        <v>997</v>
      </c>
      <c r="G62" s="470">
        <v>2649</v>
      </c>
      <c r="H62" s="470">
        <v>2717</v>
      </c>
    </row>
    <row r="63" spans="2:8">
      <c r="B63" s="468" t="s">
        <v>49</v>
      </c>
      <c r="C63" s="468"/>
      <c r="D63" s="469">
        <v>12798</v>
      </c>
      <c r="E63" s="469">
        <v>14258</v>
      </c>
      <c r="F63" s="469">
        <v>15244</v>
      </c>
      <c r="G63" s="469">
        <v>14959</v>
      </c>
      <c r="H63" s="469">
        <v>17235</v>
      </c>
    </row>
    <row r="64" spans="2:8" ht="18">
      <c r="B64" s="467" t="s">
        <v>377</v>
      </c>
      <c r="C64"/>
      <c r="D64"/>
      <c r="E64"/>
      <c r="F64"/>
      <c r="G64"/>
      <c r="H64"/>
    </row>
    <row r="65" spans="2:8">
      <c r="B65" s="462" t="s">
        <v>51</v>
      </c>
      <c r="C65" s="462"/>
      <c r="D65" s="470">
        <v>3796</v>
      </c>
      <c r="E65" s="470">
        <v>3617</v>
      </c>
      <c r="F65" s="470">
        <v>3380</v>
      </c>
      <c r="G65" s="470">
        <v>3198</v>
      </c>
      <c r="H65" s="470">
        <v>3271</v>
      </c>
    </row>
    <row r="66" spans="2:8">
      <c r="B66" s="462" t="s">
        <v>378</v>
      </c>
      <c r="C66" s="462"/>
      <c r="D66" s="462">
        <v>105</v>
      </c>
      <c r="E66" s="462">
        <v>119</v>
      </c>
      <c r="F66" s="462">
        <v>120</v>
      </c>
      <c r="G66" s="462">
        <v>127</v>
      </c>
      <c r="H66" s="462">
        <v>128</v>
      </c>
    </row>
    <row r="67" spans="2:8">
      <c r="B67" s="462" t="s">
        <v>52</v>
      </c>
      <c r="C67" s="462"/>
      <c r="D67" s="470">
        <v>7318</v>
      </c>
      <c r="E67" s="470">
        <v>8074</v>
      </c>
      <c r="F67" s="470">
        <v>8376</v>
      </c>
      <c r="G67" s="470">
        <v>8596</v>
      </c>
      <c r="H67" s="470">
        <v>8704</v>
      </c>
    </row>
    <row r="68" spans="2:8">
      <c r="B68" s="462" t="s">
        <v>379</v>
      </c>
      <c r="C68" s="462"/>
      <c r="D68" s="462">
        <v>0</v>
      </c>
      <c r="E68" s="462">
        <v>0</v>
      </c>
      <c r="F68" s="462">
        <v>0</v>
      </c>
      <c r="G68" s="462">
        <v>0</v>
      </c>
      <c r="H68" s="462">
        <v>0</v>
      </c>
    </row>
    <row r="69" spans="2:8">
      <c r="B69" s="462" t="s">
        <v>380</v>
      </c>
      <c r="C69" s="462"/>
      <c r="D69" s="479">
        <v>-1131</v>
      </c>
      <c r="E69" s="471">
        <v>-456</v>
      </c>
      <c r="F69" s="471">
        <v>-917</v>
      </c>
      <c r="G69" s="471">
        <v>-907</v>
      </c>
      <c r="H69" s="471">
        <v>-551</v>
      </c>
    </row>
    <row r="70" spans="2:8">
      <c r="B70" s="462" t="s">
        <v>140</v>
      </c>
      <c r="C70" s="462"/>
      <c r="D70" s="471">
        <v>-185</v>
      </c>
      <c r="E70" s="471">
        <v>-183</v>
      </c>
      <c r="F70" s="471">
        <v>-190</v>
      </c>
      <c r="G70" s="471">
        <v>-221</v>
      </c>
      <c r="H70" s="471">
        <v>-224</v>
      </c>
    </row>
    <row r="71" spans="2:8">
      <c r="B71" s="462" t="s">
        <v>381</v>
      </c>
      <c r="C71" s="462"/>
      <c r="D71" s="471">
        <v>-135</v>
      </c>
      <c r="E71" s="462">
        <v>39</v>
      </c>
      <c r="F71" s="471">
        <v>-68</v>
      </c>
      <c r="G71" s="462">
        <v>38</v>
      </c>
      <c r="H71" s="462">
        <v>42</v>
      </c>
    </row>
    <row r="72" spans="2:8">
      <c r="B72" s="462" t="s">
        <v>54</v>
      </c>
      <c r="C72" s="462"/>
      <c r="D72" s="479">
        <v>-1451</v>
      </c>
      <c r="E72" s="471">
        <v>-600</v>
      </c>
      <c r="F72" s="479">
        <v>-1175</v>
      </c>
      <c r="G72" s="479">
        <v>-1090</v>
      </c>
      <c r="H72" s="471">
        <v>-733</v>
      </c>
    </row>
    <row r="73" spans="2:8">
      <c r="B73" s="468" t="s">
        <v>55</v>
      </c>
      <c r="C73" s="468"/>
      <c r="D73" s="469">
        <v>9768</v>
      </c>
      <c r="E73" s="469">
        <v>11210</v>
      </c>
      <c r="F73" s="469">
        <v>10701</v>
      </c>
      <c r="G73" s="469">
        <v>10831</v>
      </c>
      <c r="H73" s="469">
        <v>11370</v>
      </c>
    </row>
    <row r="74" spans="2:8">
      <c r="B74" s="468" t="s">
        <v>56</v>
      </c>
      <c r="C74" s="468"/>
      <c r="D74" s="469">
        <v>22566</v>
      </c>
      <c r="E74" s="469">
        <v>25468</v>
      </c>
      <c r="F74" s="469">
        <v>25945</v>
      </c>
      <c r="G74" s="469">
        <v>25790</v>
      </c>
      <c r="H74" s="469">
        <v>28605</v>
      </c>
    </row>
    <row r="75" spans="2:8">
      <c r="B75" s="462" t="s">
        <v>57</v>
      </c>
      <c r="C75" s="462"/>
      <c r="D75" s="462">
        <v>382</v>
      </c>
      <c r="E75" s="462">
        <v>358</v>
      </c>
      <c r="F75" s="462">
        <v>327</v>
      </c>
      <c r="G75" s="462">
        <v>303</v>
      </c>
      <c r="H75" s="462">
        <v>301</v>
      </c>
    </row>
    <row r="76" spans="2:8">
      <c r="B76" s="462" t="s">
        <v>382</v>
      </c>
      <c r="C76" s="462"/>
      <c r="D76" s="462">
        <v>0</v>
      </c>
      <c r="E76" s="462">
        <v>0</v>
      </c>
      <c r="F76" s="462">
        <v>0</v>
      </c>
      <c r="G76" s="462">
        <v>0</v>
      </c>
      <c r="H76" s="462">
        <v>0</v>
      </c>
    </row>
    <row r="77" spans="2:8">
      <c r="B77" s="473"/>
      <c r="C77"/>
      <c r="D77"/>
      <c r="E77"/>
      <c r="F77"/>
      <c r="G77"/>
      <c r="H77"/>
    </row>
    <row r="78" spans="2:8">
      <c r="B78" s="474"/>
      <c r="C78"/>
      <c r="D78"/>
      <c r="E78"/>
      <c r="F78"/>
      <c r="G78"/>
      <c r="H78"/>
    </row>
    <row r="79" spans="2:8">
      <c r="B79" s="475"/>
      <c r="C79"/>
      <c r="D79"/>
      <c r="E79"/>
      <c r="F79"/>
      <c r="G79"/>
      <c r="H79"/>
    </row>
    <row r="80" spans="2:8">
      <c r="B80" s="476"/>
      <c r="C80"/>
      <c r="D80"/>
      <c r="E80"/>
      <c r="F80"/>
      <c r="G80"/>
      <c r="H80"/>
    </row>
    <row r="81" spans="2:8">
      <c r="B81" s="477"/>
      <c r="C81"/>
      <c r="D81"/>
      <c r="E81"/>
      <c r="F81"/>
      <c r="G81"/>
      <c r="H81"/>
    </row>
    <row r="82" spans="2:8">
      <c r="B82" s="477"/>
      <c r="C82"/>
      <c r="D82"/>
      <c r="E82"/>
      <c r="F82"/>
      <c r="G82"/>
      <c r="H82"/>
    </row>
    <row r="83" spans="2:8">
      <c r="B83" s="478"/>
      <c r="C83"/>
      <c r="D83"/>
      <c r="E83"/>
      <c r="F83"/>
      <c r="G83"/>
      <c r="H83"/>
    </row>
    <row r="84" spans="2:8">
      <c r="B84" s="478"/>
      <c r="C84"/>
      <c r="D84"/>
      <c r="E84"/>
      <c r="F84"/>
      <c r="G84"/>
      <c r="H84"/>
    </row>
    <row r="85" spans="2:8">
      <c r="B85" s="478"/>
      <c r="C85"/>
      <c r="D85"/>
      <c r="E85"/>
      <c r="F85"/>
      <c r="G85"/>
      <c r="H85"/>
    </row>
    <row r="86" spans="2:8">
      <c r="B86" s="478"/>
      <c r="C86"/>
      <c r="D86"/>
      <c r="E86"/>
      <c r="F86"/>
      <c r="G86"/>
      <c r="H86"/>
    </row>
    <row r="87" spans="2:8">
      <c r="B87" s="478"/>
      <c r="C87"/>
      <c r="D87"/>
      <c r="E87"/>
      <c r="F87"/>
      <c r="G87"/>
      <c r="H87"/>
    </row>
    <row r="88" spans="2:8">
      <c r="B88" s="478"/>
      <c r="C88"/>
      <c r="D88"/>
      <c r="E88"/>
      <c r="F88"/>
      <c r="G88"/>
      <c r="H88"/>
    </row>
    <row r="89" spans="2:8">
      <c r="B89" s="478"/>
      <c r="C89"/>
      <c r="D89"/>
      <c r="E89"/>
      <c r="F89"/>
      <c r="G89"/>
      <c r="H89"/>
    </row>
    <row r="90" spans="2:8">
      <c r="B90" s="478"/>
      <c r="C90"/>
      <c r="D90"/>
      <c r="E90"/>
      <c r="F90"/>
      <c r="G90"/>
      <c r="H90"/>
    </row>
    <row r="91" spans="2:8">
      <c r="B91" s="478"/>
      <c r="C91"/>
      <c r="D91"/>
      <c r="E91"/>
      <c r="F91"/>
      <c r="G91"/>
      <c r="H91"/>
    </row>
    <row r="92" spans="2:8">
      <c r="B92" s="477"/>
      <c r="C92"/>
      <c r="D92"/>
      <c r="E92"/>
      <c r="F92"/>
      <c r="G92"/>
      <c r="H92"/>
    </row>
    <row r="93" spans="2:8">
      <c r="B93" s="478"/>
      <c r="C93"/>
      <c r="D93"/>
      <c r="E93"/>
      <c r="F93"/>
      <c r="G93"/>
      <c r="H93"/>
    </row>
    <row r="94" spans="2:8">
      <c r="B94" s="478"/>
      <c r="C94"/>
      <c r="D94"/>
      <c r="E94"/>
      <c r="F94"/>
      <c r="G94"/>
      <c r="H94"/>
    </row>
    <row r="95" spans="2:8">
      <c r="B95" s="478"/>
      <c r="C95"/>
      <c r="D95"/>
      <c r="E95"/>
      <c r="F95"/>
      <c r="G95"/>
      <c r="H95"/>
    </row>
    <row r="96" spans="2:8">
      <c r="B96" s="478"/>
      <c r="C96"/>
      <c r="D96"/>
      <c r="E96"/>
      <c r="F96"/>
      <c r="G96"/>
      <c r="H96"/>
    </row>
    <row r="97" spans="2:8">
      <c r="B97" s="477"/>
      <c r="C97"/>
      <c r="D97"/>
      <c r="E97"/>
      <c r="F97"/>
      <c r="G97"/>
      <c r="H97"/>
    </row>
    <row r="98" spans="2:8">
      <c r="B98" s="478"/>
      <c r="C98"/>
      <c r="D98"/>
      <c r="E98"/>
      <c r="F98"/>
      <c r="G98"/>
      <c r="H98"/>
    </row>
    <row r="99" spans="2:8">
      <c r="B99" s="478"/>
      <c r="C99"/>
      <c r="D99"/>
      <c r="E99"/>
      <c r="F99"/>
      <c r="G99"/>
      <c r="H99"/>
    </row>
    <row r="100" spans="2:8">
      <c r="B100" s="478"/>
      <c r="C100"/>
      <c r="D100"/>
      <c r="E100"/>
      <c r="F100"/>
      <c r="G100"/>
      <c r="H100"/>
    </row>
    <row r="101" spans="2:8">
      <c r="B101" s="478"/>
      <c r="C101"/>
      <c r="D101"/>
      <c r="E101"/>
      <c r="F101"/>
      <c r="G101"/>
      <c r="H101"/>
    </row>
    <row r="102" spans="2:8">
      <c r="B102" s="464"/>
      <c r="C102"/>
      <c r="D102"/>
      <c r="E102"/>
      <c r="F102"/>
      <c r="G102"/>
      <c r="H102"/>
    </row>
  </sheetData>
  <pageMargins left="0.7" right="0.7" top="0.75" bottom="0.75" header="0.3" footer="0.3"/>
  <pageSetup scale="6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6A76-B4CB-4023-86D7-B349E97233D1}">
  <sheetPr codeName="Sheet13">
    <tabColor theme="5" tint="0.59999389629810485"/>
    <pageSetUpPr fitToPage="1"/>
  </sheetPr>
  <dimension ref="B2:H102"/>
  <sheetViews>
    <sheetView zoomScale="85" zoomScaleNormal="85" workbookViewId="0">
      <selection sqref="A1:XFD1048576"/>
    </sheetView>
  </sheetViews>
  <sheetFormatPr baseColWidth="10" defaultColWidth="9.5" defaultRowHeight="16"/>
  <cols>
    <col min="1" max="1" width="2.6640625" style="59" customWidth="1"/>
    <col min="2" max="2" width="38.1640625" style="59" bestFit="1" customWidth="1"/>
    <col min="3" max="3" width="2.5" style="59" customWidth="1"/>
    <col min="4" max="8" width="10.83203125" style="59" bestFit="1" customWidth="1"/>
    <col min="9" max="16384" width="9.5" style="59"/>
  </cols>
  <sheetData>
    <row r="2" spans="2:8">
      <c r="B2" t="s">
        <v>312</v>
      </c>
      <c r="C2" s="462"/>
      <c r="D2" s="462">
        <v>2016</v>
      </c>
      <c r="E2" s="462">
        <v>2017</v>
      </c>
      <c r="F2" s="462">
        <v>2018</v>
      </c>
      <c r="G2" s="462">
        <v>2019</v>
      </c>
      <c r="H2" s="462">
        <v>2020</v>
      </c>
    </row>
    <row r="3" spans="2:8">
      <c r="B3" t="s">
        <v>313</v>
      </c>
      <c r="C3" s="462"/>
      <c r="D3" s="463">
        <v>42735</v>
      </c>
      <c r="E3" s="463">
        <v>43100</v>
      </c>
      <c r="F3" s="463">
        <v>43465</v>
      </c>
      <c r="G3" s="463">
        <v>43830</v>
      </c>
      <c r="H3" s="463">
        <v>44196</v>
      </c>
    </row>
    <row r="4" spans="2:8">
      <c r="B4"/>
      <c r="C4" s="462"/>
      <c r="D4" s="464" t="s">
        <v>314</v>
      </c>
      <c r="E4" s="464" t="s">
        <v>314</v>
      </c>
      <c r="F4" s="464" t="s">
        <v>314</v>
      </c>
      <c r="G4" s="464" t="s">
        <v>314</v>
      </c>
      <c r="H4" s="464" t="s">
        <v>314</v>
      </c>
    </row>
    <row r="5" spans="2:8">
      <c r="B5"/>
      <c r="C5" s="462"/>
      <c r="D5" s="465" t="s">
        <v>315</v>
      </c>
      <c r="E5" s="465" t="s">
        <v>383</v>
      </c>
      <c r="F5"/>
      <c r="G5"/>
      <c r="H5"/>
    </row>
    <row r="6" spans="2:8">
      <c r="B6"/>
      <c r="C6" s="462"/>
      <c r="D6" s="466">
        <v>43100</v>
      </c>
      <c r="E6" s="466">
        <v>43465</v>
      </c>
      <c r="F6"/>
      <c r="G6"/>
      <c r="H6"/>
    </row>
    <row r="7" spans="2:8" ht="18">
      <c r="B7" s="467" t="s">
        <v>384</v>
      </c>
      <c r="C7"/>
      <c r="D7"/>
      <c r="E7"/>
      <c r="F7"/>
      <c r="G7"/>
      <c r="H7"/>
    </row>
    <row r="8" spans="2:8">
      <c r="B8" s="462" t="s">
        <v>12</v>
      </c>
      <c r="C8" s="462"/>
      <c r="D8" s="470">
        <v>2074</v>
      </c>
      <c r="E8" s="470">
        <v>2244</v>
      </c>
      <c r="F8" s="470">
        <v>2332</v>
      </c>
      <c r="G8" s="470">
        <v>1632</v>
      </c>
      <c r="H8" s="462">
        <v>677</v>
      </c>
    </row>
    <row r="9" spans="2:8">
      <c r="B9" s="462" t="s">
        <v>58</v>
      </c>
      <c r="C9" s="462"/>
      <c r="D9" s="470">
        <v>1056</v>
      </c>
      <c r="E9" s="470">
        <v>1184</v>
      </c>
      <c r="F9" s="470">
        <v>1278</v>
      </c>
      <c r="G9" s="470">
        <v>1345</v>
      </c>
      <c r="H9" s="470">
        <v>1366</v>
      </c>
    </row>
    <row r="10" spans="2:8">
      <c r="B10" s="462" t="s">
        <v>60</v>
      </c>
      <c r="C10" s="462"/>
      <c r="D10" s="462">
        <v>22</v>
      </c>
      <c r="E10" s="471">
        <v>-6</v>
      </c>
      <c r="F10" s="462">
        <v>31</v>
      </c>
      <c r="G10" s="462">
        <v>7</v>
      </c>
      <c r="H10" s="462">
        <v>17</v>
      </c>
    </row>
    <row r="11" spans="2:8">
      <c r="B11" s="462" t="s">
        <v>61</v>
      </c>
      <c r="C11" s="462"/>
      <c r="D11" s="462">
        <v>0</v>
      </c>
      <c r="E11" s="462">
        <v>10</v>
      </c>
      <c r="F11" s="462">
        <v>18</v>
      </c>
      <c r="G11" s="462">
        <v>209</v>
      </c>
      <c r="H11" s="462">
        <v>411</v>
      </c>
    </row>
    <row r="12" spans="2:8">
      <c r="B12" s="462" t="s">
        <v>385</v>
      </c>
      <c r="C12" s="462"/>
      <c r="D12" s="471">
        <v>-9</v>
      </c>
      <c r="E12" s="462">
        <v>2</v>
      </c>
      <c r="F12" s="462">
        <v>33</v>
      </c>
      <c r="G12" s="462">
        <v>69</v>
      </c>
      <c r="H12" s="471">
        <v>-10</v>
      </c>
    </row>
    <row r="13" spans="2:8">
      <c r="B13" s="462" t="s">
        <v>62</v>
      </c>
      <c r="C13" s="462"/>
      <c r="D13" s="462">
        <v>162</v>
      </c>
      <c r="E13" s="462">
        <v>125</v>
      </c>
      <c r="F13" s="462">
        <v>179</v>
      </c>
      <c r="G13" s="462">
        <v>346</v>
      </c>
      <c r="H13" s="462">
        <v>281</v>
      </c>
    </row>
    <row r="14" spans="2:8">
      <c r="B14" s="462" t="s">
        <v>63</v>
      </c>
      <c r="C14" s="462"/>
      <c r="D14" s="462">
        <v>153</v>
      </c>
      <c r="E14" s="462">
        <v>137</v>
      </c>
      <c r="F14" s="462">
        <v>230</v>
      </c>
      <c r="G14" s="462">
        <v>624</v>
      </c>
      <c r="H14" s="462">
        <v>682</v>
      </c>
    </row>
    <row r="15" spans="2:8">
      <c r="B15" s="462" t="s">
        <v>64</v>
      </c>
      <c r="C15" s="462"/>
      <c r="D15" s="462">
        <v>707</v>
      </c>
      <c r="E15" s="462">
        <v>782</v>
      </c>
      <c r="F15" s="462">
        <v>665</v>
      </c>
      <c r="G15" s="462">
        <v>484</v>
      </c>
      <c r="H15" s="462">
        <v>336</v>
      </c>
    </row>
    <row r="16" spans="2:8">
      <c r="B16" s="462" t="s">
        <v>145</v>
      </c>
      <c r="C16" s="462"/>
      <c r="D16" s="462">
        <v>99</v>
      </c>
      <c r="E16" s="462">
        <v>88</v>
      </c>
      <c r="F16" s="462">
        <v>115</v>
      </c>
      <c r="G16" s="462">
        <v>103</v>
      </c>
      <c r="H16" s="462">
        <v>105</v>
      </c>
    </row>
    <row r="17" spans="2:8">
      <c r="B17" s="462" t="s">
        <v>65</v>
      </c>
      <c r="C17" s="462"/>
      <c r="D17" s="471">
        <v>-446</v>
      </c>
      <c r="E17" s="471">
        <v>-292</v>
      </c>
      <c r="F17" s="471">
        <v>-351</v>
      </c>
      <c r="G17" s="462">
        <v>629</v>
      </c>
      <c r="H17" s="471">
        <v>-42</v>
      </c>
    </row>
    <row r="18" spans="2:8">
      <c r="B18" s="462" t="s">
        <v>66</v>
      </c>
      <c r="C18" s="462"/>
      <c r="D18" s="471">
        <v>-159</v>
      </c>
      <c r="E18" s="471">
        <v>-397</v>
      </c>
      <c r="F18" s="471">
        <v>-92</v>
      </c>
      <c r="G18" s="462">
        <v>104</v>
      </c>
      <c r="H18" s="462">
        <v>37</v>
      </c>
    </row>
    <row r="19" spans="2:8">
      <c r="B19" s="462" t="s">
        <v>386</v>
      </c>
      <c r="C19" s="462"/>
      <c r="D19" s="462">
        <v>69</v>
      </c>
      <c r="E19" s="462">
        <v>25</v>
      </c>
      <c r="F19" s="462">
        <v>9</v>
      </c>
      <c r="G19" s="471">
        <v>-21</v>
      </c>
      <c r="H19" s="471">
        <v>-12</v>
      </c>
    </row>
    <row r="20" spans="2:8">
      <c r="B20" s="462" t="s">
        <v>41</v>
      </c>
      <c r="C20" s="462"/>
      <c r="D20" s="462">
        <v>562</v>
      </c>
      <c r="E20" s="462">
        <v>512</v>
      </c>
      <c r="F20" s="462">
        <v>265</v>
      </c>
      <c r="G20" s="471">
        <v>-519</v>
      </c>
      <c r="H20" s="462">
        <v>274</v>
      </c>
    </row>
    <row r="21" spans="2:8">
      <c r="B21" s="462" t="s">
        <v>42</v>
      </c>
      <c r="C21" s="462"/>
      <c r="D21" s="471">
        <v>-51</v>
      </c>
      <c r="E21" s="471">
        <v>-8</v>
      </c>
      <c r="F21" s="462">
        <v>102</v>
      </c>
      <c r="G21" s="462">
        <v>63</v>
      </c>
      <c r="H21" s="462">
        <v>301</v>
      </c>
    </row>
    <row r="22" spans="2:8">
      <c r="B22" s="462" t="s">
        <v>68</v>
      </c>
      <c r="C22" s="462"/>
      <c r="D22" s="471">
        <v>-39</v>
      </c>
      <c r="E22" s="471">
        <v>-213</v>
      </c>
      <c r="F22" s="471">
        <v>-153</v>
      </c>
      <c r="G22" s="462">
        <v>352</v>
      </c>
      <c r="H22" s="462">
        <v>536</v>
      </c>
    </row>
    <row r="23" spans="2:8">
      <c r="B23" s="468" t="s">
        <v>69</v>
      </c>
      <c r="C23" s="468"/>
      <c r="D23" s="469">
        <v>3266</v>
      </c>
      <c r="E23" s="469">
        <v>3346</v>
      </c>
      <c r="F23" s="469">
        <v>3718</v>
      </c>
      <c r="G23" s="469">
        <v>3960</v>
      </c>
      <c r="H23" s="469">
        <v>3278</v>
      </c>
    </row>
    <row r="24" spans="2:8" ht="18">
      <c r="B24" s="467" t="s">
        <v>387</v>
      </c>
      <c r="C24"/>
      <c r="D24"/>
      <c r="E24"/>
      <c r="F24"/>
      <c r="G24"/>
      <c r="H24"/>
    </row>
    <row r="25" spans="2:8">
      <c r="B25" s="462" t="s">
        <v>70</v>
      </c>
      <c r="C25" s="462"/>
      <c r="D25" s="479">
        <v>-1807</v>
      </c>
      <c r="E25" s="479">
        <v>-1875</v>
      </c>
      <c r="F25" s="479">
        <v>-1650</v>
      </c>
      <c r="G25" s="479">
        <v>-1441</v>
      </c>
      <c r="H25" s="479">
        <v>-1145</v>
      </c>
    </row>
    <row r="26" spans="2:8">
      <c r="B26" s="462" t="s">
        <v>71</v>
      </c>
      <c r="C26" s="462"/>
      <c r="D26" s="479">
        <v>-1810</v>
      </c>
      <c r="E26" s="462">
        <v>0</v>
      </c>
      <c r="F26" s="471">
        <v>-148</v>
      </c>
      <c r="G26" s="471">
        <v>-147</v>
      </c>
      <c r="H26" s="462">
        <v>0</v>
      </c>
    </row>
    <row r="27" spans="2:8">
      <c r="B27" s="462" t="s">
        <v>147</v>
      </c>
      <c r="C27" s="462"/>
      <c r="D27" s="462">
        <v>0</v>
      </c>
      <c r="E27" s="462">
        <v>0</v>
      </c>
      <c r="F27" s="462">
        <v>0</v>
      </c>
      <c r="G27" s="470">
        <v>1132</v>
      </c>
      <c r="H27" s="462">
        <v>91</v>
      </c>
    </row>
    <row r="28" spans="2:8">
      <c r="B28" s="462" t="s">
        <v>388</v>
      </c>
      <c r="C28" s="462"/>
      <c r="D28" s="462">
        <v>138</v>
      </c>
      <c r="E28" s="462">
        <v>381</v>
      </c>
      <c r="F28" s="462">
        <v>223</v>
      </c>
      <c r="G28" s="462">
        <v>185</v>
      </c>
      <c r="H28" s="462">
        <v>117</v>
      </c>
    </row>
    <row r="29" spans="2:8">
      <c r="B29" s="462" t="s">
        <v>72</v>
      </c>
      <c r="C29" s="462"/>
      <c r="D29" s="462">
        <v>0</v>
      </c>
      <c r="E29" s="462">
        <v>0</v>
      </c>
      <c r="F29" s="462">
        <v>0</v>
      </c>
      <c r="G29" s="462">
        <v>231</v>
      </c>
      <c r="H29" s="462">
        <v>0</v>
      </c>
    </row>
    <row r="30" spans="2:8">
      <c r="B30" s="462" t="s">
        <v>73</v>
      </c>
      <c r="C30" s="462"/>
      <c r="D30" s="471">
        <v>-478</v>
      </c>
      <c r="E30" s="471">
        <v>-651</v>
      </c>
      <c r="F30" s="471">
        <v>-701</v>
      </c>
      <c r="G30" s="471">
        <v>-394</v>
      </c>
      <c r="H30" s="471">
        <v>-463</v>
      </c>
    </row>
    <row r="31" spans="2:8">
      <c r="B31" s="462" t="s">
        <v>74</v>
      </c>
      <c r="C31" s="462"/>
      <c r="D31" s="479">
        <v>-2150</v>
      </c>
      <c r="E31" s="471">
        <v>-270</v>
      </c>
      <c r="F31" s="471">
        <v>-626</v>
      </c>
      <c r="G31" s="470">
        <v>1007</v>
      </c>
      <c r="H31" s="471">
        <v>-255</v>
      </c>
    </row>
    <row r="32" spans="2:8">
      <c r="B32" s="468" t="s">
        <v>75</v>
      </c>
      <c r="C32" s="468"/>
      <c r="D32" s="480">
        <v>-3957</v>
      </c>
      <c r="E32" s="480">
        <v>-2145</v>
      </c>
      <c r="F32" s="480">
        <v>-2276</v>
      </c>
      <c r="G32" s="472">
        <v>-434</v>
      </c>
      <c r="H32" s="480">
        <v>-1400</v>
      </c>
    </row>
    <row r="33" spans="2:8" ht="18">
      <c r="B33" s="467" t="s">
        <v>389</v>
      </c>
      <c r="C33"/>
      <c r="D33"/>
      <c r="E33"/>
      <c r="F33"/>
      <c r="G33"/>
      <c r="H33"/>
    </row>
    <row r="34" spans="2:8">
      <c r="B34" s="462" t="s">
        <v>76</v>
      </c>
      <c r="C34" s="462"/>
      <c r="D34" s="471">
        <v>-15</v>
      </c>
      <c r="E34" s="471">
        <v>-39</v>
      </c>
      <c r="F34" s="471">
        <v>-81</v>
      </c>
      <c r="G34" s="471">
        <v>-27</v>
      </c>
      <c r="H34" s="471">
        <v>-13</v>
      </c>
    </row>
    <row r="35" spans="2:8">
      <c r="B35" s="462" t="s">
        <v>390</v>
      </c>
      <c r="C35" s="462"/>
      <c r="D35" s="471">
        <v>-385</v>
      </c>
      <c r="E35" s="471">
        <v>-400</v>
      </c>
      <c r="F35" s="471">
        <v>-448</v>
      </c>
      <c r="G35" s="471">
        <v>-449</v>
      </c>
      <c r="H35" s="471">
        <v>-467</v>
      </c>
    </row>
    <row r="36" spans="2:8">
      <c r="B36" s="462" t="s">
        <v>77</v>
      </c>
      <c r="C36" s="462"/>
      <c r="D36" s="471">
        <v>-904</v>
      </c>
      <c r="E36" s="479">
        <v>-1271</v>
      </c>
      <c r="F36" s="479">
        <v>-1831</v>
      </c>
      <c r="G36" s="479">
        <v>-1289</v>
      </c>
      <c r="H36" s="471">
        <v>-203</v>
      </c>
    </row>
    <row r="37" spans="2:8">
      <c r="B37" s="462" t="s">
        <v>78</v>
      </c>
      <c r="C37" s="462"/>
      <c r="D37" s="471">
        <v>-904</v>
      </c>
      <c r="E37" s="479">
        <v>-1271</v>
      </c>
      <c r="F37" s="479">
        <v>-1831</v>
      </c>
      <c r="G37" s="479">
        <v>-1289</v>
      </c>
      <c r="H37" s="471">
        <v>-203</v>
      </c>
    </row>
    <row r="38" spans="2:8">
      <c r="B38" s="462" t="s">
        <v>391</v>
      </c>
      <c r="C38" s="462"/>
      <c r="D38" s="462">
        <v>33</v>
      </c>
      <c r="E38" s="462">
        <v>44</v>
      </c>
      <c r="F38" s="462">
        <v>50</v>
      </c>
      <c r="G38" s="462">
        <v>44</v>
      </c>
      <c r="H38" s="462">
        <v>81</v>
      </c>
    </row>
    <row r="39" spans="2:8">
      <c r="B39" s="462" t="s">
        <v>79</v>
      </c>
      <c r="C39" s="462"/>
      <c r="D39" s="471">
        <v>-871</v>
      </c>
      <c r="E39" s="479">
        <v>-1227</v>
      </c>
      <c r="F39" s="479">
        <v>-1781</v>
      </c>
      <c r="G39" s="479">
        <v>-1245</v>
      </c>
      <c r="H39" s="471">
        <v>-122</v>
      </c>
    </row>
    <row r="40" spans="2:8">
      <c r="B40" s="462" t="s">
        <v>392</v>
      </c>
      <c r="C40" s="462"/>
      <c r="D40" s="462">
        <v>0</v>
      </c>
      <c r="E40" s="462">
        <v>0</v>
      </c>
      <c r="F40" s="462">
        <v>0</v>
      </c>
      <c r="G40" s="462">
        <v>0</v>
      </c>
      <c r="H40" s="471">
        <v>-31</v>
      </c>
    </row>
    <row r="41" spans="2:8">
      <c r="B41" s="462" t="s">
        <v>393</v>
      </c>
      <c r="C41" s="462"/>
      <c r="D41" s="462">
        <v>386</v>
      </c>
      <c r="E41" s="471">
        <v>-530</v>
      </c>
      <c r="F41" s="462">
        <v>866</v>
      </c>
      <c r="G41" s="479">
        <v>-1124</v>
      </c>
      <c r="H41" s="471">
        <v>-31</v>
      </c>
    </row>
    <row r="42" spans="2:8">
      <c r="B42" s="462" t="s">
        <v>151</v>
      </c>
      <c r="C42" s="462"/>
      <c r="D42" s="462">
        <v>282</v>
      </c>
      <c r="E42" s="462">
        <v>752</v>
      </c>
      <c r="F42" s="462">
        <v>172</v>
      </c>
      <c r="G42" s="462">
        <v>47</v>
      </c>
      <c r="H42" s="462">
        <v>854</v>
      </c>
    </row>
    <row r="43" spans="2:8">
      <c r="B43" s="462" t="s">
        <v>152</v>
      </c>
      <c r="C43" s="462"/>
      <c r="D43" s="471">
        <v>-417</v>
      </c>
      <c r="E43" s="471">
        <v>-110</v>
      </c>
      <c r="F43" s="471">
        <v>-171</v>
      </c>
      <c r="G43" s="471">
        <v>-149</v>
      </c>
      <c r="H43" s="471">
        <v>-140</v>
      </c>
    </row>
    <row r="44" spans="2:8">
      <c r="B44" s="462" t="s">
        <v>153</v>
      </c>
      <c r="C44" s="462"/>
      <c r="D44" s="471">
        <v>-135</v>
      </c>
      <c r="E44" s="462">
        <v>642</v>
      </c>
      <c r="F44" s="462">
        <v>1</v>
      </c>
      <c r="G44" s="471">
        <v>-102</v>
      </c>
      <c r="H44" s="462">
        <v>714</v>
      </c>
    </row>
    <row r="45" spans="2:8">
      <c r="B45" s="462" t="s">
        <v>154</v>
      </c>
      <c r="C45" s="462"/>
      <c r="D45" s="462">
        <v>251</v>
      </c>
      <c r="E45" s="462">
        <v>112</v>
      </c>
      <c r="F45" s="462">
        <v>867</v>
      </c>
      <c r="G45" s="479">
        <v>-1226</v>
      </c>
      <c r="H45" s="462">
        <v>683</v>
      </c>
    </row>
    <row r="46" spans="2:8">
      <c r="B46" s="468" t="s">
        <v>80</v>
      </c>
      <c r="C46" s="468"/>
      <c r="D46" s="480">
        <v>-1020</v>
      </c>
      <c r="E46" s="480">
        <v>-1554</v>
      </c>
      <c r="F46" s="480">
        <v>-1443</v>
      </c>
      <c r="G46" s="480">
        <v>-2947</v>
      </c>
      <c r="H46" s="468">
        <v>81</v>
      </c>
    </row>
    <row r="47" spans="2:8" ht="18">
      <c r="B47" s="467" t="s">
        <v>394</v>
      </c>
      <c r="C47"/>
      <c r="D47"/>
      <c r="E47"/>
      <c r="F47"/>
      <c r="G47"/>
      <c r="H47"/>
    </row>
    <row r="48" spans="2:8">
      <c r="B48" s="462" t="s">
        <v>395</v>
      </c>
      <c r="C48" s="462"/>
      <c r="D48" s="462">
        <v>16</v>
      </c>
      <c r="E48" s="462">
        <v>24</v>
      </c>
      <c r="F48" s="471">
        <v>-36</v>
      </c>
      <c r="G48" s="462">
        <v>11</v>
      </c>
      <c r="H48" s="462">
        <v>23</v>
      </c>
    </row>
    <row r="49" spans="2:8">
      <c r="B49" s="468" t="s">
        <v>81</v>
      </c>
      <c r="C49" s="468"/>
      <c r="D49" s="480">
        <v>-1695</v>
      </c>
      <c r="E49" s="472">
        <v>-329</v>
      </c>
      <c r="F49" s="472">
        <v>-37</v>
      </c>
      <c r="G49" s="468">
        <v>590</v>
      </c>
      <c r="H49" s="469">
        <v>1982</v>
      </c>
    </row>
    <row r="50" spans="2:8">
      <c r="B50" s="462" t="s">
        <v>82</v>
      </c>
      <c r="C50" s="462"/>
      <c r="D50" s="470">
        <v>2863</v>
      </c>
      <c r="E50" s="470">
        <v>1168</v>
      </c>
      <c r="F50" s="462">
        <v>839</v>
      </c>
      <c r="G50" s="462">
        <v>802</v>
      </c>
      <c r="H50" s="470">
        <v>1392</v>
      </c>
    </row>
    <row r="51" spans="2:8">
      <c r="B51" s="462" t="s">
        <v>83</v>
      </c>
      <c r="C51" s="462"/>
      <c r="D51" s="470">
        <v>1168</v>
      </c>
      <c r="E51" s="462">
        <v>839</v>
      </c>
      <c r="F51" s="462">
        <v>802</v>
      </c>
      <c r="G51" s="470">
        <v>1392</v>
      </c>
      <c r="H51" s="470">
        <v>3374</v>
      </c>
    </row>
    <row r="52" spans="2:8">
      <c r="B52" s="462" t="s">
        <v>23</v>
      </c>
      <c r="C52" s="462"/>
      <c r="D52" s="470">
        <v>1056</v>
      </c>
      <c r="E52" s="470">
        <v>1184</v>
      </c>
      <c r="F52" s="470">
        <v>1278</v>
      </c>
      <c r="G52" s="470">
        <v>1345</v>
      </c>
      <c r="H52" s="470">
        <v>1366</v>
      </c>
    </row>
    <row r="53" spans="2:8">
      <c r="B53" s="462" t="s">
        <v>145</v>
      </c>
      <c r="C53" s="462"/>
      <c r="D53" s="462">
        <v>99</v>
      </c>
      <c r="E53" s="462">
        <v>88</v>
      </c>
      <c r="F53" s="462">
        <v>115</v>
      </c>
      <c r="G53" s="462">
        <v>103</v>
      </c>
      <c r="H53" s="462">
        <v>105</v>
      </c>
    </row>
    <row r="54" spans="2:8">
      <c r="B54" s="462" t="s">
        <v>64</v>
      </c>
      <c r="C54" s="462"/>
      <c r="D54" s="462">
        <v>707</v>
      </c>
      <c r="E54" s="462">
        <v>782</v>
      </c>
      <c r="F54" s="462">
        <v>665</v>
      </c>
      <c r="G54" s="462">
        <v>484</v>
      </c>
      <c r="H54" s="462">
        <v>336</v>
      </c>
    </row>
    <row r="55" spans="2:8">
      <c r="B55" s="473"/>
      <c r="C55"/>
      <c r="D55"/>
      <c r="E55"/>
      <c r="F55"/>
      <c r="G55"/>
      <c r="H55"/>
    </row>
    <row r="56" spans="2:8">
      <c r="B56" s="474"/>
      <c r="C56"/>
      <c r="D56"/>
      <c r="E56"/>
      <c r="F56"/>
      <c r="G56"/>
      <c r="H56"/>
    </row>
    <row r="57" spans="2:8">
      <c r="B57" s="475"/>
      <c r="C57"/>
      <c r="D57"/>
      <c r="E57"/>
      <c r="F57"/>
      <c r="G57"/>
      <c r="H57"/>
    </row>
    <row r="58" spans="2:8">
      <c r="B58" s="476"/>
      <c r="C58"/>
      <c r="D58"/>
      <c r="E58"/>
      <c r="F58"/>
      <c r="G58"/>
      <c r="H58"/>
    </row>
    <row r="59" spans="2:8">
      <c r="B59" s="477"/>
      <c r="C59"/>
      <c r="D59"/>
      <c r="E59"/>
      <c r="F59"/>
      <c r="G59"/>
      <c r="H59"/>
    </row>
    <row r="60" spans="2:8">
      <c r="B60" s="477"/>
      <c r="C60"/>
      <c r="D60"/>
      <c r="E60"/>
      <c r="F60"/>
      <c r="G60"/>
      <c r="H60"/>
    </row>
    <row r="61" spans="2:8">
      <c r="B61" s="478"/>
      <c r="C61"/>
      <c r="D61"/>
      <c r="E61"/>
      <c r="F61"/>
      <c r="G61"/>
      <c r="H61"/>
    </row>
    <row r="62" spans="2:8">
      <c r="B62" s="478"/>
      <c r="C62"/>
      <c r="D62"/>
      <c r="E62"/>
      <c r="F62"/>
      <c r="G62"/>
      <c r="H62"/>
    </row>
    <row r="63" spans="2:8">
      <c r="B63" s="478"/>
      <c r="C63"/>
      <c r="D63"/>
      <c r="E63"/>
      <c r="F63"/>
      <c r="G63"/>
      <c r="H63"/>
    </row>
    <row r="64" spans="2:8">
      <c r="B64" s="478"/>
      <c r="C64"/>
      <c r="D64"/>
      <c r="E64"/>
      <c r="F64"/>
      <c r="G64"/>
      <c r="H64"/>
    </row>
    <row r="65" spans="2:8">
      <c r="B65" s="478"/>
      <c r="C65"/>
      <c r="D65"/>
      <c r="E65"/>
      <c r="F65"/>
      <c r="G65"/>
      <c r="H65"/>
    </row>
    <row r="66" spans="2:8">
      <c r="B66" s="478"/>
      <c r="C66"/>
      <c r="D66"/>
      <c r="E66"/>
      <c r="F66"/>
      <c r="G66"/>
      <c r="H66"/>
    </row>
    <row r="67" spans="2:8">
      <c r="B67" s="478"/>
      <c r="C67"/>
      <c r="D67"/>
      <c r="E67"/>
      <c r="F67"/>
      <c r="G67"/>
      <c r="H67"/>
    </row>
    <row r="68" spans="2:8">
      <c r="B68" s="478"/>
      <c r="C68"/>
      <c r="D68"/>
      <c r="E68"/>
      <c r="F68"/>
      <c r="G68"/>
      <c r="H68"/>
    </row>
    <row r="69" spans="2:8">
      <c r="B69" s="478"/>
      <c r="C69"/>
      <c r="D69"/>
      <c r="E69"/>
      <c r="F69"/>
      <c r="G69"/>
      <c r="H69"/>
    </row>
    <row r="70" spans="2:8">
      <c r="B70" s="477"/>
      <c r="C70"/>
      <c r="D70"/>
      <c r="E70"/>
      <c r="F70"/>
      <c r="G70"/>
      <c r="H70"/>
    </row>
    <row r="71" spans="2:8">
      <c r="B71" s="478"/>
      <c r="C71"/>
      <c r="D71"/>
      <c r="E71"/>
      <c r="F71"/>
      <c r="G71"/>
      <c r="H71"/>
    </row>
    <row r="72" spans="2:8">
      <c r="B72" s="478"/>
      <c r="C72"/>
      <c r="D72"/>
      <c r="E72"/>
      <c r="F72"/>
      <c r="G72"/>
      <c r="H72"/>
    </row>
    <row r="73" spans="2:8">
      <c r="B73" s="478"/>
      <c r="C73"/>
      <c r="D73"/>
      <c r="E73"/>
      <c r="F73"/>
      <c r="G73"/>
      <c r="H73"/>
    </row>
    <row r="74" spans="2:8">
      <c r="B74" s="478"/>
      <c r="C74"/>
      <c r="D74"/>
      <c r="E74"/>
      <c r="F74"/>
      <c r="G74"/>
      <c r="H74"/>
    </row>
    <row r="75" spans="2:8">
      <c r="B75" s="477"/>
      <c r="C75"/>
      <c r="D75"/>
      <c r="E75"/>
      <c r="F75"/>
      <c r="G75"/>
      <c r="H75"/>
    </row>
    <row r="76" spans="2:8">
      <c r="B76" s="478"/>
      <c r="C76"/>
      <c r="D76"/>
      <c r="E76"/>
      <c r="F76"/>
      <c r="G76"/>
      <c r="H76"/>
    </row>
    <row r="77" spans="2:8">
      <c r="B77" s="478"/>
      <c r="C77"/>
      <c r="D77"/>
      <c r="E77"/>
      <c r="F77"/>
      <c r="G77"/>
      <c r="H77"/>
    </row>
    <row r="78" spans="2:8">
      <c r="B78" s="478"/>
      <c r="C78"/>
      <c r="D78"/>
      <c r="E78"/>
      <c r="F78"/>
      <c r="G78"/>
      <c r="H78"/>
    </row>
    <row r="79" spans="2:8">
      <c r="B79" s="478"/>
      <c r="C79"/>
      <c r="D79"/>
      <c r="E79"/>
      <c r="F79"/>
      <c r="G79"/>
      <c r="H79"/>
    </row>
    <row r="80" spans="2:8">
      <c r="B80" s="464"/>
      <c r="C80"/>
      <c r="D80"/>
      <c r="E80"/>
      <c r="F80"/>
      <c r="G80"/>
      <c r="H80"/>
    </row>
    <row r="81" spans="2:8">
      <c r="B81" s="477"/>
      <c r="C81"/>
      <c r="D81"/>
      <c r="E81"/>
      <c r="F81"/>
      <c r="G81"/>
      <c r="H81"/>
    </row>
    <row r="82" spans="2:8">
      <c r="B82" s="477"/>
      <c r="C82"/>
      <c r="D82"/>
      <c r="E82"/>
      <c r="F82"/>
      <c r="G82"/>
      <c r="H82"/>
    </row>
    <row r="83" spans="2:8">
      <c r="B83" s="478"/>
      <c r="C83"/>
      <c r="D83"/>
      <c r="E83"/>
      <c r="F83"/>
      <c r="G83"/>
      <c r="H83"/>
    </row>
    <row r="84" spans="2:8">
      <c r="B84" s="478"/>
      <c r="C84"/>
      <c r="D84"/>
      <c r="E84"/>
      <c r="F84"/>
      <c r="G84"/>
      <c r="H84"/>
    </row>
    <row r="85" spans="2:8">
      <c r="B85" s="478"/>
      <c r="C85"/>
      <c r="D85"/>
      <c r="E85"/>
      <c r="F85"/>
      <c r="G85"/>
      <c r="H85"/>
    </row>
    <row r="86" spans="2:8">
      <c r="B86" s="478"/>
      <c r="C86"/>
      <c r="D86"/>
      <c r="E86"/>
      <c r="F86"/>
      <c r="G86"/>
      <c r="H86"/>
    </row>
    <row r="87" spans="2:8">
      <c r="B87" s="478"/>
      <c r="C87"/>
      <c r="D87"/>
      <c r="E87"/>
      <c r="F87"/>
      <c r="G87"/>
      <c r="H87"/>
    </row>
    <row r="88" spans="2:8">
      <c r="B88" s="478"/>
      <c r="C88"/>
      <c r="D88"/>
      <c r="E88"/>
      <c r="F88"/>
      <c r="G88"/>
      <c r="H88"/>
    </row>
    <row r="89" spans="2:8">
      <c r="B89" s="478"/>
      <c r="C89"/>
      <c r="D89"/>
      <c r="E89"/>
      <c r="F89"/>
      <c r="G89"/>
      <c r="H89"/>
    </row>
    <row r="90" spans="2:8">
      <c r="B90" s="478"/>
      <c r="C90"/>
      <c r="D90"/>
      <c r="E90"/>
      <c r="F90"/>
      <c r="G90"/>
      <c r="H90"/>
    </row>
    <row r="91" spans="2:8">
      <c r="B91" s="478"/>
      <c r="C91"/>
      <c r="D91"/>
      <c r="E91"/>
      <c r="F91"/>
      <c r="G91"/>
      <c r="H91"/>
    </row>
    <row r="92" spans="2:8">
      <c r="B92" s="477"/>
      <c r="C92"/>
      <c r="D92"/>
      <c r="E92"/>
      <c r="F92"/>
      <c r="G92"/>
      <c r="H92"/>
    </row>
    <row r="93" spans="2:8">
      <c r="B93" s="478"/>
      <c r="C93"/>
      <c r="D93"/>
      <c r="E93"/>
      <c r="F93"/>
      <c r="G93"/>
      <c r="H93"/>
    </row>
    <row r="94" spans="2:8">
      <c r="B94" s="478"/>
      <c r="C94"/>
      <c r="D94"/>
      <c r="E94"/>
      <c r="F94"/>
      <c r="G94"/>
      <c r="H94"/>
    </row>
    <row r="95" spans="2:8">
      <c r="B95" s="478"/>
      <c r="C95"/>
      <c r="D95"/>
      <c r="E95"/>
      <c r="F95"/>
      <c r="G95"/>
      <c r="H95"/>
    </row>
    <row r="96" spans="2:8">
      <c r="B96" s="478"/>
      <c r="C96"/>
      <c r="D96"/>
      <c r="E96"/>
      <c r="F96"/>
      <c r="G96"/>
      <c r="H96"/>
    </row>
    <row r="97" spans="2:8">
      <c r="B97" s="477"/>
      <c r="C97"/>
      <c r="D97"/>
      <c r="E97"/>
      <c r="F97"/>
      <c r="G97"/>
      <c r="H97"/>
    </row>
    <row r="98" spans="2:8">
      <c r="B98" s="478"/>
      <c r="C98"/>
      <c r="D98"/>
      <c r="E98"/>
      <c r="F98"/>
      <c r="G98"/>
      <c r="H98"/>
    </row>
    <row r="99" spans="2:8">
      <c r="B99" s="478"/>
      <c r="C99"/>
      <c r="D99"/>
      <c r="E99"/>
      <c r="F99"/>
      <c r="G99"/>
      <c r="H99"/>
    </row>
    <row r="100" spans="2:8">
      <c r="B100" s="478"/>
      <c r="C100"/>
      <c r="D100"/>
      <c r="E100"/>
      <c r="F100"/>
      <c r="G100"/>
      <c r="H100"/>
    </row>
    <row r="101" spans="2:8">
      <c r="B101" s="478"/>
      <c r="C101"/>
      <c r="D101"/>
      <c r="E101"/>
      <c r="F101"/>
      <c r="G101"/>
      <c r="H101"/>
    </row>
    <row r="102" spans="2:8">
      <c r="B102" s="464"/>
      <c r="C102"/>
      <c r="D102"/>
      <c r="E102"/>
      <c r="F102"/>
      <c r="G102"/>
      <c r="H102"/>
    </row>
  </sheetData>
  <pageMargins left="0.7" right="0.7" top="0.75" bottom="0.75" header="0.3" footer="0.3"/>
  <pageSetup scale="7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39997558519241921"/>
    <pageSetUpPr fitToPage="1"/>
  </sheetPr>
  <dimension ref="B1:O28"/>
  <sheetViews>
    <sheetView showGridLines="0" zoomScale="106" zoomScaleNormal="100" workbookViewId="0">
      <selection activeCell="N6" sqref="N6"/>
    </sheetView>
  </sheetViews>
  <sheetFormatPr baseColWidth="10" defaultColWidth="8.83203125" defaultRowHeight="16"/>
  <cols>
    <col min="1" max="1" width="2.5" style="15" customWidth="1"/>
    <col min="2" max="2" width="35.5" style="15" bestFit="1" customWidth="1"/>
    <col min="3" max="3" width="12.33203125" style="15" bestFit="1" customWidth="1"/>
    <col min="4" max="7" width="12.5" style="15" customWidth="1"/>
    <col min="8" max="8" width="12.5" style="17" customWidth="1"/>
    <col min="9" max="9" width="11.1640625" style="17" customWidth="1"/>
    <col min="10" max="10" width="2.5" style="17" customWidth="1"/>
    <col min="11" max="11" width="11.5" style="15" customWidth="1"/>
    <col min="12" max="12" width="2.5" style="15" customWidth="1"/>
    <col min="13" max="13" width="12.5" style="15" bestFit="1" customWidth="1"/>
    <col min="14" max="14" width="13.33203125" style="15" bestFit="1" customWidth="1"/>
    <col min="15" max="16384" width="8.83203125" style="15"/>
  </cols>
  <sheetData>
    <row r="1" spans="2:15" ht="17" thickBot="1"/>
    <row r="2" spans="2:15" ht="21" thickBot="1">
      <c r="B2" s="52" t="s">
        <v>84</v>
      </c>
      <c r="C2" s="253" t="s">
        <v>396</v>
      </c>
      <c r="E2" s="53" t="s">
        <v>310</v>
      </c>
      <c r="F2" s="54"/>
      <c r="G2" s="453">
        <f>Overview!G69/DATA!N15</f>
        <v>0.40349858936033789</v>
      </c>
      <c r="M2" s="484" t="s">
        <v>85</v>
      </c>
      <c r="N2" s="485"/>
    </row>
    <row r="3" spans="2:15" ht="21" thickBot="1">
      <c r="B3" s="48" t="s">
        <v>267</v>
      </c>
      <c r="C3" s="252"/>
      <c r="D3" s="116"/>
      <c r="E3" s="48" t="s">
        <v>86</v>
      </c>
      <c r="F3" s="17"/>
      <c r="G3" s="117">
        <f>G4*C4</f>
        <v>29651.510000000002</v>
      </c>
      <c r="M3" s="240" t="s">
        <v>87</v>
      </c>
      <c r="N3" s="308">
        <v>1.56</v>
      </c>
      <c r="O3" s="15" t="s">
        <v>302</v>
      </c>
    </row>
    <row r="4" spans="2:15" ht="21" thickBot="1">
      <c r="B4" s="57" t="s">
        <v>88</v>
      </c>
      <c r="C4" s="254">
        <v>98.51</v>
      </c>
      <c r="E4" s="57" t="s">
        <v>89</v>
      </c>
      <c r="F4" s="35"/>
      <c r="G4" s="118">
        <f>'Sourced From Original'!G107</f>
        <v>301</v>
      </c>
      <c r="K4" s="346"/>
      <c r="M4" s="241" t="s">
        <v>90</v>
      </c>
      <c r="N4" s="309">
        <v>7.0999999999999994E-2</v>
      </c>
    </row>
    <row r="5" spans="2:15" ht="21" thickBot="1">
      <c r="H5" s="119"/>
      <c r="I5" s="119"/>
      <c r="J5" s="119"/>
      <c r="M5" s="242" t="s">
        <v>91</v>
      </c>
      <c r="N5" s="309">
        <v>1.5789999999999998E-2</v>
      </c>
      <c r="O5" s="15" t="s">
        <v>303</v>
      </c>
    </row>
    <row r="6" spans="2:15" ht="21" thickBot="1">
      <c r="B6" s="481" t="s">
        <v>92</v>
      </c>
      <c r="C6" s="482"/>
      <c r="D6" s="482"/>
      <c r="E6" s="482"/>
      <c r="F6" s="482"/>
      <c r="G6" s="483"/>
      <c r="H6" s="19"/>
      <c r="I6" s="19"/>
      <c r="J6" s="19"/>
      <c r="M6" s="241" t="s">
        <v>93</v>
      </c>
      <c r="N6" s="243">
        <f>'Sourced From Original'!G26/'Sourced From Original'!G23</f>
        <v>0.32703777335984097</v>
      </c>
    </row>
    <row r="7" spans="2:15" ht="20">
      <c r="B7" s="110" t="s">
        <v>94</v>
      </c>
      <c r="C7" s="304">
        <v>1</v>
      </c>
      <c r="D7" s="304">
        <v>2</v>
      </c>
      <c r="E7" s="304">
        <v>3</v>
      </c>
      <c r="F7" s="304">
        <v>4</v>
      </c>
      <c r="G7" s="305">
        <v>5</v>
      </c>
      <c r="H7" s="120"/>
      <c r="I7" s="120"/>
      <c r="J7" s="120"/>
      <c r="M7" s="240" t="s">
        <v>95</v>
      </c>
      <c r="N7" s="244">
        <f>Forecast!I32</f>
        <v>0.1019176</v>
      </c>
    </row>
    <row r="8" spans="2:15" ht="21" thickBot="1">
      <c r="B8" s="111" t="s">
        <v>96</v>
      </c>
      <c r="C8" s="306">
        <f>Forecast!F27</f>
        <v>6.0229031061956234E-2</v>
      </c>
      <c r="D8" s="306">
        <f>C8-($C$8-$G$8)/4</f>
        <v>5.1421773296467174E-2</v>
      </c>
      <c r="E8" s="306">
        <f>D8-($C$8-$G$8)/4</f>
        <v>4.2614515530978114E-2</v>
      </c>
      <c r="F8" s="306">
        <f t="shared" ref="F8" si="0">E8-($C$8-$G$8)/4</f>
        <v>3.3807257765489054E-2</v>
      </c>
      <c r="G8" s="307">
        <v>2.5000000000000001E-2</v>
      </c>
      <c r="H8" s="120"/>
      <c r="I8" s="120"/>
      <c r="J8" s="120"/>
      <c r="K8" s="28"/>
      <c r="M8" s="245" t="s">
        <v>97</v>
      </c>
      <c r="N8" s="246">
        <f>-IFERROR('Sourced From Original'!G25/'Sourced From Original'!G87,0)</f>
        <v>0</v>
      </c>
    </row>
    <row r="9" spans="2:15" ht="21" thickBot="1">
      <c r="B9" s="17"/>
      <c r="G9" s="27"/>
      <c r="H9" s="27"/>
      <c r="I9" s="27"/>
      <c r="J9" s="27"/>
      <c r="L9" s="29"/>
      <c r="M9" s="242" t="s">
        <v>98</v>
      </c>
      <c r="N9" s="247">
        <f>G3</f>
        <v>29651.510000000002</v>
      </c>
    </row>
    <row r="10" spans="2:15" ht="21" thickBot="1">
      <c r="B10" s="121" t="s">
        <v>99</v>
      </c>
      <c r="C10" s="255" t="s">
        <v>397</v>
      </c>
      <c r="D10" s="255" t="s">
        <v>398</v>
      </c>
      <c r="E10" s="255" t="s">
        <v>399</v>
      </c>
      <c r="F10" s="255" t="s">
        <v>400</v>
      </c>
      <c r="G10" s="255" t="s">
        <v>401</v>
      </c>
      <c r="H10" s="443" t="s">
        <v>402</v>
      </c>
      <c r="I10" s="67" t="s">
        <v>100</v>
      </c>
      <c r="J10" s="27"/>
      <c r="K10" s="72" t="str">
        <f>C2</f>
        <v>MGA</v>
      </c>
      <c r="L10" s="29"/>
      <c r="M10" s="242" t="s">
        <v>101</v>
      </c>
      <c r="N10" s="248">
        <f>'Sourced From Original'!G87</f>
        <v>4102</v>
      </c>
    </row>
    <row r="11" spans="2:15" ht="20">
      <c r="B11" s="112" t="s">
        <v>102</v>
      </c>
      <c r="C11" s="256">
        <v>1.8626</v>
      </c>
      <c r="D11" s="256">
        <v>5</v>
      </c>
      <c r="E11" s="256">
        <v>3.7309999999999999</v>
      </c>
      <c r="F11" s="256">
        <v>2.6070000000000002</v>
      </c>
      <c r="G11" s="256">
        <v>3.0916999999999999</v>
      </c>
      <c r="H11" s="444">
        <v>2.2746</v>
      </c>
      <c r="I11" s="448">
        <f>AVERAGE(C11:H11)</f>
        <v>3.0944833333333333</v>
      </c>
      <c r="J11" s="47"/>
      <c r="K11" s="449">
        <v>2.6131000000000002</v>
      </c>
      <c r="M11" s="249" t="s">
        <v>103</v>
      </c>
      <c r="N11" s="244">
        <f>N9/SUM(N9:N10)</f>
        <v>0.87847189818184834</v>
      </c>
    </row>
    <row r="12" spans="2:15" ht="21" thickBot="1">
      <c r="B12" s="113" t="s">
        <v>104</v>
      </c>
      <c r="C12" s="257">
        <v>0.94599999999999995</v>
      </c>
      <c r="D12" s="257">
        <v>3.01</v>
      </c>
      <c r="E12" s="257">
        <v>1.1228</v>
      </c>
      <c r="F12" s="257">
        <v>0.63300000000000001</v>
      </c>
      <c r="G12" s="257">
        <v>0.76290000000000002</v>
      </c>
      <c r="H12" s="445">
        <v>0.72260000000000002</v>
      </c>
      <c r="I12" s="446">
        <f t="shared" ref="I12:I15" si="1">AVERAGE(C12:H12)</f>
        <v>1.1995499999999999</v>
      </c>
      <c r="J12" s="47"/>
      <c r="K12" s="450">
        <v>0.79610000000000003</v>
      </c>
      <c r="M12" s="245" t="s">
        <v>105</v>
      </c>
      <c r="N12" s="246">
        <f>N10/SUM(N9:N10)</f>
        <v>0.12152810181815164</v>
      </c>
    </row>
    <row r="13" spans="2:15" ht="20">
      <c r="B13" s="48" t="s">
        <v>106</v>
      </c>
      <c r="C13" s="257">
        <v>22.41</v>
      </c>
      <c r="D13" s="257">
        <v>21.36</v>
      </c>
      <c r="E13" s="257">
        <v>33.69</v>
      </c>
      <c r="F13" s="257">
        <v>73.63</v>
      </c>
      <c r="G13" s="257">
        <v>66.290000000000006</v>
      </c>
      <c r="H13" s="445">
        <v>29.61</v>
      </c>
      <c r="I13" s="446">
        <f t="shared" si="1"/>
        <v>41.164999999999999</v>
      </c>
      <c r="J13" s="47"/>
      <c r="K13" s="451">
        <v>38.409999999999997</v>
      </c>
      <c r="M13" s="242" t="s">
        <v>107</v>
      </c>
      <c r="N13" s="243">
        <f>N11*N7</f>
        <v>8.9531747530138345E-2</v>
      </c>
    </row>
    <row r="14" spans="2:15" ht="21" thickBot="1">
      <c r="B14" s="113" t="s">
        <v>108</v>
      </c>
      <c r="C14" s="257">
        <v>10.39</v>
      </c>
      <c r="D14" s="257">
        <v>14.84</v>
      </c>
      <c r="E14" s="257">
        <v>16.09</v>
      </c>
      <c r="F14" s="257">
        <v>15.26</v>
      </c>
      <c r="G14" s="257">
        <v>4.3600000000000003</v>
      </c>
      <c r="H14" s="445">
        <v>13.06</v>
      </c>
      <c r="I14" s="446">
        <f t="shared" si="1"/>
        <v>12.333333333333334</v>
      </c>
      <c r="J14" s="47"/>
      <c r="K14" s="450">
        <v>14.06</v>
      </c>
      <c r="M14" s="245" t="s">
        <v>109</v>
      </c>
      <c r="N14" s="246">
        <f>N12*N8*(1-N6)</f>
        <v>0</v>
      </c>
    </row>
    <row r="15" spans="2:15" ht="21" thickBot="1">
      <c r="B15" s="114" t="s">
        <v>110</v>
      </c>
      <c r="C15" s="258">
        <v>6.2329999999999997</v>
      </c>
      <c r="D15" s="257">
        <v>13.64</v>
      </c>
      <c r="E15" s="257">
        <v>7.4889000000000001</v>
      </c>
      <c r="F15" s="257">
        <v>6.7671000000000001</v>
      </c>
      <c r="G15" s="257">
        <v>4.5254000000000003</v>
      </c>
      <c r="H15" s="445">
        <v>6.3918999999999997</v>
      </c>
      <c r="I15" s="447">
        <f t="shared" si="1"/>
        <v>7.507716666666667</v>
      </c>
      <c r="J15" s="47"/>
      <c r="K15" s="452">
        <v>8.5744000000000007</v>
      </c>
      <c r="M15" s="250" t="s">
        <v>111</v>
      </c>
      <c r="N15" s="251">
        <f>SUM(N13:N14)</f>
        <v>8.9531747530138345E-2</v>
      </c>
    </row>
    <row r="16" spans="2:15" ht="69" thickBot="1">
      <c r="B16" s="115" t="s">
        <v>112</v>
      </c>
      <c r="C16" s="337" t="s">
        <v>403</v>
      </c>
      <c r="D16" s="338" t="s">
        <v>408</v>
      </c>
      <c r="E16" s="338" t="s">
        <v>404</v>
      </c>
      <c r="F16" s="338" t="s">
        <v>405</v>
      </c>
      <c r="G16" s="338" t="s">
        <v>406</v>
      </c>
      <c r="H16" s="339" t="s">
        <v>407</v>
      </c>
      <c r="I16" s="92"/>
      <c r="J16" s="47"/>
      <c r="K16" s="123"/>
      <c r="M16" s="28"/>
      <c r="N16" s="91"/>
    </row>
    <row r="17" spans="2:13" ht="17" thickBot="1">
      <c r="C17" s="27"/>
      <c r="D17" s="27"/>
      <c r="E17" s="27"/>
      <c r="F17" s="27"/>
    </row>
    <row r="18" spans="2:13">
      <c r="B18" s="98" t="s">
        <v>113</v>
      </c>
      <c r="C18" s="99">
        <f>Overview!C4</f>
        <v>42735</v>
      </c>
      <c r="D18" s="99">
        <f>Overview!D4</f>
        <v>43100</v>
      </c>
      <c r="E18" s="99">
        <f>Overview!E4</f>
        <v>43465</v>
      </c>
      <c r="F18" s="99">
        <f>Overview!F4</f>
        <v>43830</v>
      </c>
      <c r="G18" s="441">
        <f>Overview!G4</f>
        <v>44196</v>
      </c>
      <c r="L18" s="42"/>
      <c r="M18" s="42"/>
    </row>
    <row r="19" spans="2:13" ht="17" thickBot="1">
      <c r="B19" s="58" t="s">
        <v>114</v>
      </c>
      <c r="C19" s="440">
        <v>43.4</v>
      </c>
      <c r="D19" s="440">
        <v>56.67</v>
      </c>
      <c r="E19" s="440">
        <v>45.45</v>
      </c>
      <c r="F19" s="440">
        <v>54.84</v>
      </c>
      <c r="G19" s="442">
        <v>70.8</v>
      </c>
      <c r="M19" s="42"/>
    </row>
    <row r="20" spans="2:13">
      <c r="C20" s="44"/>
      <c r="D20" s="38"/>
      <c r="E20" s="17"/>
      <c r="M20" s="42"/>
    </row>
    <row r="21" spans="2:13" ht="17" thickBot="1">
      <c r="B21" s="15" t="s">
        <v>296</v>
      </c>
      <c r="C21" s="347">
        <f>$E$22</f>
        <v>1E-3</v>
      </c>
      <c r="E21" s="17"/>
      <c r="L21" s="20"/>
      <c r="M21" s="42"/>
    </row>
    <row r="22" spans="2:13" ht="17" thickBot="1">
      <c r="B22" s="15" t="s">
        <v>297</v>
      </c>
      <c r="C22" s="347">
        <f>$E$22</f>
        <v>1E-3</v>
      </c>
      <c r="E22" s="439">
        <v>1E-3</v>
      </c>
      <c r="F22" s="15" t="s">
        <v>307</v>
      </c>
      <c r="L22" s="17"/>
      <c r="M22" s="42"/>
    </row>
    <row r="23" spans="2:13">
      <c r="B23" s="15" t="s">
        <v>298</v>
      </c>
      <c r="C23" s="347">
        <f>$E$22</f>
        <v>1E-3</v>
      </c>
      <c r="E23" s="17"/>
      <c r="L23" s="17"/>
      <c r="M23" s="42"/>
    </row>
    <row r="24" spans="2:13">
      <c r="B24" s="36"/>
      <c r="C24" s="38"/>
      <c r="F24" s="40"/>
      <c r="G24" s="17"/>
    </row>
    <row r="25" spans="2:13">
      <c r="B25" s="36" t="s">
        <v>242</v>
      </c>
      <c r="C25" s="38">
        <f>N7</f>
        <v>0.1019176</v>
      </c>
      <c r="D25" s="17"/>
      <c r="E25" s="37"/>
      <c r="F25" s="40"/>
      <c r="G25" s="36"/>
      <c r="H25" s="36"/>
      <c r="I25" s="36"/>
      <c r="J25" s="36"/>
    </row>
    <row r="26" spans="2:13">
      <c r="B26" s="17" t="s">
        <v>85</v>
      </c>
      <c r="C26" s="38">
        <f>N15</f>
        <v>8.9531747530138345E-2</v>
      </c>
      <c r="D26" s="38"/>
      <c r="E26" s="37"/>
      <c r="F26" s="19"/>
      <c r="G26" s="17"/>
    </row>
    <row r="27" spans="2:13">
      <c r="B27" s="17" t="s">
        <v>290</v>
      </c>
      <c r="C27" s="38">
        <f>G8</f>
        <v>2.5000000000000001E-2</v>
      </c>
      <c r="D27" s="17"/>
      <c r="E27" s="17"/>
      <c r="F27" s="17"/>
      <c r="G27" s="17"/>
    </row>
    <row r="28" spans="2:13">
      <c r="D28" s="17"/>
      <c r="E28" s="37"/>
    </row>
  </sheetData>
  <mergeCells count="2">
    <mergeCell ref="B6:G6"/>
    <mergeCell ref="M2:N2"/>
  </mergeCells>
  <phoneticPr fontId="48" type="noConversion"/>
  <pageMargins left="0.7" right="0.7" top="0.75" bottom="0.75" header="0.3" footer="0.3"/>
  <pageSetup scale="6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9542-CCBD-4E9E-9965-62EED1AB1C98}">
  <sheetPr codeName="Sheet14">
    <tabColor theme="7" tint="0.79998168889431442"/>
    <pageSetUpPr fitToPage="1"/>
  </sheetPr>
  <dimension ref="A1:AJ159"/>
  <sheetViews>
    <sheetView showGridLines="0" zoomScale="75" zoomScaleNormal="100" zoomScaleSheetLayoutView="85" workbookViewId="0">
      <pane xSplit="13" ySplit="4" topLeftCell="N109" activePane="bottomRight" state="frozen"/>
      <selection pane="topRight" activeCell="G157" sqref="G157"/>
      <selection pane="bottomLeft" activeCell="G157" sqref="G157"/>
      <selection pane="bottomRight" activeCell="O45" sqref="O45:P45"/>
    </sheetView>
  </sheetViews>
  <sheetFormatPr baseColWidth="10" defaultColWidth="8.83203125" defaultRowHeight="12"/>
  <cols>
    <col min="1" max="1" width="2.5" style="126" customWidth="1"/>
    <col min="2" max="2" width="39.5" style="126" bestFit="1" customWidth="1"/>
    <col min="3" max="7" width="7.83203125" style="126" bestFit="1" customWidth="1"/>
    <col min="8" max="12" width="7.1640625" style="126" bestFit="1" customWidth="1"/>
    <col min="13" max="13" width="2.83203125" style="126" customWidth="1"/>
    <col min="14" max="40" width="10" style="126" customWidth="1"/>
    <col min="41" max="16384" width="8.83203125" style="126"/>
  </cols>
  <sheetData>
    <row r="1" spans="1:36" ht="13" thickBot="1"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</row>
    <row r="2" spans="1:36" ht="13" thickBot="1">
      <c r="B2" s="146"/>
      <c r="C2" s="486" t="s">
        <v>115</v>
      </c>
      <c r="D2" s="487"/>
      <c r="E2" s="487"/>
      <c r="F2" s="487"/>
      <c r="G2" s="488"/>
      <c r="H2" s="486" t="s">
        <v>116</v>
      </c>
      <c r="I2" s="487"/>
      <c r="J2" s="487"/>
      <c r="K2" s="487"/>
      <c r="L2" s="488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45"/>
      <c r="AI2" s="145"/>
      <c r="AJ2" s="145"/>
    </row>
    <row r="3" spans="1:36" ht="13" thickBot="1">
      <c r="B3" s="147"/>
      <c r="C3" s="148" t="s">
        <v>117</v>
      </c>
      <c r="D3" s="149" t="s">
        <v>118</v>
      </c>
      <c r="E3" s="150" t="s">
        <v>119</v>
      </c>
      <c r="F3" s="150" t="s">
        <v>120</v>
      </c>
      <c r="G3" s="236" t="s">
        <v>289</v>
      </c>
      <c r="H3" s="237"/>
      <c r="I3" s="238"/>
      <c r="J3" s="238"/>
      <c r="K3" s="238"/>
      <c r="L3" s="239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</row>
    <row r="4" spans="1:36" ht="13" hidden="1" thickBot="1">
      <c r="B4" s="145"/>
      <c r="C4" s="152">
        <f>IS!D3</f>
        <v>42735</v>
      </c>
      <c r="D4" s="153">
        <f>IS!E3</f>
        <v>43100</v>
      </c>
      <c r="E4" s="153">
        <f>IS!F3</f>
        <v>43465</v>
      </c>
      <c r="F4" s="153">
        <f>IS!G3</f>
        <v>43830</v>
      </c>
      <c r="G4" s="153">
        <f>IS!H3</f>
        <v>44196</v>
      </c>
      <c r="H4" s="151"/>
      <c r="I4" s="154"/>
      <c r="J4" s="154"/>
      <c r="K4" s="154"/>
      <c r="L4" s="15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</row>
    <row r="5" spans="1:36">
      <c r="B5" s="156" t="s">
        <v>121</v>
      </c>
      <c r="C5" s="157"/>
      <c r="D5" s="158"/>
      <c r="E5" s="158"/>
      <c r="F5" s="158"/>
      <c r="G5" s="159"/>
      <c r="H5" s="160"/>
      <c r="I5" s="161"/>
      <c r="J5" s="161"/>
      <c r="K5" s="161"/>
      <c r="L5" s="162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54"/>
      <c r="AB5" s="125"/>
      <c r="AC5" s="125"/>
      <c r="AD5" s="125"/>
      <c r="AE5" s="125"/>
      <c r="AF5" s="154"/>
      <c r="AG5" s="125"/>
      <c r="AH5" s="125"/>
      <c r="AI5" s="125"/>
      <c r="AJ5" s="125"/>
    </row>
    <row r="6" spans="1:36">
      <c r="B6" s="163"/>
      <c r="C6" s="164"/>
      <c r="D6" s="165"/>
      <c r="E6" s="165"/>
      <c r="F6" s="165"/>
      <c r="G6" s="166"/>
      <c r="H6" s="167"/>
      <c r="I6" s="145"/>
      <c r="J6" s="145"/>
      <c r="K6" s="145"/>
      <c r="L6" s="168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54"/>
      <c r="AB6" s="154"/>
      <c r="AC6" s="154"/>
      <c r="AD6" s="154"/>
      <c r="AE6" s="154"/>
      <c r="AF6" s="154"/>
      <c r="AG6" s="154"/>
      <c r="AH6" s="154"/>
      <c r="AI6" s="154"/>
      <c r="AJ6" s="154"/>
    </row>
    <row r="7" spans="1:36" ht="16" thickBot="1">
      <c r="B7" s="169" t="s">
        <v>122</v>
      </c>
      <c r="C7" s="164"/>
      <c r="D7" s="165"/>
      <c r="E7" s="165"/>
      <c r="F7" s="165"/>
      <c r="G7" s="166"/>
      <c r="H7" s="167"/>
      <c r="I7" s="145"/>
      <c r="J7" s="145"/>
      <c r="K7" s="145"/>
      <c r="L7" s="168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  <c r="AJ7" s="145"/>
    </row>
    <row r="8" spans="1:36" ht="13">
      <c r="B8" s="170" t="s">
        <v>1</v>
      </c>
      <c r="C8" s="157" cm="1">
        <f t="array" ref="C8:G8">_xlfn.XLOOKUP($B8,IS!B:B,IS!D:H,0)</f>
        <v>36445</v>
      </c>
      <c r="D8" s="158">
        <v>36588</v>
      </c>
      <c r="E8" s="158">
        <v>40827</v>
      </c>
      <c r="F8" s="158">
        <v>39431</v>
      </c>
      <c r="G8" s="159">
        <v>32647</v>
      </c>
      <c r="H8" s="167"/>
      <c r="I8" s="145"/>
      <c r="J8" s="145"/>
      <c r="K8" s="145"/>
      <c r="L8" s="168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</row>
    <row r="9" spans="1:36" s="144" customFormat="1" ht="13">
      <c r="B9" s="171" t="s">
        <v>262</v>
      </c>
      <c r="C9" s="172"/>
      <c r="D9" s="173">
        <f>D8/C8-1</f>
        <v>3.9237206749898057E-3</v>
      </c>
      <c r="E9" s="173">
        <f t="shared" ref="E9:G9" si="0">E8/D8-1</f>
        <v>0.11585765824860617</v>
      </c>
      <c r="F9" s="173">
        <f t="shared" si="0"/>
        <v>-3.4193058515198271E-2</v>
      </c>
      <c r="G9" s="174">
        <f t="shared" si="0"/>
        <v>-0.172047373893637</v>
      </c>
      <c r="H9" s="175"/>
      <c r="I9" s="176"/>
      <c r="J9" s="176"/>
      <c r="K9" s="176"/>
      <c r="L9" s="177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</row>
    <row r="10" spans="1:36" s="144" customFormat="1">
      <c r="B10" s="171"/>
      <c r="C10" s="172"/>
      <c r="D10" s="173"/>
      <c r="E10" s="173"/>
      <c r="F10" s="173"/>
      <c r="G10" s="174"/>
      <c r="H10" s="179"/>
      <c r="I10" s="178"/>
      <c r="J10" s="178"/>
      <c r="K10" s="178"/>
      <c r="L10" s="180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8"/>
      <c r="AE10" s="178"/>
      <c r="AF10" s="178"/>
      <c r="AG10" s="178"/>
      <c r="AH10" s="178"/>
      <c r="AI10" s="178"/>
      <c r="AJ10" s="178"/>
    </row>
    <row r="11" spans="1:36" ht="13">
      <c r="B11" s="181" t="s">
        <v>123</v>
      </c>
      <c r="C11" s="164"/>
      <c r="D11" s="165"/>
      <c r="E11" s="165"/>
      <c r="F11" s="165"/>
      <c r="G11" s="166"/>
      <c r="H11" s="167"/>
      <c r="I11" s="145"/>
      <c r="J11" s="145"/>
      <c r="K11" s="145"/>
      <c r="L11" s="168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</row>
    <row r="12" spans="1:36" ht="13">
      <c r="B12" s="182" t="s">
        <v>2</v>
      </c>
      <c r="C12" s="164" cm="1">
        <f t="array" ref="C12:G12">_xlfn.XLOOKUP($B12,IS!B:B,IS!D:H,0)</f>
        <v>31123</v>
      </c>
      <c r="D12" s="165">
        <v>30895</v>
      </c>
      <c r="E12" s="165">
        <v>35055</v>
      </c>
      <c r="F12" s="165">
        <v>34022</v>
      </c>
      <c r="G12" s="166">
        <v>28207</v>
      </c>
      <c r="H12" s="167"/>
      <c r="I12" s="145"/>
      <c r="J12" s="145"/>
      <c r="K12" s="145"/>
      <c r="L12" s="168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</row>
    <row r="13" spans="1:36" ht="13">
      <c r="B13" s="182" t="s">
        <v>3</v>
      </c>
      <c r="C13" s="164" cm="1">
        <f t="array" ref="C13:G13">_xlfn.XLOOKUP($B13,IS!B:B,IS!D:H,0)</f>
        <v>1601</v>
      </c>
      <c r="D13" s="165">
        <v>1668</v>
      </c>
      <c r="E13" s="165">
        <v>1664</v>
      </c>
      <c r="F13" s="165">
        <v>1697</v>
      </c>
      <c r="G13" s="166">
        <v>1587</v>
      </c>
      <c r="H13" s="167"/>
      <c r="I13" s="145"/>
      <c r="J13" s="145"/>
      <c r="K13" s="145"/>
      <c r="L13" s="168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</row>
    <row r="14" spans="1:36" ht="13">
      <c r="B14" s="182" t="s">
        <v>7</v>
      </c>
      <c r="C14" s="183">
        <f>C15-SUM(C12:C13)</f>
        <v>941</v>
      </c>
      <c r="D14" s="165">
        <f>D15-SUM(D12:D13)</f>
        <v>1040</v>
      </c>
      <c r="E14" s="165">
        <f>E15-SUM(E12:E13)</f>
        <v>1157</v>
      </c>
      <c r="F14" s="165">
        <f>F15-SUM(F12:F13)</f>
        <v>1489</v>
      </c>
      <c r="G14" s="166">
        <f>G15-SUM(G12:G13)</f>
        <v>1847</v>
      </c>
      <c r="H14" s="167"/>
      <c r="I14" s="145"/>
      <c r="J14" s="145"/>
      <c r="K14" s="145"/>
      <c r="L14" s="168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</row>
    <row r="15" spans="1:36" s="184" customFormat="1" ht="13">
      <c r="B15" s="185" t="s">
        <v>4</v>
      </c>
      <c r="C15" s="186" cm="1">
        <f t="array" ref="C15:G15">_xlfn.XLOOKUP($B15,IS!B:B,IS!D:H,0)</f>
        <v>33665</v>
      </c>
      <c r="D15" s="187">
        <v>33603</v>
      </c>
      <c r="E15" s="187">
        <v>37876</v>
      </c>
      <c r="F15" s="187">
        <v>37208</v>
      </c>
      <c r="G15" s="188">
        <v>31641</v>
      </c>
      <c r="H15" s="189"/>
      <c r="L15" s="190"/>
    </row>
    <row r="16" spans="1:36">
      <c r="A16" s="145"/>
      <c r="B16" s="191"/>
      <c r="C16" s="183"/>
      <c r="D16" s="165"/>
      <c r="E16" s="165"/>
      <c r="F16" s="165"/>
      <c r="G16" s="166"/>
      <c r="H16" s="167"/>
      <c r="I16" s="145"/>
      <c r="J16" s="145"/>
      <c r="K16" s="145"/>
      <c r="L16" s="168"/>
    </row>
    <row r="17" spans="1:36" s="184" customFormat="1" ht="13">
      <c r="B17" s="185" t="s">
        <v>5</v>
      </c>
      <c r="C17" s="186" cm="1">
        <f t="array" ref="C17:G17">_xlfn.XLOOKUP($B17,IS!B:B,IS!D:H,0)</f>
        <v>2780</v>
      </c>
      <c r="D17" s="187">
        <v>2985</v>
      </c>
      <c r="E17" s="187">
        <v>2951</v>
      </c>
      <c r="F17" s="187">
        <v>2223</v>
      </c>
      <c r="G17" s="188">
        <v>1006</v>
      </c>
      <c r="H17" s="189"/>
      <c r="L17" s="190"/>
    </row>
    <row r="18" spans="1:36" s="144" customFormat="1" ht="13">
      <c r="B18" s="171" t="s">
        <v>263</v>
      </c>
      <c r="C18" s="192">
        <f>-(C12-C8)/C8</f>
        <v>0.14602826176430236</v>
      </c>
      <c r="D18" s="173">
        <f t="shared" ref="D18:G18" si="1">-(D12-D8)/D8</f>
        <v>0.15559746364928392</v>
      </c>
      <c r="E18" s="173">
        <f t="shared" si="1"/>
        <v>0.14137702990667941</v>
      </c>
      <c r="F18" s="173">
        <f t="shared" si="1"/>
        <v>0.13717633334178692</v>
      </c>
      <c r="G18" s="174">
        <f t="shared" si="1"/>
        <v>0.13600024504548658</v>
      </c>
      <c r="H18" s="175"/>
      <c r="I18" s="176"/>
      <c r="J18" s="176"/>
      <c r="K18" s="176"/>
      <c r="L18" s="177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78"/>
    </row>
    <row r="19" spans="1:36" s="144" customFormat="1">
      <c r="B19" s="171"/>
      <c r="C19" s="172"/>
      <c r="D19" s="173"/>
      <c r="E19" s="173"/>
      <c r="F19" s="173"/>
      <c r="G19" s="174"/>
      <c r="H19" s="179"/>
      <c r="I19" s="178"/>
      <c r="J19" s="178"/>
      <c r="K19" s="178"/>
      <c r="L19" s="180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</row>
    <row r="20" spans="1:36" ht="13">
      <c r="A20" s="145"/>
      <c r="B20" s="181" t="s">
        <v>124</v>
      </c>
      <c r="C20" s="164"/>
      <c r="D20" s="165"/>
      <c r="E20" s="165"/>
      <c r="F20" s="165"/>
      <c r="G20" s="166"/>
      <c r="H20" s="167"/>
      <c r="I20" s="145"/>
      <c r="J20" s="145"/>
      <c r="K20" s="145"/>
      <c r="L20" s="168"/>
    </row>
    <row r="21" spans="1:36" ht="13">
      <c r="A21" s="145"/>
      <c r="B21" s="182" t="s">
        <v>6</v>
      </c>
      <c r="C21" s="164" cm="1">
        <f t="array" ref="C21">_xlfn.XLOOKUP($B21,IS!B:B,IS!D:H,0)</f>
        <v>0</v>
      </c>
      <c r="D21" s="165"/>
      <c r="E21" s="165"/>
      <c r="F21" s="165"/>
      <c r="G21" s="166"/>
      <c r="H21" s="167"/>
      <c r="I21" s="145"/>
      <c r="J21" s="145"/>
      <c r="K21" s="145"/>
      <c r="L21" s="168"/>
    </row>
    <row r="22" spans="1:36" ht="13">
      <c r="A22" s="145"/>
      <c r="B22" s="182" t="s">
        <v>7</v>
      </c>
      <c r="C22" s="183" cm="1">
        <f t="array" ref="C22">_xlfn.XLOOKUP($B22,IS!B:B,IS!D:H,0)</f>
        <v>0</v>
      </c>
      <c r="D22" s="165"/>
      <c r="E22" s="165"/>
      <c r="F22" s="165"/>
      <c r="G22" s="166"/>
      <c r="H22" s="167"/>
      <c r="I22" s="145"/>
      <c r="J22" s="145"/>
      <c r="K22" s="145"/>
      <c r="L22" s="168"/>
    </row>
    <row r="23" spans="1:36" s="184" customFormat="1" ht="13">
      <c r="B23" s="185" t="s">
        <v>8</v>
      </c>
      <c r="C23" s="186" cm="1">
        <f t="array" ref="C23:G23">_xlfn.XLOOKUP($B23,IS!B:B,IS!D:H,0)</f>
        <v>2780</v>
      </c>
      <c r="D23" s="187">
        <v>2985</v>
      </c>
      <c r="E23" s="187">
        <v>2951</v>
      </c>
      <c r="F23" s="187">
        <v>2223</v>
      </c>
      <c r="G23" s="188">
        <v>1006</v>
      </c>
      <c r="H23" s="189"/>
      <c r="L23" s="190"/>
    </row>
    <row r="24" spans="1:36">
      <c r="A24" s="145"/>
      <c r="B24" s="191"/>
      <c r="C24" s="164"/>
      <c r="D24" s="165"/>
      <c r="E24" s="165"/>
      <c r="F24" s="165"/>
      <c r="G24" s="166"/>
      <c r="H24" s="167"/>
      <c r="I24" s="145"/>
      <c r="J24" s="145"/>
      <c r="K24" s="145"/>
      <c r="L24" s="168"/>
    </row>
    <row r="25" spans="1:36" ht="13">
      <c r="A25" s="145"/>
      <c r="B25" s="350" t="s">
        <v>304</v>
      </c>
      <c r="C25" s="183" cm="1">
        <f t="array" ref="C25">_xlfn.XLOOKUP($B25,IS!B:B,IS!D:H,0)</f>
        <v>0</v>
      </c>
      <c r="D25" s="165"/>
      <c r="E25" s="165"/>
      <c r="F25" s="165"/>
      <c r="G25" s="166"/>
      <c r="H25" s="167"/>
      <c r="I25" s="145"/>
      <c r="J25" s="145"/>
      <c r="K25" s="145"/>
      <c r="L25" s="168"/>
    </row>
    <row r="26" spans="1:36" ht="13">
      <c r="A26" s="145"/>
      <c r="B26" s="182" t="s">
        <v>9</v>
      </c>
      <c r="C26" s="183" cm="1">
        <f t="array" ref="C26:G26">_xlfn.XLOOKUP($B26,IS!B:B,IS!D:H,0)</f>
        <v>706</v>
      </c>
      <c r="D26" s="165">
        <v>764</v>
      </c>
      <c r="E26" s="165">
        <v>608</v>
      </c>
      <c r="F26" s="165">
        <v>591</v>
      </c>
      <c r="G26" s="166">
        <v>329</v>
      </c>
      <c r="H26" s="167"/>
      <c r="I26" s="145"/>
      <c r="J26" s="145"/>
      <c r="K26" s="145"/>
      <c r="L26" s="168"/>
    </row>
    <row r="27" spans="1:36" s="184" customFormat="1" ht="13">
      <c r="B27" s="185" t="s">
        <v>10</v>
      </c>
      <c r="C27" s="186" cm="1">
        <f t="array" ref="C27:G27">_xlfn.XLOOKUP($B27,IS!B:B,IS!D:H,0)</f>
        <v>2074</v>
      </c>
      <c r="D27" s="187">
        <v>2221</v>
      </c>
      <c r="E27" s="187">
        <v>2343</v>
      </c>
      <c r="F27" s="187">
        <v>1632</v>
      </c>
      <c r="G27" s="188">
        <v>677</v>
      </c>
      <c r="H27" s="167"/>
      <c r="I27" s="145"/>
      <c r="J27" s="145"/>
      <c r="K27" s="145"/>
      <c r="L27" s="168"/>
    </row>
    <row r="28" spans="1:36" s="144" customFormat="1" ht="13">
      <c r="B28" s="171" t="s">
        <v>265</v>
      </c>
      <c r="C28" s="192">
        <f>C27/C8</f>
        <v>5.6907669090410208E-2</v>
      </c>
      <c r="D28" s="173">
        <f>D27/D8</f>
        <v>6.0702962720017489E-2</v>
      </c>
      <c r="E28" s="173">
        <f>E27/E8</f>
        <v>5.738849290910427E-2</v>
      </c>
      <c r="F28" s="173">
        <f>F27/F8</f>
        <v>4.1388755040450406E-2</v>
      </c>
      <c r="G28" s="174">
        <f>G27/G8</f>
        <v>2.0736974300854596E-2</v>
      </c>
      <c r="H28" s="175"/>
      <c r="I28" s="176"/>
      <c r="J28" s="176"/>
      <c r="K28" s="176"/>
      <c r="L28" s="177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  <c r="AA28" s="178"/>
      <c r="AB28" s="178"/>
      <c r="AC28" s="178"/>
      <c r="AD28" s="178"/>
      <c r="AE28" s="178"/>
      <c r="AF28" s="178"/>
      <c r="AG28" s="178"/>
      <c r="AH28" s="178"/>
      <c r="AI28" s="178"/>
      <c r="AJ28" s="178"/>
    </row>
    <row r="29" spans="1:36" s="144" customFormat="1" ht="13">
      <c r="B29" s="171" t="s">
        <v>266</v>
      </c>
      <c r="C29" s="192">
        <f>C26/C23</f>
        <v>0.25395683453237411</v>
      </c>
      <c r="D29" s="173">
        <f t="shared" ref="D29:G29" si="2">D26/D23</f>
        <v>0.25594639865996649</v>
      </c>
      <c r="E29" s="173">
        <f t="shared" si="2"/>
        <v>0.20603185360894613</v>
      </c>
      <c r="F29" s="173">
        <f t="shared" si="2"/>
        <v>0.26585695006747639</v>
      </c>
      <c r="G29" s="174">
        <f t="shared" si="2"/>
        <v>0.32703777335984097</v>
      </c>
      <c r="H29" s="175"/>
      <c r="I29" s="176"/>
      <c r="J29" s="176"/>
      <c r="K29" s="176"/>
      <c r="L29" s="177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8"/>
      <c r="AI29" s="178"/>
      <c r="AJ29" s="178"/>
    </row>
    <row r="30" spans="1:36" s="144" customFormat="1">
      <c r="B30" s="171"/>
      <c r="C30" s="172"/>
      <c r="D30" s="173"/>
      <c r="E30" s="173"/>
      <c r="F30" s="173"/>
      <c r="G30" s="174"/>
      <c r="H30" s="179"/>
      <c r="I30" s="178"/>
      <c r="J30" s="178"/>
      <c r="K30" s="178"/>
      <c r="L30" s="180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8"/>
      <c r="AE30" s="178"/>
      <c r="AF30" s="178"/>
      <c r="AG30" s="178"/>
      <c r="AH30" s="178"/>
      <c r="AI30" s="178"/>
      <c r="AJ30" s="178"/>
    </row>
    <row r="31" spans="1:36" s="184" customFormat="1" ht="13">
      <c r="B31" s="193" t="s">
        <v>125</v>
      </c>
      <c r="C31" s="186">
        <f>C23+C114+C115</f>
        <v>3836</v>
      </c>
      <c r="D31" s="194">
        <f>D23+D114+D115</f>
        <v>4169</v>
      </c>
      <c r="E31" s="194">
        <f>E23+E114+E115</f>
        <v>4229</v>
      </c>
      <c r="F31" s="194">
        <f>F23+F114+F115</f>
        <v>3568</v>
      </c>
      <c r="G31" s="195">
        <f>G23+G114+G115</f>
        <v>2372</v>
      </c>
      <c r="H31" s="167"/>
      <c r="I31" s="145"/>
      <c r="J31" s="145"/>
      <c r="K31" s="145"/>
      <c r="L31" s="168"/>
    </row>
    <row r="32" spans="1:36" s="144" customFormat="1" ht="13">
      <c r="B32" s="171" t="s">
        <v>264</v>
      </c>
      <c r="C32" s="192">
        <f>C31/C8</f>
        <v>0.10525449307175196</v>
      </c>
      <c r="D32" s="173">
        <f>D31/C31-1</f>
        <v>8.6809176225234541E-2</v>
      </c>
      <c r="E32" s="173">
        <f t="shared" ref="E32" si="3">E31/D31-1</f>
        <v>1.4391940513312607E-2</v>
      </c>
      <c r="F32" s="173">
        <f t="shared" ref="F32" si="4">F31/E31-1</f>
        <v>-0.15630172617640103</v>
      </c>
      <c r="G32" s="174">
        <f t="shared" ref="G32" si="5">G31/F31-1</f>
        <v>-0.33520179372197312</v>
      </c>
      <c r="H32" s="175"/>
      <c r="I32" s="176"/>
      <c r="J32" s="176"/>
      <c r="K32" s="176"/>
      <c r="L32" s="177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  <c r="AC32" s="178"/>
      <c r="AD32" s="178"/>
      <c r="AE32" s="178"/>
      <c r="AF32" s="178"/>
      <c r="AG32" s="178"/>
      <c r="AH32" s="178"/>
      <c r="AI32" s="178"/>
      <c r="AJ32" s="178"/>
    </row>
    <row r="33" spans="1:36" s="144" customFormat="1">
      <c r="B33" s="171"/>
      <c r="C33" s="196"/>
      <c r="D33" s="173"/>
      <c r="E33" s="173"/>
      <c r="F33" s="173"/>
      <c r="G33" s="174"/>
      <c r="H33" s="179"/>
      <c r="I33" s="178"/>
      <c r="J33" s="178"/>
      <c r="K33" s="178"/>
      <c r="L33" s="180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</row>
    <row r="34" spans="1:36" s="184" customFormat="1" ht="13">
      <c r="B34" s="185" t="s">
        <v>11</v>
      </c>
      <c r="C34" s="164" cm="1">
        <f t="array" ref="C34:G34">_xlfn.XLOOKUP($B34,IS!B:B,IS!D:H,0)</f>
        <v>0</v>
      </c>
      <c r="D34" s="187">
        <v>23</v>
      </c>
      <c r="E34" s="187">
        <v>-11</v>
      </c>
      <c r="F34" s="187">
        <v>0</v>
      </c>
      <c r="G34" s="188">
        <v>0</v>
      </c>
      <c r="H34" s="189"/>
      <c r="L34" s="190"/>
    </row>
    <row r="35" spans="1:36" s="184" customFormat="1" ht="13">
      <c r="B35" s="191" t="s">
        <v>13</v>
      </c>
      <c r="C35" s="186" cm="1">
        <f t="array" ref="C35:G35">_xlfn.XLOOKUP($B35,IS!B:B,IS!D:H,0)</f>
        <v>2031</v>
      </c>
      <c r="D35" s="194">
        <v>2173</v>
      </c>
      <c r="E35" s="194">
        <v>2307</v>
      </c>
      <c r="F35" s="194">
        <v>1765</v>
      </c>
      <c r="G35" s="195">
        <v>757</v>
      </c>
      <c r="H35" s="189"/>
      <c r="L35" s="190"/>
    </row>
    <row r="36" spans="1:36" s="184" customFormat="1" ht="13">
      <c r="B36" s="197" t="s">
        <v>14</v>
      </c>
      <c r="C36" s="198" cm="1">
        <f t="array" ref="C36:G36">_xlfn.XLOOKUP($B36,IS!B:B,IS!D:H,0)</f>
        <v>2031</v>
      </c>
      <c r="D36" s="199">
        <v>2196</v>
      </c>
      <c r="E36" s="199">
        <v>2296</v>
      </c>
      <c r="F36" s="199">
        <v>1765</v>
      </c>
      <c r="G36" s="200">
        <v>757</v>
      </c>
      <c r="H36" s="189"/>
      <c r="L36" s="190"/>
    </row>
    <row r="37" spans="1:36">
      <c r="A37" s="145"/>
      <c r="B37" s="191"/>
      <c r="C37" s="164"/>
      <c r="D37" s="165"/>
      <c r="E37" s="165"/>
      <c r="F37" s="165"/>
      <c r="G37" s="166"/>
      <c r="H37" s="167"/>
      <c r="I37" s="145"/>
      <c r="J37" s="145"/>
      <c r="K37" s="145"/>
      <c r="L37" s="168"/>
    </row>
    <row r="38" spans="1:36" ht="13">
      <c r="A38" s="145"/>
      <c r="B38" s="181" t="s">
        <v>126</v>
      </c>
      <c r="C38" s="164"/>
      <c r="D38" s="165"/>
      <c r="E38" s="165"/>
      <c r="F38" s="165"/>
      <c r="G38" s="166"/>
      <c r="H38" s="167"/>
      <c r="I38" s="145"/>
      <c r="J38" s="145"/>
      <c r="K38" s="145"/>
      <c r="L38" s="168"/>
    </row>
    <row r="39" spans="1:36" ht="13">
      <c r="A39" s="145"/>
      <c r="B39" s="182" t="s">
        <v>15</v>
      </c>
      <c r="C39" s="201" cm="1">
        <f t="array" ref="C39:G39">_xlfn.XLOOKUP($B39,IS!B:B,IS!D:H,0)</f>
        <v>391</v>
      </c>
      <c r="D39" s="202">
        <v>372</v>
      </c>
      <c r="E39" s="202">
        <v>345</v>
      </c>
      <c r="F39" s="202">
        <v>315</v>
      </c>
      <c r="G39" s="203">
        <v>300</v>
      </c>
      <c r="H39" s="167"/>
      <c r="I39" s="145"/>
      <c r="J39" s="145"/>
      <c r="K39" s="145"/>
      <c r="L39" s="168"/>
    </row>
    <row r="40" spans="1:36" ht="13">
      <c r="A40" s="145"/>
      <c r="B40" s="182" t="s">
        <v>16</v>
      </c>
      <c r="C40" s="204" cm="1">
        <f t="array" ref="C40:G40">_xlfn.XLOOKUP($B40,IS!B:B,IS!D:H,0)</f>
        <v>5.19</v>
      </c>
      <c r="D40" s="205">
        <v>5.84</v>
      </c>
      <c r="E40" s="205">
        <v>6.68</v>
      </c>
      <c r="F40" s="205">
        <v>5.61</v>
      </c>
      <c r="G40" s="206">
        <v>2.5299999999999998</v>
      </c>
      <c r="H40" s="167"/>
      <c r="I40" s="145"/>
      <c r="J40" s="145"/>
      <c r="K40" s="145"/>
      <c r="L40" s="168"/>
    </row>
    <row r="41" spans="1:36" ht="13">
      <c r="A41" s="145"/>
      <c r="B41" s="182" t="s">
        <v>17</v>
      </c>
      <c r="C41" s="204" cm="1">
        <f t="array" ref="C41:G41">_xlfn.XLOOKUP($B41,IS!B:B,IS!D:H,0)</f>
        <v>5.19</v>
      </c>
      <c r="D41" s="205">
        <v>5.91</v>
      </c>
      <c r="E41" s="205">
        <v>6.65</v>
      </c>
      <c r="F41" s="205">
        <v>5.61</v>
      </c>
      <c r="G41" s="206">
        <v>2.5299999999999998</v>
      </c>
      <c r="H41" s="167"/>
      <c r="I41" s="145"/>
      <c r="J41" s="145"/>
      <c r="K41" s="145"/>
      <c r="L41" s="168"/>
    </row>
    <row r="42" spans="1:36">
      <c r="A42" s="145"/>
      <c r="B42" s="182"/>
      <c r="C42" s="207"/>
      <c r="D42" s="208"/>
      <c r="E42" s="208"/>
      <c r="F42" s="208"/>
      <c r="G42" s="209"/>
      <c r="H42" s="167"/>
      <c r="I42" s="145"/>
      <c r="J42" s="145"/>
      <c r="K42" s="145"/>
      <c r="L42" s="168"/>
    </row>
    <row r="43" spans="1:36" ht="13">
      <c r="A43" s="145"/>
      <c r="B43" s="181" t="s">
        <v>127</v>
      </c>
      <c r="C43" s="207"/>
      <c r="D43" s="208"/>
      <c r="E43" s="208"/>
      <c r="F43" s="208"/>
      <c r="G43" s="209"/>
      <c r="H43" s="167"/>
      <c r="I43" s="145"/>
      <c r="J43" s="145"/>
      <c r="K43" s="145"/>
      <c r="L43" s="168"/>
    </row>
    <row r="44" spans="1:36" ht="13">
      <c r="A44" s="145"/>
      <c r="B44" s="182" t="s">
        <v>18</v>
      </c>
      <c r="C44" s="164" cm="1">
        <f t="array" ref="C44:G44">_xlfn.XLOOKUP($B44,IS!B:B,IS!D:H,0)</f>
        <v>393</v>
      </c>
      <c r="D44" s="208">
        <v>374</v>
      </c>
      <c r="E44" s="208">
        <v>348</v>
      </c>
      <c r="F44" s="208">
        <v>316</v>
      </c>
      <c r="G44" s="209">
        <v>300</v>
      </c>
      <c r="H44" s="167"/>
      <c r="I44" s="145"/>
      <c r="J44" s="145"/>
      <c r="K44" s="145"/>
      <c r="L44" s="168"/>
    </row>
    <row r="45" spans="1:36" ht="13">
      <c r="A45" s="145"/>
      <c r="B45" s="182" t="s">
        <v>19</v>
      </c>
      <c r="C45" s="204" cm="1">
        <f t="array" ref="C45:G45">_xlfn.XLOOKUP($B45,IS!B:B,IS!D:H,0)</f>
        <v>5.17</v>
      </c>
      <c r="D45" s="205">
        <v>5.81</v>
      </c>
      <c r="E45" s="205">
        <v>6.64</v>
      </c>
      <c r="F45" s="205">
        <v>5.59</v>
      </c>
      <c r="G45" s="206">
        <v>2.52</v>
      </c>
      <c r="H45" s="167"/>
      <c r="I45" s="145"/>
      <c r="J45" s="145"/>
      <c r="K45" s="145"/>
      <c r="L45" s="168"/>
    </row>
    <row r="46" spans="1:36" ht="13">
      <c r="A46" s="145"/>
      <c r="B46" s="182" t="s">
        <v>20</v>
      </c>
      <c r="C46" s="204" cm="1">
        <f t="array" ref="C46:G46">_xlfn.XLOOKUP($B46,IS!B:B,IS!D:H,0)</f>
        <v>5.17</v>
      </c>
      <c r="D46" s="205">
        <v>5.87</v>
      </c>
      <c r="E46" s="205">
        <v>6.61</v>
      </c>
      <c r="F46" s="205">
        <v>5.59</v>
      </c>
      <c r="G46" s="206">
        <v>2.52</v>
      </c>
      <c r="H46" s="167"/>
      <c r="I46" s="145"/>
      <c r="J46" s="145"/>
      <c r="K46" s="145"/>
      <c r="L46" s="168"/>
    </row>
    <row r="47" spans="1:36">
      <c r="A47" s="145"/>
      <c r="B47" s="182"/>
      <c r="C47" s="207"/>
      <c r="D47" s="208"/>
      <c r="E47" s="208"/>
      <c r="F47" s="208"/>
      <c r="G47" s="209"/>
      <c r="H47" s="167"/>
      <c r="I47" s="145"/>
      <c r="J47" s="145"/>
      <c r="K47" s="145"/>
      <c r="L47" s="168"/>
    </row>
    <row r="48" spans="1:36" ht="13">
      <c r="A48" s="145"/>
      <c r="B48" s="210" t="s">
        <v>21</v>
      </c>
      <c r="C48" s="164"/>
      <c r="D48" s="165"/>
      <c r="E48" s="165"/>
      <c r="F48" s="165"/>
      <c r="G48" s="166"/>
      <c r="H48" s="167"/>
      <c r="I48" s="145"/>
      <c r="J48" s="145"/>
      <c r="K48" s="145"/>
      <c r="L48" s="168"/>
    </row>
    <row r="49" spans="1:12" ht="13">
      <c r="A49" s="145"/>
      <c r="B49" s="182" t="s">
        <v>22</v>
      </c>
      <c r="C49" s="201" cm="1">
        <f t="array" ref="C49:G49">_xlfn.XLOOKUP($B49,IS!B:B,IS!D:H,0)</f>
        <v>385</v>
      </c>
      <c r="D49" s="202">
        <v>407</v>
      </c>
      <c r="E49" s="202">
        <v>458</v>
      </c>
      <c r="F49" s="202">
        <v>464</v>
      </c>
      <c r="G49" s="203">
        <v>482</v>
      </c>
      <c r="H49" s="167"/>
      <c r="I49" s="145"/>
      <c r="J49" s="145"/>
      <c r="K49" s="145"/>
      <c r="L49" s="168"/>
    </row>
    <row r="50" spans="1:12">
      <c r="A50" s="145"/>
      <c r="B50" s="182"/>
      <c r="C50" s="164"/>
      <c r="D50" s="165"/>
      <c r="E50" s="165"/>
      <c r="F50" s="165"/>
      <c r="G50" s="166"/>
      <c r="H50" s="167"/>
      <c r="I50" s="145"/>
      <c r="J50" s="145"/>
      <c r="K50" s="145"/>
      <c r="L50" s="168"/>
    </row>
    <row r="51" spans="1:12" ht="13">
      <c r="A51" s="145"/>
      <c r="B51" s="211" t="s">
        <v>128</v>
      </c>
      <c r="C51" s="164"/>
      <c r="D51" s="165"/>
      <c r="E51" s="165"/>
      <c r="F51" s="165"/>
      <c r="G51" s="166"/>
      <c r="H51" s="167"/>
      <c r="I51" s="145"/>
      <c r="J51" s="145"/>
      <c r="K51" s="145"/>
      <c r="L51" s="168"/>
    </row>
    <row r="52" spans="1:12" ht="13">
      <c r="A52" s="145"/>
      <c r="B52" s="182" t="s">
        <v>24</v>
      </c>
      <c r="C52" s="204" cm="1">
        <f t="array" ref="C52:G52">_xlfn.XLOOKUP($B52,IS!B:B,IS!D:H,0)</f>
        <v>5.25</v>
      </c>
      <c r="D52" s="205">
        <v>5.97</v>
      </c>
      <c r="E52" s="205">
        <v>6.95</v>
      </c>
      <c r="F52" s="205">
        <v>6.15</v>
      </c>
      <c r="G52" s="206">
        <v>4.8499999999999996</v>
      </c>
      <c r="H52" s="167"/>
      <c r="I52" s="145"/>
      <c r="J52" s="145"/>
      <c r="K52" s="145"/>
      <c r="L52" s="168"/>
    </row>
    <row r="53" spans="1:12" ht="14" thickBot="1">
      <c r="A53" s="145"/>
      <c r="B53" s="212" t="s">
        <v>25</v>
      </c>
      <c r="C53" s="213" cm="1">
        <f t="array" ref="C53:G53">_xlfn.XLOOKUP($B53,IS!B:B,IS!D:H,0)</f>
        <v>5.22</v>
      </c>
      <c r="D53" s="214">
        <v>5.94</v>
      </c>
      <c r="E53" s="214">
        <v>6.91</v>
      </c>
      <c r="F53" s="214">
        <v>6.13</v>
      </c>
      <c r="G53" s="215">
        <v>4.84</v>
      </c>
      <c r="H53" s="216"/>
      <c r="I53" s="217"/>
      <c r="J53" s="217"/>
      <c r="K53" s="217"/>
      <c r="L53" s="218"/>
    </row>
    <row r="54" spans="1:12" s="145" customFormat="1" ht="15">
      <c r="B54" s="219"/>
      <c r="C54" s="165"/>
      <c r="D54" s="165"/>
      <c r="E54" s="165"/>
      <c r="F54" s="165"/>
      <c r="G54" s="165"/>
    </row>
    <row r="55" spans="1:12" s="145" customFormat="1" ht="16" thickBot="1">
      <c r="B55" s="220"/>
      <c r="C55" s="165"/>
      <c r="D55" s="165"/>
      <c r="E55" s="165"/>
      <c r="F55" s="165"/>
      <c r="G55" s="165"/>
      <c r="H55" s="217"/>
      <c r="I55" s="217"/>
      <c r="J55" s="217"/>
      <c r="K55" s="217"/>
      <c r="L55" s="217"/>
    </row>
    <row r="56" spans="1:12">
      <c r="A56" s="145"/>
      <c r="B56" s="221" t="s">
        <v>129</v>
      </c>
      <c r="C56" s="157"/>
      <c r="D56" s="158"/>
      <c r="E56" s="158"/>
      <c r="F56" s="158"/>
      <c r="G56" s="159"/>
      <c r="H56" s="161"/>
      <c r="I56" s="161"/>
      <c r="J56" s="161"/>
      <c r="K56" s="161"/>
      <c r="L56" s="162"/>
    </row>
    <row r="57" spans="1:12">
      <c r="A57" s="145"/>
      <c r="B57" s="167"/>
      <c r="C57" s="164"/>
      <c r="D57" s="165"/>
      <c r="E57" s="165"/>
      <c r="F57" s="165"/>
      <c r="G57" s="166"/>
      <c r="H57" s="145"/>
      <c r="I57" s="145"/>
      <c r="J57" s="145"/>
      <c r="K57" s="145"/>
      <c r="L57" s="168"/>
    </row>
    <row r="58" spans="1:12" ht="15">
      <c r="A58" s="145"/>
      <c r="B58" s="222" t="s">
        <v>130</v>
      </c>
      <c r="C58" s="164"/>
      <c r="D58" s="165"/>
      <c r="E58" s="165"/>
      <c r="F58" s="165"/>
      <c r="G58" s="166"/>
      <c r="H58" s="145"/>
      <c r="I58" s="145"/>
      <c r="J58" s="145"/>
      <c r="K58" s="145"/>
      <c r="L58" s="168"/>
    </row>
    <row r="59" spans="1:12">
      <c r="A59" s="145"/>
      <c r="B59" s="223" t="s">
        <v>27</v>
      </c>
      <c r="C59" s="164" cm="1">
        <f t="array" ref="C59:G59">_xlfn.XLOOKUP($B59,BS!B:B,BS!D:H,0)</f>
        <v>0</v>
      </c>
      <c r="D59" s="165">
        <v>0</v>
      </c>
      <c r="E59" s="165">
        <v>0</v>
      </c>
      <c r="F59" s="165">
        <v>0</v>
      </c>
      <c r="G59" s="166">
        <v>1987</v>
      </c>
      <c r="H59" s="145"/>
      <c r="I59" s="145"/>
      <c r="J59" s="145"/>
      <c r="K59" s="145"/>
      <c r="L59" s="168"/>
    </row>
    <row r="60" spans="1:12">
      <c r="A60" s="145"/>
      <c r="B60" s="223" t="s">
        <v>28</v>
      </c>
      <c r="C60" s="164" cm="1">
        <f t="array" ref="C60:G60">_xlfn.XLOOKUP($B60,BS!B:B,BS!D:H,0)</f>
        <v>974</v>
      </c>
      <c r="D60" s="165">
        <v>726</v>
      </c>
      <c r="E60" s="165">
        <v>684</v>
      </c>
      <c r="F60" s="165">
        <v>1276</v>
      </c>
      <c r="G60" s="166">
        <v>3268</v>
      </c>
      <c r="H60" s="145"/>
      <c r="I60" s="145"/>
      <c r="J60" s="145"/>
      <c r="K60" s="145"/>
      <c r="L60" s="168"/>
    </row>
    <row r="61" spans="1:12">
      <c r="A61" s="145"/>
      <c r="B61" s="223" t="s">
        <v>29</v>
      </c>
      <c r="C61" s="164" cm="1">
        <f t="array" ref="C61:G61">_xlfn.XLOOKUP($B61,BS!B:B,BS!D:H,0)</f>
        <v>6165</v>
      </c>
      <c r="D61" s="165">
        <v>6695</v>
      </c>
      <c r="E61" s="165">
        <v>6605</v>
      </c>
      <c r="F61" s="165">
        <v>5927</v>
      </c>
      <c r="G61" s="166">
        <v>6394</v>
      </c>
      <c r="H61" s="145"/>
      <c r="I61" s="145"/>
      <c r="J61" s="145"/>
      <c r="K61" s="145"/>
      <c r="L61" s="168"/>
    </row>
    <row r="62" spans="1:12">
      <c r="A62" s="145"/>
      <c r="B62" s="223" t="s">
        <v>30</v>
      </c>
      <c r="C62" s="164" cm="1">
        <f t="array" ref="C62:G62">_xlfn.XLOOKUP($B62,BS!B:B,BS!D:H,0)</f>
        <v>2804</v>
      </c>
      <c r="D62" s="165">
        <v>3542</v>
      </c>
      <c r="E62" s="165">
        <v>3403</v>
      </c>
      <c r="F62" s="165">
        <v>3304</v>
      </c>
      <c r="G62" s="166">
        <v>3444</v>
      </c>
      <c r="H62" s="145"/>
      <c r="I62" s="145"/>
      <c r="J62" s="145"/>
      <c r="K62" s="145"/>
      <c r="L62" s="168"/>
    </row>
    <row r="63" spans="1:12">
      <c r="A63" s="145"/>
      <c r="B63" s="223" t="s">
        <v>131</v>
      </c>
      <c r="C63" s="164" cm="1">
        <f t="array" ref="C63:G63">_xlfn.XLOOKUP($B63,BS!B:B,BS!D:H,0)</f>
        <v>220</v>
      </c>
      <c r="D63" s="165">
        <v>237</v>
      </c>
      <c r="E63" s="165">
        <v>193</v>
      </c>
      <c r="F63" s="165">
        <v>232</v>
      </c>
      <c r="G63" s="166">
        <v>102</v>
      </c>
      <c r="H63" s="145"/>
      <c r="I63" s="145"/>
      <c r="J63" s="145"/>
      <c r="K63" s="145"/>
      <c r="L63" s="168"/>
    </row>
    <row r="64" spans="1:12">
      <c r="A64" s="145"/>
      <c r="B64" s="223" t="s">
        <v>132</v>
      </c>
      <c r="C64" s="164" cm="1">
        <f t="array" ref="C64:G64">_xlfn.XLOOKUP($B64,BS!B:B,BS!D:H,0)</f>
        <v>0</v>
      </c>
      <c r="D64" s="165">
        <v>0</v>
      </c>
      <c r="E64" s="165">
        <v>408</v>
      </c>
      <c r="F64" s="165">
        <v>0</v>
      </c>
      <c r="G64" s="166">
        <v>0</v>
      </c>
      <c r="H64" s="145"/>
      <c r="I64" s="145"/>
      <c r="J64" s="145"/>
      <c r="K64" s="145"/>
      <c r="L64" s="168"/>
    </row>
    <row r="65" spans="1:12" s="184" customFormat="1">
      <c r="B65" s="223" t="s">
        <v>31</v>
      </c>
      <c r="C65" s="183">
        <f>C66-SUM(C60:C64)</f>
        <v>0</v>
      </c>
      <c r="D65" s="165">
        <f>D66-SUM(D60:D64)</f>
        <v>0</v>
      </c>
      <c r="E65" s="165">
        <f>E66-SUM(E60:E64)</f>
        <v>541</v>
      </c>
      <c r="F65" s="165">
        <f>F66-SUM(F60:F64)</f>
        <v>6</v>
      </c>
      <c r="G65" s="166">
        <f>G66-SUM(G60:G64)</f>
        <v>158</v>
      </c>
      <c r="L65" s="190"/>
    </row>
    <row r="66" spans="1:12" s="184" customFormat="1">
      <c r="B66" s="224" t="s">
        <v>32</v>
      </c>
      <c r="C66" s="164" cm="1">
        <f t="array" ref="C66:G66">_xlfn.XLOOKUP($B66,BS!B:B,BS!D:H,0)</f>
        <v>10163</v>
      </c>
      <c r="D66" s="187">
        <v>11200</v>
      </c>
      <c r="E66" s="187">
        <v>11834</v>
      </c>
      <c r="F66" s="187">
        <v>10745</v>
      </c>
      <c r="G66" s="188">
        <v>13366</v>
      </c>
      <c r="L66" s="190"/>
    </row>
    <row r="67" spans="1:12">
      <c r="A67" s="145"/>
      <c r="B67" s="189"/>
      <c r="C67" s="186"/>
      <c r="D67" s="194"/>
      <c r="E67" s="194"/>
      <c r="F67" s="194"/>
      <c r="G67" s="195"/>
      <c r="H67" s="145"/>
      <c r="I67" s="145"/>
      <c r="J67" s="145"/>
      <c r="K67" s="145"/>
      <c r="L67" s="168"/>
    </row>
    <row r="68" spans="1:12">
      <c r="A68" s="145"/>
      <c r="B68" s="223" t="s">
        <v>33</v>
      </c>
      <c r="C68" s="164" cm="1">
        <f t="array" ref="C68:G68">_xlfn.XLOOKUP($B68,BS!B:B,BS!D:H,0)</f>
        <v>-7523</v>
      </c>
      <c r="D68" s="165">
        <v>-8645</v>
      </c>
      <c r="E68" s="165">
        <v>-8735</v>
      </c>
      <c r="F68" s="165">
        <v>-9740</v>
      </c>
      <c r="G68" s="166">
        <v>-11646</v>
      </c>
      <c r="H68" s="145"/>
      <c r="I68" s="145"/>
      <c r="J68" s="145"/>
      <c r="K68" s="145"/>
      <c r="L68" s="168"/>
    </row>
    <row r="69" spans="1:12">
      <c r="A69" s="145"/>
      <c r="B69" s="223" t="s">
        <v>34</v>
      </c>
      <c r="C69" s="164" cm="1">
        <f t="array" ref="C69:G69">_xlfn.XLOOKUP($B69,BS!B:B,BS!D:H,0)</f>
        <v>7022</v>
      </c>
      <c r="D69" s="165">
        <v>8176</v>
      </c>
      <c r="E69" s="165">
        <v>8095</v>
      </c>
      <c r="F69" s="165">
        <v>10071</v>
      </c>
      <c r="G69" s="166">
        <v>10381</v>
      </c>
      <c r="H69" s="145"/>
      <c r="I69" s="145"/>
      <c r="J69" s="145"/>
      <c r="K69" s="145"/>
      <c r="L69" s="168"/>
    </row>
    <row r="70" spans="1:12">
      <c r="A70" s="145"/>
      <c r="B70" s="223" t="s">
        <v>35</v>
      </c>
      <c r="C70" s="164" cm="1">
        <f t="array" ref="C70:G70">_xlfn.XLOOKUP($B70,BS!B:B,BS!D:H,0)</f>
        <v>1923</v>
      </c>
      <c r="D70" s="165">
        <v>2099</v>
      </c>
      <c r="E70" s="165">
        <v>1979</v>
      </c>
      <c r="F70" s="165">
        <v>1976</v>
      </c>
      <c r="G70" s="166">
        <v>2095</v>
      </c>
      <c r="H70" s="145"/>
      <c r="I70" s="145"/>
      <c r="J70" s="145"/>
      <c r="K70" s="145"/>
      <c r="L70" s="168"/>
    </row>
    <row r="71" spans="1:12">
      <c r="A71" s="145"/>
      <c r="B71" s="223" t="s">
        <v>36</v>
      </c>
      <c r="C71" s="164" cm="1">
        <f t="array" ref="C71:G71">_xlfn.XLOOKUP($B71,BS!B:B,BS!D:H,0)</f>
        <v>986</v>
      </c>
      <c r="D71" s="165">
        <v>1128</v>
      </c>
      <c r="E71" s="165">
        <v>1046</v>
      </c>
      <c r="F71" s="165">
        <v>1089</v>
      </c>
      <c r="G71" s="166">
        <v>1093</v>
      </c>
      <c r="H71" s="145"/>
      <c r="I71" s="145"/>
      <c r="J71" s="145"/>
      <c r="K71" s="145"/>
      <c r="L71" s="168"/>
    </row>
    <row r="72" spans="1:12">
      <c r="A72" s="145"/>
      <c r="B72" s="223" t="s">
        <v>37</v>
      </c>
      <c r="C72" s="164" cm="1">
        <f t="array" ref="C72:G72">_xlfn.XLOOKUP($B72,BS!B:B,BS!D:H,0)</f>
        <v>-365</v>
      </c>
      <c r="D72" s="165">
        <v>-478</v>
      </c>
      <c r="E72" s="165">
        <v>-486</v>
      </c>
      <c r="F72" s="165">
        <v>-605</v>
      </c>
      <c r="G72" s="166">
        <v>-612</v>
      </c>
      <c r="H72" s="145"/>
      <c r="I72" s="145"/>
      <c r="J72" s="145"/>
      <c r="K72" s="145"/>
      <c r="L72" s="168"/>
    </row>
    <row r="73" spans="1:12">
      <c r="A73" s="145"/>
      <c r="B73" s="223" t="s">
        <v>133</v>
      </c>
      <c r="C73" s="164" cm="1">
        <f t="array" ref="C73:G73">_xlfn.XLOOKUP($B73,BS!B:B,BS!D:H,0)</f>
        <v>0</v>
      </c>
      <c r="D73" s="165">
        <v>204</v>
      </c>
      <c r="E73" s="165">
        <v>198</v>
      </c>
      <c r="F73" s="165">
        <v>217</v>
      </c>
      <c r="G73" s="166">
        <v>209</v>
      </c>
      <c r="H73" s="145"/>
      <c r="I73" s="145"/>
      <c r="J73" s="145"/>
      <c r="K73" s="145"/>
      <c r="L73" s="168"/>
    </row>
    <row r="74" spans="1:12">
      <c r="A74" s="145"/>
      <c r="B74" s="223" t="s">
        <v>38</v>
      </c>
      <c r="C74" s="164" cm="1">
        <f t="array" ref="C74:G74">_xlfn.XLOOKUP($B74,BS!B:B,BS!D:H,0)</f>
        <v>268</v>
      </c>
      <c r="D74" s="165">
        <v>238</v>
      </c>
      <c r="E74" s="165">
        <v>300</v>
      </c>
      <c r="F74" s="165">
        <v>308</v>
      </c>
      <c r="G74" s="166">
        <v>372</v>
      </c>
      <c r="H74" s="145"/>
      <c r="I74" s="145"/>
      <c r="J74" s="145"/>
      <c r="K74" s="145"/>
      <c r="L74" s="168"/>
    </row>
    <row r="75" spans="1:12" ht="13">
      <c r="A75" s="145"/>
      <c r="B75" s="225" t="s">
        <v>39</v>
      </c>
      <c r="C75" s="183">
        <f>C76-SUM(C68:C74)</f>
        <v>20255</v>
      </c>
      <c r="D75" s="165">
        <f>D76-SUM(D68:D74)</f>
        <v>22746</v>
      </c>
      <c r="E75" s="165">
        <f>E76-SUM(E68:E74)</f>
        <v>23548</v>
      </c>
      <c r="F75" s="165">
        <f>F76-SUM(F68:F74)</f>
        <v>22474</v>
      </c>
      <c r="G75" s="166">
        <f>G76-SUM(G68:G74)</f>
        <v>26713</v>
      </c>
      <c r="H75" s="145"/>
      <c r="I75" s="145"/>
      <c r="J75" s="145"/>
      <c r="K75" s="145"/>
      <c r="L75" s="168"/>
    </row>
    <row r="76" spans="1:12" s="184" customFormat="1">
      <c r="B76" s="226" t="s">
        <v>40</v>
      </c>
      <c r="C76" s="164" cm="1">
        <f t="array" ref="C76:G76">_xlfn.XLOOKUP($B76,BS!B:B,BS!D:H,0)</f>
        <v>22566</v>
      </c>
      <c r="D76" s="187">
        <v>25468</v>
      </c>
      <c r="E76" s="187">
        <v>25945</v>
      </c>
      <c r="F76" s="187">
        <v>25790</v>
      </c>
      <c r="G76" s="188">
        <v>28605</v>
      </c>
      <c r="L76" s="190"/>
    </row>
    <row r="77" spans="1:12">
      <c r="A77" s="145"/>
      <c r="B77" s="167"/>
      <c r="C77" s="164"/>
      <c r="D77" s="165"/>
      <c r="E77" s="165"/>
      <c r="F77" s="165"/>
      <c r="G77" s="166"/>
      <c r="H77" s="145"/>
      <c r="I77" s="145"/>
      <c r="J77" s="145"/>
      <c r="K77" s="145"/>
      <c r="L77" s="168"/>
    </row>
    <row r="78" spans="1:12" ht="15">
      <c r="A78" s="145"/>
      <c r="B78" s="222" t="s">
        <v>134</v>
      </c>
      <c r="C78" s="164"/>
      <c r="D78" s="165"/>
      <c r="E78" s="165"/>
      <c r="F78" s="165"/>
      <c r="G78" s="166"/>
      <c r="H78" s="145"/>
      <c r="I78" s="145"/>
      <c r="J78" s="145"/>
      <c r="K78" s="145"/>
      <c r="L78" s="168"/>
    </row>
    <row r="79" spans="1:12">
      <c r="A79" s="145"/>
      <c r="B79" s="223" t="s">
        <v>41</v>
      </c>
      <c r="C79" s="164" cm="1">
        <f t="array" ref="C79:G79">_xlfn.XLOOKUP($B79,BS!B:B,BS!D:H,0)</f>
        <v>5430</v>
      </c>
      <c r="D79" s="165">
        <v>6283</v>
      </c>
      <c r="E79" s="165">
        <v>6094</v>
      </c>
      <c r="F79" s="165">
        <v>5628</v>
      </c>
      <c r="G79" s="166">
        <v>6266</v>
      </c>
      <c r="H79" s="145"/>
      <c r="I79" s="145"/>
      <c r="J79" s="145"/>
      <c r="K79" s="145"/>
      <c r="L79" s="168"/>
    </row>
    <row r="80" spans="1:12">
      <c r="A80" s="145"/>
      <c r="B80" s="223" t="s">
        <v>42</v>
      </c>
      <c r="C80" s="164" cm="1">
        <f t="array" ref="C80:G80">_xlfn.XLOOKUP($B80,BS!B:B,BS!D:H,0)</f>
        <v>2407</v>
      </c>
      <c r="D80" s="165">
        <v>2575</v>
      </c>
      <c r="E80" s="165">
        <v>2503</v>
      </c>
      <c r="F80" s="165">
        <v>2778</v>
      </c>
      <c r="G80" s="166">
        <v>3299</v>
      </c>
      <c r="H80" s="145"/>
      <c r="I80" s="145"/>
      <c r="J80" s="145"/>
      <c r="K80" s="145"/>
      <c r="L80" s="168"/>
    </row>
    <row r="81" spans="1:12">
      <c r="A81" s="145"/>
      <c r="B81" s="223" t="s">
        <v>43</v>
      </c>
      <c r="C81" s="164" cm="1">
        <f t="array" ref="C81:G81">_xlfn.XLOOKUP($B81,BS!B:B,BS!D:H,0)</f>
        <v>623</v>
      </c>
      <c r="D81" s="165">
        <v>259</v>
      </c>
      <c r="E81" s="165">
        <v>1098</v>
      </c>
      <c r="F81" s="165">
        <v>0</v>
      </c>
      <c r="G81" s="166">
        <v>0</v>
      </c>
      <c r="H81" s="145"/>
      <c r="I81" s="145"/>
      <c r="J81" s="145"/>
      <c r="K81" s="145"/>
      <c r="L81" s="168"/>
    </row>
    <row r="82" spans="1:12">
      <c r="A82" s="145"/>
      <c r="B82" s="223" t="s">
        <v>135</v>
      </c>
      <c r="C82" s="164" cm="1">
        <f t="array" ref="C82:G82">_xlfn.XLOOKUP($B82,BS!B:B,BS!D:H,0)</f>
        <v>139</v>
      </c>
      <c r="D82" s="165">
        <v>108</v>
      </c>
      <c r="E82" s="165">
        <v>201</v>
      </c>
      <c r="F82" s="165">
        <v>106</v>
      </c>
      <c r="G82" s="166">
        <v>129</v>
      </c>
      <c r="H82" s="145"/>
      <c r="I82" s="145"/>
      <c r="J82" s="145"/>
      <c r="K82" s="145"/>
      <c r="L82" s="168"/>
    </row>
    <row r="83" spans="1:12">
      <c r="A83" s="145"/>
      <c r="B83" s="223" t="s">
        <v>44</v>
      </c>
      <c r="C83" s="183">
        <f>C84-SUM(C79:C82)</f>
        <v>96</v>
      </c>
      <c r="D83" s="165">
        <f>D84-SUM(D79:D82)</f>
        <v>18</v>
      </c>
      <c r="E83" s="165">
        <f>E84-SUM(E79:E82)</f>
        <v>408</v>
      </c>
      <c r="F83" s="165">
        <f>F84-SUM(F79:F82)</f>
        <v>17</v>
      </c>
      <c r="G83" s="166">
        <f>G84-SUM(G79:G82)</f>
        <v>49</v>
      </c>
      <c r="H83" s="145"/>
      <c r="I83" s="145"/>
      <c r="J83" s="145"/>
      <c r="K83" s="145"/>
      <c r="L83" s="168"/>
    </row>
    <row r="84" spans="1:12" s="184" customFormat="1">
      <c r="B84" s="226" t="s">
        <v>45</v>
      </c>
      <c r="C84" s="164" cm="1">
        <f t="array" ref="C84:G84">_xlfn.XLOOKUP($B84,BS!B:B,BS!D:H,0)</f>
        <v>8695</v>
      </c>
      <c r="D84" s="187">
        <v>9243</v>
      </c>
      <c r="E84" s="187">
        <v>10304</v>
      </c>
      <c r="F84" s="187">
        <v>8529</v>
      </c>
      <c r="G84" s="188">
        <v>9743</v>
      </c>
      <c r="L84" s="190"/>
    </row>
    <row r="85" spans="1:12">
      <c r="A85" s="145"/>
      <c r="B85" s="227"/>
      <c r="C85" s="186"/>
      <c r="D85" s="194"/>
      <c r="E85" s="194"/>
      <c r="F85" s="194"/>
      <c r="G85" s="195"/>
      <c r="H85" s="145"/>
      <c r="I85" s="145"/>
      <c r="J85" s="145"/>
      <c r="K85" s="145"/>
      <c r="L85" s="168"/>
    </row>
    <row r="86" spans="1:12">
      <c r="A86" s="145"/>
      <c r="B86" s="223" t="s">
        <v>46</v>
      </c>
      <c r="C86" s="183" cm="1">
        <f t="array" ref="C86:G86">_xlfn.XLOOKUP($B86,BS!B:B,BS!D:H,0)</f>
        <v>2394</v>
      </c>
      <c r="D86" s="165">
        <v>3195</v>
      </c>
      <c r="E86" s="165">
        <v>3084</v>
      </c>
      <c r="F86" s="165">
        <v>3062</v>
      </c>
      <c r="G86" s="166">
        <v>3973</v>
      </c>
      <c r="H86" s="145"/>
      <c r="I86" s="145"/>
      <c r="J86" s="145"/>
      <c r="K86" s="145"/>
      <c r="L86" s="168"/>
    </row>
    <row r="87" spans="1:12" s="184" customFormat="1">
      <c r="B87" s="226" t="s">
        <v>47</v>
      </c>
      <c r="C87" s="164" cm="1">
        <f t="array" ref="C87:G87">_xlfn.XLOOKUP($B87,BS!B:B,BS!D:H,0)</f>
        <v>3156</v>
      </c>
      <c r="D87" s="187">
        <v>3562</v>
      </c>
      <c r="E87" s="187">
        <v>4383</v>
      </c>
      <c r="F87" s="187">
        <v>3168</v>
      </c>
      <c r="G87" s="188">
        <v>4102</v>
      </c>
      <c r="L87" s="190"/>
    </row>
    <row r="88" spans="1:12">
      <c r="A88" s="145"/>
      <c r="B88" s="227"/>
      <c r="C88" s="186"/>
      <c r="D88" s="194"/>
      <c r="E88" s="194"/>
      <c r="F88" s="194"/>
      <c r="G88" s="195"/>
      <c r="H88" s="145"/>
      <c r="I88" s="145"/>
      <c r="J88" s="145"/>
      <c r="K88" s="145"/>
      <c r="L88" s="168"/>
    </row>
    <row r="89" spans="1:12">
      <c r="A89" s="145"/>
      <c r="B89" s="223" t="s">
        <v>136</v>
      </c>
      <c r="C89" s="164" cm="1">
        <f t="array" ref="C89:G89">_xlfn.XLOOKUP($B89,BS!B:B,BS!D:H,0)</f>
        <v>270</v>
      </c>
      <c r="D89" s="194">
        <v>292</v>
      </c>
      <c r="E89" s="194">
        <v>367</v>
      </c>
      <c r="F89" s="194">
        <v>1938</v>
      </c>
      <c r="G89" s="195">
        <v>1949</v>
      </c>
      <c r="H89" s="145"/>
      <c r="I89" s="145"/>
      <c r="J89" s="145"/>
      <c r="K89" s="145"/>
      <c r="L89" s="168"/>
    </row>
    <row r="90" spans="1:12">
      <c r="A90" s="145"/>
      <c r="B90" s="223" t="s">
        <v>137</v>
      </c>
      <c r="C90" s="164" cm="1">
        <f t="array" ref="C90:G90">_xlfn.XLOOKUP($B90,BS!B:B,BS!D:H,0)</f>
        <v>451</v>
      </c>
      <c r="D90" s="165">
        <v>502</v>
      </c>
      <c r="E90" s="165">
        <v>458</v>
      </c>
      <c r="F90" s="165">
        <v>300</v>
      </c>
      <c r="G90" s="166">
        <v>350</v>
      </c>
      <c r="H90" s="145"/>
      <c r="I90" s="145"/>
      <c r="J90" s="145"/>
      <c r="K90" s="145"/>
      <c r="L90" s="168"/>
    </row>
    <row r="91" spans="1:12">
      <c r="A91" s="145"/>
      <c r="B91" s="223" t="s">
        <v>48</v>
      </c>
      <c r="C91" s="183" cm="1">
        <f t="array" ref="C91:G91">_xlfn.XLOOKUP($B91,BS!B:B,BS!D:H,0)</f>
        <v>965</v>
      </c>
      <c r="D91" s="165">
        <v>996</v>
      </c>
      <c r="E91" s="165">
        <v>997</v>
      </c>
      <c r="F91" s="165">
        <v>2649</v>
      </c>
      <c r="G91" s="166">
        <v>2717</v>
      </c>
      <c r="H91" s="145"/>
      <c r="I91" s="145"/>
      <c r="J91" s="145"/>
      <c r="K91" s="145"/>
      <c r="L91" s="168"/>
    </row>
    <row r="92" spans="1:12" s="184" customFormat="1">
      <c r="B92" s="226" t="s">
        <v>49</v>
      </c>
      <c r="C92" s="164" cm="1">
        <f t="array" ref="C92:G92">_xlfn.XLOOKUP($B92,BS!B:B,BS!D:H,0)</f>
        <v>12798</v>
      </c>
      <c r="D92" s="187">
        <v>14258</v>
      </c>
      <c r="E92" s="187">
        <v>15244</v>
      </c>
      <c r="F92" s="187">
        <v>14959</v>
      </c>
      <c r="G92" s="188">
        <v>17235</v>
      </c>
      <c r="L92" s="190"/>
    </row>
    <row r="93" spans="1:12">
      <c r="A93" s="145"/>
      <c r="B93" s="167"/>
      <c r="C93" s="164"/>
      <c r="D93" s="165"/>
      <c r="E93" s="165"/>
      <c r="F93" s="165"/>
      <c r="G93" s="166"/>
      <c r="H93" s="145"/>
      <c r="I93" s="145"/>
      <c r="J93" s="145"/>
      <c r="K93" s="145"/>
      <c r="L93" s="168"/>
    </row>
    <row r="94" spans="1:12" ht="15">
      <c r="A94" s="145"/>
      <c r="B94" s="222" t="s">
        <v>138</v>
      </c>
      <c r="C94" s="164"/>
      <c r="D94" s="165"/>
      <c r="E94" s="165"/>
      <c r="F94" s="165"/>
      <c r="G94" s="166"/>
      <c r="H94" s="145"/>
      <c r="I94" s="145"/>
      <c r="J94" s="145"/>
      <c r="K94" s="145"/>
      <c r="L94" s="168"/>
    </row>
    <row r="95" spans="1:12" ht="13">
      <c r="A95" s="145"/>
      <c r="B95" s="225" t="s">
        <v>50</v>
      </c>
      <c r="C95" s="164" cm="1">
        <f t="array" ref="C95">_xlfn.XLOOKUP($B95,BS!B:B,BS!D:H,0)</f>
        <v>0</v>
      </c>
      <c r="D95" s="165"/>
      <c r="E95" s="165"/>
      <c r="F95" s="165"/>
      <c r="G95" s="166"/>
      <c r="H95" s="145"/>
      <c r="I95" s="145"/>
      <c r="J95" s="145"/>
      <c r="K95" s="145"/>
      <c r="L95" s="168"/>
    </row>
    <row r="96" spans="1:12" ht="13">
      <c r="A96" s="145"/>
      <c r="B96" s="225" t="s">
        <v>51</v>
      </c>
      <c r="C96" s="164" cm="1">
        <f t="array" ref="C96:G96">_xlfn.XLOOKUP($B96,BS!B:B,BS!D:H,0)</f>
        <v>3796</v>
      </c>
      <c r="D96" s="165">
        <v>3617</v>
      </c>
      <c r="E96" s="165">
        <v>3380</v>
      </c>
      <c r="F96" s="165">
        <v>3198</v>
      </c>
      <c r="G96" s="166">
        <v>3271</v>
      </c>
      <c r="H96" s="145"/>
      <c r="I96" s="145"/>
      <c r="J96" s="145"/>
      <c r="K96" s="145"/>
      <c r="L96" s="168"/>
    </row>
    <row r="97" spans="1:12" ht="13">
      <c r="A97" s="145"/>
      <c r="B97" s="225" t="s">
        <v>52</v>
      </c>
      <c r="C97" s="164" cm="1">
        <f t="array" ref="C97:G97">_xlfn.XLOOKUP($B97,BS!B:B,BS!D:H,0)</f>
        <v>7318</v>
      </c>
      <c r="D97" s="165">
        <v>8074</v>
      </c>
      <c r="E97" s="165">
        <v>8376</v>
      </c>
      <c r="F97" s="165">
        <v>8596</v>
      </c>
      <c r="G97" s="166">
        <v>8704</v>
      </c>
      <c r="H97" s="145"/>
      <c r="I97" s="145"/>
      <c r="J97" s="145"/>
      <c r="K97" s="145"/>
      <c r="L97" s="168"/>
    </row>
    <row r="98" spans="1:12" ht="13">
      <c r="A98" s="145"/>
      <c r="B98" s="225" t="s">
        <v>53</v>
      </c>
      <c r="C98" s="164" cm="1">
        <f t="array" ref="C98">_xlfn.XLOOKUP($B98,BS!B:B,BS!D:H,0)</f>
        <v>0</v>
      </c>
      <c r="D98" s="165"/>
      <c r="E98" s="165"/>
      <c r="F98" s="165"/>
      <c r="G98" s="166"/>
      <c r="H98" s="145"/>
      <c r="I98" s="145"/>
      <c r="J98" s="145"/>
      <c r="K98" s="145"/>
      <c r="L98" s="168"/>
    </row>
    <row r="99" spans="1:12" ht="13">
      <c r="A99" s="145"/>
      <c r="B99" s="225" t="s">
        <v>139</v>
      </c>
      <c r="C99" s="164" cm="1">
        <f t="array" ref="C99">_xlfn.XLOOKUP($B99,BS!B:B,BS!D:H,0)</f>
        <v>0</v>
      </c>
      <c r="D99" s="165"/>
      <c r="E99" s="165"/>
      <c r="F99" s="165"/>
      <c r="G99" s="166"/>
      <c r="H99" s="145"/>
      <c r="I99" s="145"/>
      <c r="J99" s="145"/>
      <c r="K99" s="145"/>
      <c r="L99" s="168"/>
    </row>
    <row r="100" spans="1:12" ht="13">
      <c r="A100" s="145"/>
      <c r="B100" s="225" t="s">
        <v>140</v>
      </c>
      <c r="C100" s="164" cm="1">
        <f t="array" ref="C100:G100">_xlfn.XLOOKUP($B100,BS!B:B,BS!D:H,0)</f>
        <v>-185</v>
      </c>
      <c r="D100" s="165">
        <v>-183</v>
      </c>
      <c r="E100" s="165">
        <v>-190</v>
      </c>
      <c r="F100" s="165">
        <v>-221</v>
      </c>
      <c r="G100" s="166">
        <v>-224</v>
      </c>
      <c r="H100" s="145"/>
      <c r="I100" s="145"/>
      <c r="J100" s="145"/>
      <c r="K100" s="145"/>
      <c r="L100" s="168"/>
    </row>
    <row r="101" spans="1:12" ht="13">
      <c r="A101" s="145"/>
      <c r="B101" s="225" t="s">
        <v>54</v>
      </c>
      <c r="C101" s="183" cm="1">
        <f t="array" ref="C101:G101">_xlfn.XLOOKUP($B101,BS!B:B,BS!D:H,0)</f>
        <v>-1451</v>
      </c>
      <c r="D101" s="165">
        <v>-600</v>
      </c>
      <c r="E101" s="165">
        <v>-1175</v>
      </c>
      <c r="F101" s="165">
        <v>-1090</v>
      </c>
      <c r="G101" s="166">
        <v>-733</v>
      </c>
      <c r="H101" s="145"/>
      <c r="I101" s="145"/>
      <c r="J101" s="145"/>
      <c r="K101" s="145"/>
      <c r="L101" s="168"/>
    </row>
    <row r="102" spans="1:12" s="184" customFormat="1" ht="13">
      <c r="B102" s="228" t="s">
        <v>55</v>
      </c>
      <c r="C102" s="183" cm="1">
        <f t="array" ref="C102:G102">_xlfn.XLOOKUP($B102,BS!B:B,BS!D:H,0)</f>
        <v>9768</v>
      </c>
      <c r="D102" s="187">
        <v>11210</v>
      </c>
      <c r="E102" s="187">
        <v>10701</v>
      </c>
      <c r="F102" s="187">
        <v>10831</v>
      </c>
      <c r="G102" s="188">
        <v>11370</v>
      </c>
      <c r="L102" s="190"/>
    </row>
    <row r="103" spans="1:12" s="184" customFormat="1" ht="13">
      <c r="B103" s="228" t="s">
        <v>56</v>
      </c>
      <c r="C103" s="183" cm="1">
        <f t="array" ref="C103:G103">_xlfn.XLOOKUP($B103,BS!B:B,BS!D:H,0)</f>
        <v>22566</v>
      </c>
      <c r="D103" s="187">
        <v>25468</v>
      </c>
      <c r="E103" s="187">
        <v>25945</v>
      </c>
      <c r="F103" s="187">
        <v>25790</v>
      </c>
      <c r="G103" s="188">
        <v>28605</v>
      </c>
      <c r="L103" s="190"/>
    </row>
    <row r="104" spans="1:12" s="184" customFormat="1">
      <c r="B104" s="228"/>
      <c r="C104" s="186"/>
      <c r="D104" s="187"/>
      <c r="E104" s="187"/>
      <c r="F104" s="187"/>
      <c r="G104" s="188"/>
      <c r="L104" s="190"/>
    </row>
    <row r="105" spans="1:12" s="184" customFormat="1" ht="13">
      <c r="B105" s="225" t="s">
        <v>141</v>
      </c>
      <c r="C105" s="204">
        <f>(C76-C92)/C107</f>
        <v>25.57068062827225</v>
      </c>
      <c r="D105" s="205">
        <f t="shared" ref="D105:G105" si="6">(D76-D92)/D107</f>
        <v>31.312849162011172</v>
      </c>
      <c r="E105" s="205">
        <f t="shared" si="6"/>
        <v>32.724770642201833</v>
      </c>
      <c r="F105" s="205">
        <f t="shared" si="6"/>
        <v>35.745874587458744</v>
      </c>
      <c r="G105" s="206">
        <f t="shared" si="6"/>
        <v>37.774086378737543</v>
      </c>
      <c r="L105" s="190"/>
    </row>
    <row r="106" spans="1:12" ht="13">
      <c r="A106" s="145"/>
      <c r="B106" s="225" t="s">
        <v>142</v>
      </c>
      <c r="C106" s="164" cm="1">
        <f t="array" ref="C106">_xlfn.XLOOKUP($B106,BS!B:B,BS!D:H,0)</f>
        <v>0</v>
      </c>
      <c r="D106" s="165"/>
      <c r="E106" s="165"/>
      <c r="F106" s="165"/>
      <c r="G106" s="166"/>
      <c r="H106" s="145"/>
      <c r="I106" s="145"/>
      <c r="J106" s="145"/>
      <c r="K106" s="145"/>
      <c r="L106" s="168"/>
    </row>
    <row r="107" spans="1:12" ht="14" thickBot="1">
      <c r="A107" s="145"/>
      <c r="B107" s="229" t="s">
        <v>57</v>
      </c>
      <c r="C107" s="230" cm="1">
        <f t="array" ref="C107:G107">_xlfn.XLOOKUP($B107,BS!B:B,BS!D:H,0)</f>
        <v>382</v>
      </c>
      <c r="D107" s="231">
        <v>358</v>
      </c>
      <c r="E107" s="231">
        <v>327</v>
      </c>
      <c r="F107" s="231">
        <v>303</v>
      </c>
      <c r="G107" s="232">
        <v>301</v>
      </c>
      <c r="H107" s="145"/>
      <c r="I107" s="145"/>
      <c r="J107" s="145"/>
      <c r="K107" s="145"/>
      <c r="L107" s="168"/>
    </row>
    <row r="108" spans="1:12" s="145" customFormat="1">
      <c r="C108" s="165"/>
      <c r="D108" s="165"/>
      <c r="E108" s="165"/>
      <c r="F108" s="165"/>
      <c r="G108" s="165"/>
    </row>
    <row r="109" spans="1:12" s="145" customFormat="1" ht="13" thickBot="1">
      <c r="C109" s="165"/>
      <c r="D109" s="165"/>
      <c r="E109" s="165"/>
      <c r="F109" s="165"/>
      <c r="G109" s="165"/>
    </row>
    <row r="110" spans="1:12">
      <c r="A110" s="145"/>
      <c r="B110" s="221" t="s">
        <v>143</v>
      </c>
      <c r="C110" s="157"/>
      <c r="D110" s="158"/>
      <c r="E110" s="158"/>
      <c r="F110" s="158"/>
      <c r="G110" s="159"/>
      <c r="H110" s="160"/>
      <c r="I110" s="161"/>
      <c r="J110" s="161"/>
      <c r="K110" s="161"/>
      <c r="L110" s="162"/>
    </row>
    <row r="111" spans="1:12">
      <c r="A111" s="145"/>
      <c r="B111" s="179"/>
      <c r="C111" s="164"/>
      <c r="D111" s="165"/>
      <c r="E111" s="165"/>
      <c r="F111" s="165"/>
      <c r="G111" s="166"/>
      <c r="H111" s="167"/>
      <c r="I111" s="145"/>
      <c r="J111" s="145"/>
      <c r="K111" s="145"/>
      <c r="L111" s="168"/>
    </row>
    <row r="112" spans="1:12" ht="13">
      <c r="A112" s="145"/>
      <c r="B112" s="233" t="s">
        <v>144</v>
      </c>
      <c r="C112" s="164"/>
      <c r="D112" s="165"/>
      <c r="E112" s="165"/>
      <c r="F112" s="165"/>
      <c r="G112" s="166"/>
      <c r="H112" s="167"/>
      <c r="I112" s="145"/>
      <c r="J112" s="145"/>
      <c r="K112" s="145"/>
      <c r="L112" s="168"/>
    </row>
    <row r="113" spans="1:12" ht="13">
      <c r="A113" s="145"/>
      <c r="B113" s="225" t="s">
        <v>12</v>
      </c>
      <c r="C113" s="164" cm="1">
        <f t="array" ref="C113:G113">_xlfn.XLOOKUP($B113,CFS!B:B,CFS!D:H,0)</f>
        <v>2074</v>
      </c>
      <c r="D113" s="165">
        <v>2244</v>
      </c>
      <c r="E113" s="165">
        <v>2332</v>
      </c>
      <c r="F113" s="165">
        <v>1632</v>
      </c>
      <c r="G113" s="166">
        <v>677</v>
      </c>
      <c r="H113" s="167"/>
      <c r="I113" s="145"/>
      <c r="J113" s="145"/>
      <c r="K113" s="145"/>
      <c r="L113" s="168"/>
    </row>
    <row r="114" spans="1:12" ht="13">
      <c r="A114" s="145"/>
      <c r="B114" s="225" t="s">
        <v>58</v>
      </c>
      <c r="C114" s="164" cm="1">
        <f t="array" ref="C114:G114">_xlfn.XLOOKUP($B114,CFS!B:B,CFS!D:H,0)</f>
        <v>1056</v>
      </c>
      <c r="D114" s="165">
        <v>1184</v>
      </c>
      <c r="E114" s="165">
        <v>1278</v>
      </c>
      <c r="F114" s="165">
        <v>1345</v>
      </c>
      <c r="G114" s="166">
        <v>1366</v>
      </c>
      <c r="H114" s="167"/>
      <c r="I114" s="145"/>
      <c r="J114" s="145"/>
      <c r="K114" s="145"/>
      <c r="L114" s="168"/>
    </row>
    <row r="115" spans="1:12" ht="13">
      <c r="A115" s="145"/>
      <c r="B115" s="225" t="s">
        <v>59</v>
      </c>
      <c r="C115" s="164" cm="1">
        <f t="array" ref="C115">_xlfn.XLOOKUP($B115,CFS!B:B,CFS!D:H,0)</f>
        <v>0</v>
      </c>
      <c r="D115" s="165"/>
      <c r="E115" s="165"/>
      <c r="F115" s="165"/>
      <c r="G115" s="166"/>
      <c r="H115" s="167"/>
      <c r="I115" s="145"/>
      <c r="J115" s="145"/>
      <c r="K115" s="145"/>
      <c r="L115" s="168"/>
    </row>
    <row r="116" spans="1:12" ht="13">
      <c r="A116" s="145"/>
      <c r="B116" s="225" t="s">
        <v>60</v>
      </c>
      <c r="C116" s="164" cm="1">
        <f t="array" ref="C116:G116">_xlfn.XLOOKUP($B116,CFS!B:B,CFS!D:H,0)</f>
        <v>22</v>
      </c>
      <c r="D116" s="165">
        <v>-6</v>
      </c>
      <c r="E116" s="165">
        <v>31</v>
      </c>
      <c r="F116" s="165">
        <v>7</v>
      </c>
      <c r="G116" s="166">
        <v>17</v>
      </c>
      <c r="H116" s="167"/>
      <c r="I116" s="145"/>
      <c r="J116" s="145"/>
      <c r="K116" s="145"/>
      <c r="L116" s="168"/>
    </row>
    <row r="117" spans="1:12" ht="13">
      <c r="A117" s="145"/>
      <c r="B117" s="225" t="s">
        <v>132</v>
      </c>
      <c r="C117" s="164" cm="1">
        <f t="array" ref="C117">_xlfn.XLOOKUP($B117,CFS!B:B,CFS!D:H,0)</f>
        <v>0</v>
      </c>
      <c r="D117" s="165"/>
      <c r="E117" s="165"/>
      <c r="F117" s="165"/>
      <c r="G117" s="166"/>
      <c r="H117" s="167"/>
      <c r="I117" s="145"/>
      <c r="J117" s="145"/>
      <c r="K117" s="145"/>
      <c r="L117" s="168"/>
    </row>
    <row r="118" spans="1:12" ht="13">
      <c r="A118" s="145"/>
      <c r="B118" s="225" t="s">
        <v>61</v>
      </c>
      <c r="C118" s="164" cm="1">
        <f t="array" ref="C118:G118">_xlfn.XLOOKUP($B118,CFS!B:B,CFS!D:H,0)</f>
        <v>0</v>
      </c>
      <c r="D118" s="165">
        <v>10</v>
      </c>
      <c r="E118" s="165">
        <v>18</v>
      </c>
      <c r="F118" s="165">
        <v>209</v>
      </c>
      <c r="G118" s="166">
        <v>411</v>
      </c>
      <c r="H118" s="167"/>
      <c r="I118" s="145"/>
      <c r="J118" s="145"/>
      <c r="K118" s="145"/>
      <c r="L118" s="168"/>
    </row>
    <row r="119" spans="1:12" ht="13">
      <c r="A119" s="145"/>
      <c r="B119" s="225" t="s">
        <v>62</v>
      </c>
      <c r="C119" s="164" cm="1">
        <f t="array" ref="C119:G119">_xlfn.XLOOKUP($B119,CFS!B:B,CFS!D:H,0)</f>
        <v>162</v>
      </c>
      <c r="D119" s="165">
        <v>125</v>
      </c>
      <c r="E119" s="165">
        <v>179</v>
      </c>
      <c r="F119" s="165">
        <v>346</v>
      </c>
      <c r="G119" s="166">
        <v>281</v>
      </c>
      <c r="H119" s="167"/>
      <c r="I119" s="145"/>
      <c r="J119" s="145"/>
      <c r="K119" s="145"/>
      <c r="L119" s="168"/>
    </row>
    <row r="120" spans="1:12" ht="13">
      <c r="A120" s="145"/>
      <c r="B120" s="225" t="s">
        <v>63</v>
      </c>
      <c r="C120" s="164" cm="1">
        <f t="array" ref="C120:G120">_xlfn.XLOOKUP($B120,CFS!B:B,CFS!D:H,0)</f>
        <v>153</v>
      </c>
      <c r="D120" s="165">
        <v>137</v>
      </c>
      <c r="E120" s="165">
        <v>230</v>
      </c>
      <c r="F120" s="165">
        <v>624</v>
      </c>
      <c r="G120" s="166">
        <v>682</v>
      </c>
      <c r="H120" s="167"/>
      <c r="I120" s="145"/>
      <c r="J120" s="145"/>
      <c r="K120" s="145"/>
      <c r="L120" s="168"/>
    </row>
    <row r="121" spans="1:12" ht="13">
      <c r="A121" s="145"/>
      <c r="B121" s="225" t="s">
        <v>64</v>
      </c>
      <c r="C121" s="164" cm="1">
        <f t="array" ref="C121:G121">_xlfn.XLOOKUP($B121,CFS!B:B,CFS!D:H,0)</f>
        <v>707</v>
      </c>
      <c r="D121" s="165">
        <v>782</v>
      </c>
      <c r="E121" s="165">
        <v>665</v>
      </c>
      <c r="F121" s="165">
        <v>484</v>
      </c>
      <c r="G121" s="166">
        <v>336</v>
      </c>
      <c r="H121" s="167"/>
      <c r="I121" s="145"/>
      <c r="J121" s="145"/>
      <c r="K121" s="145"/>
      <c r="L121" s="168"/>
    </row>
    <row r="122" spans="1:12" ht="13">
      <c r="A122" s="145"/>
      <c r="B122" s="225" t="s">
        <v>145</v>
      </c>
      <c r="C122" s="164" cm="1">
        <f t="array" ref="C122:G122">_xlfn.XLOOKUP($B122,CFS!B:B,CFS!D:H,0)</f>
        <v>99</v>
      </c>
      <c r="D122" s="165">
        <v>88</v>
      </c>
      <c r="E122" s="165">
        <v>115</v>
      </c>
      <c r="F122" s="165">
        <v>103</v>
      </c>
      <c r="G122" s="166">
        <v>105</v>
      </c>
      <c r="H122" s="167"/>
      <c r="I122" s="145"/>
      <c r="J122" s="145"/>
      <c r="K122" s="145"/>
      <c r="L122" s="168"/>
    </row>
    <row r="123" spans="1:12" ht="13">
      <c r="A123" s="145"/>
      <c r="B123" s="225" t="s">
        <v>65</v>
      </c>
      <c r="C123" s="164" cm="1">
        <f t="array" ref="C123:G123">_xlfn.XLOOKUP($B123,CFS!B:B,CFS!D:H,0)</f>
        <v>-446</v>
      </c>
      <c r="D123" s="165">
        <v>-292</v>
      </c>
      <c r="E123" s="165">
        <v>-351</v>
      </c>
      <c r="F123" s="165">
        <v>629</v>
      </c>
      <c r="G123" s="166">
        <v>-42</v>
      </c>
      <c r="H123" s="167"/>
      <c r="I123" s="145"/>
      <c r="J123" s="145"/>
      <c r="K123" s="145"/>
      <c r="L123" s="168"/>
    </row>
    <row r="124" spans="1:12" ht="13">
      <c r="A124" s="145"/>
      <c r="B124" s="225" t="s">
        <v>66</v>
      </c>
      <c r="C124" s="164" cm="1">
        <f t="array" ref="C124:G124">_xlfn.XLOOKUP($B124,CFS!B:B,CFS!D:H,0)</f>
        <v>-159</v>
      </c>
      <c r="D124" s="165">
        <v>-397</v>
      </c>
      <c r="E124" s="165">
        <v>-92</v>
      </c>
      <c r="F124" s="165">
        <v>104</v>
      </c>
      <c r="G124" s="166">
        <v>37</v>
      </c>
      <c r="H124" s="167"/>
      <c r="I124" s="145"/>
      <c r="J124" s="145"/>
      <c r="K124" s="145"/>
      <c r="L124" s="168"/>
    </row>
    <row r="125" spans="1:12" ht="13">
      <c r="A125" s="145"/>
      <c r="B125" s="225" t="s">
        <v>67</v>
      </c>
      <c r="C125" s="164" cm="1">
        <f t="array" ref="C125">_xlfn.XLOOKUP($B125,CFS!B:B,CFS!D:H,0)</f>
        <v>0</v>
      </c>
      <c r="D125" s="165"/>
      <c r="E125" s="165"/>
      <c r="F125" s="165"/>
      <c r="G125" s="166"/>
      <c r="H125" s="167"/>
      <c r="I125" s="145"/>
      <c r="J125" s="145"/>
      <c r="K125" s="145"/>
      <c r="L125" s="168"/>
    </row>
    <row r="126" spans="1:12" ht="13">
      <c r="A126" s="145"/>
      <c r="B126" s="225" t="s">
        <v>41</v>
      </c>
      <c r="C126" s="164" cm="1">
        <f t="array" ref="C126:G126">_xlfn.XLOOKUP($B126,CFS!B:B,CFS!D:H,0)</f>
        <v>562</v>
      </c>
      <c r="D126" s="165">
        <v>512</v>
      </c>
      <c r="E126" s="165">
        <v>265</v>
      </c>
      <c r="F126" s="165">
        <v>-519</v>
      </c>
      <c r="G126" s="166">
        <v>274</v>
      </c>
      <c r="H126" s="167"/>
      <c r="I126" s="145"/>
      <c r="J126" s="145"/>
      <c r="K126" s="145"/>
      <c r="L126" s="168"/>
    </row>
    <row r="127" spans="1:12" ht="13">
      <c r="A127" s="145"/>
      <c r="B127" s="225" t="s">
        <v>68</v>
      </c>
      <c r="C127" s="183" cm="1">
        <f t="array" ref="C127:G127">_xlfn.XLOOKUP($B127,CFS!B:B,CFS!D:H,0)</f>
        <v>-39</v>
      </c>
      <c r="D127" s="165">
        <v>-213</v>
      </c>
      <c r="E127" s="165">
        <v>-153</v>
      </c>
      <c r="F127" s="165">
        <v>352</v>
      </c>
      <c r="G127" s="166">
        <v>536</v>
      </c>
      <c r="H127" s="167"/>
      <c r="I127" s="145"/>
      <c r="J127" s="145"/>
      <c r="K127" s="145"/>
      <c r="L127" s="168"/>
    </row>
    <row r="128" spans="1:12" s="184" customFormat="1" ht="13">
      <c r="B128" s="228" t="s">
        <v>69</v>
      </c>
      <c r="C128" s="164" cm="1">
        <f t="array" ref="C128:G128">_xlfn.XLOOKUP($B128,CFS!B:B,CFS!D:H,0)</f>
        <v>3266</v>
      </c>
      <c r="D128" s="187">
        <v>3346</v>
      </c>
      <c r="E128" s="187">
        <v>3718</v>
      </c>
      <c r="F128" s="187">
        <v>3960</v>
      </c>
      <c r="G128" s="188">
        <v>3278</v>
      </c>
      <c r="H128" s="189"/>
      <c r="L128" s="190"/>
    </row>
    <row r="129" spans="1:12">
      <c r="A129" s="145"/>
      <c r="B129" s="234"/>
      <c r="C129" s="164"/>
      <c r="D129" s="165"/>
      <c r="E129" s="165"/>
      <c r="F129" s="165"/>
      <c r="G129" s="166"/>
      <c r="H129" s="167"/>
      <c r="I129" s="145"/>
      <c r="J129" s="145"/>
      <c r="K129" s="145"/>
      <c r="L129" s="168"/>
    </row>
    <row r="130" spans="1:12" ht="13">
      <c r="A130" s="145"/>
      <c r="B130" s="233" t="s">
        <v>146</v>
      </c>
      <c r="C130" s="164"/>
      <c r="D130" s="165"/>
      <c r="E130" s="165"/>
      <c r="F130" s="165"/>
      <c r="G130" s="166"/>
      <c r="H130" s="167"/>
      <c r="I130" s="145"/>
      <c r="J130" s="145"/>
      <c r="K130" s="145"/>
      <c r="L130" s="168"/>
    </row>
    <row r="131" spans="1:12" ht="13">
      <c r="A131" s="145"/>
      <c r="B131" s="225" t="s">
        <v>70</v>
      </c>
      <c r="C131" s="164" cm="1">
        <f t="array" ref="C131:G131">_xlfn.XLOOKUP($B131,CFS!B:B,CFS!D:H,0)</f>
        <v>-1807</v>
      </c>
      <c r="D131" s="165">
        <v>-1875</v>
      </c>
      <c r="E131" s="165">
        <v>-1650</v>
      </c>
      <c r="F131" s="165">
        <v>-1441</v>
      </c>
      <c r="G131" s="166">
        <v>-1145</v>
      </c>
      <c r="H131" s="167"/>
      <c r="I131" s="145"/>
      <c r="J131" s="145"/>
      <c r="K131" s="145"/>
      <c r="L131" s="168"/>
    </row>
    <row r="132" spans="1:12" ht="13">
      <c r="A132" s="145"/>
      <c r="B132" s="225" t="s">
        <v>71</v>
      </c>
      <c r="C132" s="164" cm="1">
        <f t="array" ref="C132:G132">_xlfn.XLOOKUP($B132,CFS!B:B,CFS!D:H,0)</f>
        <v>-1810</v>
      </c>
      <c r="D132" s="165">
        <v>0</v>
      </c>
      <c r="E132" s="165">
        <v>-148</v>
      </c>
      <c r="F132" s="165">
        <v>-147</v>
      </c>
      <c r="G132" s="166">
        <v>0</v>
      </c>
      <c r="H132" s="167"/>
      <c r="I132" s="145"/>
      <c r="J132" s="145"/>
      <c r="K132" s="145"/>
      <c r="L132" s="168"/>
    </row>
    <row r="133" spans="1:12" ht="13">
      <c r="A133" s="145"/>
      <c r="B133" s="225" t="s">
        <v>147</v>
      </c>
      <c r="C133" s="164" cm="1">
        <f t="array" ref="C133:G133">_xlfn.XLOOKUP($B133,CFS!B:B,CFS!D:H,0)</f>
        <v>0</v>
      </c>
      <c r="D133" s="165">
        <v>0</v>
      </c>
      <c r="E133" s="165">
        <v>0</v>
      </c>
      <c r="F133" s="165">
        <v>1132</v>
      </c>
      <c r="G133" s="166">
        <v>91</v>
      </c>
      <c r="H133" s="167"/>
      <c r="I133" s="145"/>
      <c r="J133" s="145"/>
      <c r="K133" s="145"/>
      <c r="L133" s="168"/>
    </row>
    <row r="134" spans="1:12" ht="13">
      <c r="A134" s="145"/>
      <c r="B134" s="225" t="s">
        <v>72</v>
      </c>
      <c r="C134" s="164" cm="1">
        <f t="array" ref="C134:G134">_xlfn.XLOOKUP($B134,CFS!B:B,CFS!D:H,0)</f>
        <v>0</v>
      </c>
      <c r="D134" s="165">
        <v>0</v>
      </c>
      <c r="E134" s="165">
        <v>0</v>
      </c>
      <c r="F134" s="165">
        <v>231</v>
      </c>
      <c r="G134" s="166">
        <v>0</v>
      </c>
      <c r="H134" s="167"/>
      <c r="I134" s="145"/>
      <c r="J134" s="145"/>
      <c r="K134" s="145"/>
      <c r="L134" s="168"/>
    </row>
    <row r="135" spans="1:12" ht="13">
      <c r="A135" s="145"/>
      <c r="B135" s="225" t="s">
        <v>73</v>
      </c>
      <c r="C135" s="164" cm="1">
        <f t="array" ref="C135:G135">_xlfn.XLOOKUP($B135,CFS!B:B,CFS!D:H,0)</f>
        <v>-478</v>
      </c>
      <c r="D135" s="165">
        <v>-651</v>
      </c>
      <c r="E135" s="165">
        <v>-701</v>
      </c>
      <c r="F135" s="165">
        <v>-394</v>
      </c>
      <c r="G135" s="166">
        <v>-463</v>
      </c>
      <c r="H135" s="167"/>
      <c r="I135" s="145"/>
      <c r="J135" s="145"/>
      <c r="K135" s="145"/>
      <c r="L135" s="168"/>
    </row>
    <row r="136" spans="1:12" ht="13">
      <c r="A136" s="145"/>
      <c r="B136" s="225" t="s">
        <v>148</v>
      </c>
      <c r="C136" s="164" cm="1">
        <f t="array" ref="C136">_xlfn.XLOOKUP($B136,CFS!B:B,CFS!D:H,0)</f>
        <v>0</v>
      </c>
      <c r="D136" s="165"/>
      <c r="E136" s="165"/>
      <c r="F136" s="165"/>
      <c r="G136" s="166"/>
      <c r="H136" s="167"/>
      <c r="I136" s="145"/>
      <c r="J136" s="145"/>
      <c r="K136" s="145"/>
      <c r="L136" s="168"/>
    </row>
    <row r="137" spans="1:12" ht="13">
      <c r="A137" s="145"/>
      <c r="B137" s="225" t="s">
        <v>149</v>
      </c>
      <c r="C137" s="164" cm="1">
        <f t="array" ref="C137">_xlfn.XLOOKUP($B137,CFS!B:B,CFS!D:H,0)</f>
        <v>0</v>
      </c>
      <c r="D137" s="165"/>
      <c r="E137" s="165"/>
      <c r="F137" s="165"/>
      <c r="G137" s="166"/>
      <c r="H137" s="167"/>
      <c r="I137" s="145"/>
      <c r="J137" s="145"/>
      <c r="K137" s="145"/>
      <c r="L137" s="168"/>
    </row>
    <row r="138" spans="1:12" ht="13">
      <c r="A138" s="145"/>
      <c r="B138" s="225" t="s">
        <v>74</v>
      </c>
      <c r="C138" s="183" cm="1">
        <f t="array" ref="C138:G138">_xlfn.XLOOKUP($B138,CFS!B:B,CFS!D:H,0)</f>
        <v>-2150</v>
      </c>
      <c r="D138" s="165">
        <v>-270</v>
      </c>
      <c r="E138" s="165">
        <v>-626</v>
      </c>
      <c r="F138" s="165">
        <v>1007</v>
      </c>
      <c r="G138" s="166">
        <v>-255</v>
      </c>
      <c r="H138" s="167"/>
      <c r="I138" s="145"/>
      <c r="J138" s="145"/>
      <c r="K138" s="145"/>
      <c r="L138" s="168"/>
    </row>
    <row r="139" spans="1:12" s="184" customFormat="1" ht="13">
      <c r="B139" s="228" t="s">
        <v>75</v>
      </c>
      <c r="C139" s="164" cm="1">
        <f t="array" ref="C139:G139">_xlfn.XLOOKUP($B139,CFS!B:B,CFS!D:H,0)</f>
        <v>-3957</v>
      </c>
      <c r="D139" s="187">
        <v>-2145</v>
      </c>
      <c r="E139" s="187">
        <v>-2276</v>
      </c>
      <c r="F139" s="187">
        <v>-434</v>
      </c>
      <c r="G139" s="188">
        <v>-1400</v>
      </c>
      <c r="H139" s="189"/>
      <c r="L139" s="190"/>
    </row>
    <row r="140" spans="1:12">
      <c r="A140" s="145"/>
      <c r="B140" s="234"/>
      <c r="C140" s="164"/>
      <c r="D140" s="165"/>
      <c r="E140" s="165"/>
      <c r="F140" s="165"/>
      <c r="G140" s="166"/>
      <c r="H140" s="167"/>
      <c r="I140" s="145"/>
      <c r="J140" s="145"/>
      <c r="K140" s="145"/>
      <c r="L140" s="168"/>
    </row>
    <row r="141" spans="1:12" ht="13">
      <c r="A141" s="145"/>
      <c r="B141" s="233" t="s">
        <v>150</v>
      </c>
      <c r="C141" s="164"/>
      <c r="D141" s="165"/>
      <c r="E141" s="165"/>
      <c r="F141" s="165"/>
      <c r="G141" s="166"/>
      <c r="H141" s="167"/>
      <c r="I141" s="145"/>
      <c r="J141" s="145"/>
      <c r="K141" s="145"/>
      <c r="L141" s="168"/>
    </row>
    <row r="142" spans="1:12" ht="13">
      <c r="A142" s="145"/>
      <c r="B142" s="225" t="s">
        <v>76</v>
      </c>
      <c r="C142" s="164" cm="1">
        <f t="array" ref="C142:G142">_xlfn.XLOOKUP($B142,CFS!B:B,CFS!D:H,0)</f>
        <v>-15</v>
      </c>
      <c r="D142" s="165">
        <v>-39</v>
      </c>
      <c r="E142" s="165">
        <v>-81</v>
      </c>
      <c r="F142" s="165">
        <v>-27</v>
      </c>
      <c r="G142" s="166">
        <v>-13</v>
      </c>
      <c r="H142" s="167"/>
      <c r="I142" s="145"/>
      <c r="J142" s="145"/>
      <c r="K142" s="145"/>
      <c r="L142" s="168"/>
    </row>
    <row r="143" spans="1:12" ht="13">
      <c r="A143" s="145"/>
      <c r="B143" s="225" t="s">
        <v>77</v>
      </c>
      <c r="C143" s="164" cm="1">
        <f t="array" ref="C143:G143">_xlfn.XLOOKUP($B143,CFS!B:B,CFS!D:H,0)</f>
        <v>-904</v>
      </c>
      <c r="D143" s="165">
        <v>-1271</v>
      </c>
      <c r="E143" s="165">
        <v>-1831</v>
      </c>
      <c r="F143" s="165">
        <v>-1289</v>
      </c>
      <c r="G143" s="166">
        <v>-203</v>
      </c>
      <c r="H143" s="167"/>
      <c r="I143" s="145"/>
      <c r="J143" s="145"/>
      <c r="K143" s="145"/>
      <c r="L143" s="168"/>
    </row>
    <row r="144" spans="1:12" ht="13">
      <c r="A144" s="145"/>
      <c r="B144" s="225" t="s">
        <v>78</v>
      </c>
      <c r="C144" s="164" cm="1">
        <f t="array" ref="C144:G144">_xlfn.XLOOKUP($B144,CFS!B:B,CFS!D:H,0)</f>
        <v>-904</v>
      </c>
      <c r="D144" s="165">
        <v>-1271</v>
      </c>
      <c r="E144" s="165">
        <v>-1831</v>
      </c>
      <c r="F144" s="165">
        <v>-1289</v>
      </c>
      <c r="G144" s="166">
        <v>-203</v>
      </c>
      <c r="H144" s="167"/>
      <c r="I144" s="145"/>
      <c r="J144" s="145"/>
      <c r="K144" s="145"/>
      <c r="L144" s="168"/>
    </row>
    <row r="145" spans="1:12" ht="13">
      <c r="A145" s="145"/>
      <c r="B145" s="225" t="s">
        <v>79</v>
      </c>
      <c r="C145" s="164" cm="1">
        <f t="array" ref="C145:G145">_xlfn.XLOOKUP($B145,CFS!B:B,CFS!D:H,0)</f>
        <v>-871</v>
      </c>
      <c r="D145" s="165">
        <v>-1227</v>
      </c>
      <c r="E145" s="165">
        <v>-1781</v>
      </c>
      <c r="F145" s="165">
        <v>-1245</v>
      </c>
      <c r="G145" s="166">
        <v>-122</v>
      </c>
      <c r="H145" s="167"/>
      <c r="I145" s="145"/>
      <c r="J145" s="145"/>
      <c r="K145" s="145"/>
      <c r="L145" s="168"/>
    </row>
    <row r="146" spans="1:12" ht="13">
      <c r="A146" s="145"/>
      <c r="B146" s="225" t="s">
        <v>151</v>
      </c>
      <c r="C146" s="164" cm="1">
        <f t="array" ref="C146:G146">_xlfn.XLOOKUP($B146,CFS!B:B,CFS!D:H,0)</f>
        <v>282</v>
      </c>
      <c r="D146" s="165">
        <v>752</v>
      </c>
      <c r="E146" s="165">
        <v>172</v>
      </c>
      <c r="F146" s="165">
        <v>47</v>
      </c>
      <c r="G146" s="166">
        <v>854</v>
      </c>
      <c r="H146" s="167"/>
      <c r="I146" s="145"/>
      <c r="J146" s="145"/>
      <c r="K146" s="145"/>
      <c r="L146" s="168"/>
    </row>
    <row r="147" spans="1:12" ht="13">
      <c r="A147" s="145"/>
      <c r="B147" s="225" t="s">
        <v>152</v>
      </c>
      <c r="C147" s="164" cm="1">
        <f t="array" ref="C147:G147">_xlfn.XLOOKUP($B147,CFS!B:B,CFS!D:H,0)</f>
        <v>-417</v>
      </c>
      <c r="D147" s="165">
        <v>-110</v>
      </c>
      <c r="E147" s="165">
        <v>-171</v>
      </c>
      <c r="F147" s="165">
        <v>-149</v>
      </c>
      <c r="G147" s="166">
        <v>-140</v>
      </c>
      <c r="H147" s="167"/>
      <c r="I147" s="145"/>
      <c r="J147" s="145"/>
      <c r="K147" s="145"/>
      <c r="L147" s="168"/>
    </row>
    <row r="148" spans="1:12" ht="13">
      <c r="A148" s="145"/>
      <c r="B148" s="225" t="s">
        <v>153</v>
      </c>
      <c r="C148" s="164" cm="1">
        <f t="array" ref="C148:G148">_xlfn.XLOOKUP($B148,CFS!B:B,CFS!D:H,0)</f>
        <v>-135</v>
      </c>
      <c r="D148" s="165">
        <v>642</v>
      </c>
      <c r="E148" s="165">
        <v>1</v>
      </c>
      <c r="F148" s="165">
        <v>-102</v>
      </c>
      <c r="G148" s="166">
        <v>714</v>
      </c>
      <c r="H148" s="167"/>
      <c r="I148" s="145"/>
      <c r="J148" s="145"/>
      <c r="K148" s="145"/>
      <c r="L148" s="168"/>
    </row>
    <row r="149" spans="1:12" ht="13">
      <c r="A149" s="145"/>
      <c r="B149" s="225" t="s">
        <v>154</v>
      </c>
      <c r="C149" s="183" cm="1">
        <f t="array" ref="C149:G149">_xlfn.XLOOKUP($B149,CFS!B:B,CFS!D:H,0)</f>
        <v>251</v>
      </c>
      <c r="D149" s="165">
        <v>112</v>
      </c>
      <c r="E149" s="165">
        <v>867</v>
      </c>
      <c r="F149" s="165">
        <v>-1226</v>
      </c>
      <c r="G149" s="166">
        <v>683</v>
      </c>
      <c r="H149" s="167"/>
      <c r="I149" s="145"/>
      <c r="J149" s="145"/>
      <c r="K149" s="145"/>
      <c r="L149" s="168"/>
    </row>
    <row r="150" spans="1:12" s="184" customFormat="1" ht="13">
      <c r="B150" s="228" t="s">
        <v>80</v>
      </c>
      <c r="C150" s="164" cm="1">
        <f t="array" ref="C150:G150">_xlfn.XLOOKUP($B150,CFS!B:B,CFS!D:H,0)</f>
        <v>-1020</v>
      </c>
      <c r="D150" s="187">
        <v>-1554</v>
      </c>
      <c r="E150" s="187">
        <v>-1443</v>
      </c>
      <c r="F150" s="187">
        <v>-2947</v>
      </c>
      <c r="G150" s="188">
        <v>81</v>
      </c>
      <c r="H150" s="189"/>
      <c r="L150" s="190"/>
    </row>
    <row r="151" spans="1:12">
      <c r="A151" s="145"/>
      <c r="B151" s="234"/>
      <c r="C151" s="164"/>
      <c r="D151" s="165"/>
      <c r="E151" s="165"/>
      <c r="F151" s="165"/>
      <c r="G151" s="166"/>
      <c r="H151" s="167"/>
      <c r="I151" s="145"/>
      <c r="J151" s="145"/>
      <c r="K151" s="145"/>
      <c r="L151" s="168"/>
    </row>
    <row r="152" spans="1:12" ht="13">
      <c r="A152" s="145"/>
      <c r="B152" s="235" t="s">
        <v>155</v>
      </c>
      <c r="C152" s="164"/>
      <c r="D152" s="165"/>
      <c r="E152" s="165"/>
      <c r="F152" s="165"/>
      <c r="G152" s="166"/>
      <c r="H152" s="167"/>
      <c r="I152" s="145"/>
      <c r="J152" s="145"/>
      <c r="K152" s="145"/>
      <c r="L152" s="168"/>
    </row>
    <row r="153" spans="1:12" s="184" customFormat="1" ht="13">
      <c r="B153" s="234" t="s">
        <v>81</v>
      </c>
      <c r="C153" s="164" cm="1">
        <f t="array" ref="C153:G153">_xlfn.XLOOKUP($B153,CFS!B:B,CFS!D:H,0)</f>
        <v>-1695</v>
      </c>
      <c r="D153" s="194">
        <v>-329</v>
      </c>
      <c r="E153" s="194">
        <v>-37</v>
      </c>
      <c r="F153" s="194">
        <v>590</v>
      </c>
      <c r="G153" s="195">
        <v>1982</v>
      </c>
      <c r="H153" s="189"/>
      <c r="L153" s="190"/>
    </row>
    <row r="154" spans="1:12" ht="13">
      <c r="A154" s="145"/>
      <c r="B154" s="225" t="s">
        <v>82</v>
      </c>
      <c r="C154" s="164" cm="1">
        <f t="array" ref="C154:G154">_xlfn.XLOOKUP($B154,CFS!B:B,CFS!D:H,0)</f>
        <v>2863</v>
      </c>
      <c r="D154" s="165">
        <v>1168</v>
      </c>
      <c r="E154" s="165">
        <v>839</v>
      </c>
      <c r="F154" s="165">
        <v>802</v>
      </c>
      <c r="G154" s="166">
        <v>1392</v>
      </c>
      <c r="H154" s="167"/>
      <c r="I154" s="145"/>
      <c r="J154" s="145"/>
      <c r="K154" s="145"/>
      <c r="L154" s="168"/>
    </row>
    <row r="155" spans="1:12" ht="13">
      <c r="A155" s="145"/>
      <c r="B155" s="225" t="s">
        <v>83</v>
      </c>
      <c r="C155" s="164" cm="1">
        <f t="array" ref="C155:G155">_xlfn.XLOOKUP($B155,CFS!B:B,CFS!D:H,0)</f>
        <v>1168</v>
      </c>
      <c r="D155" s="165">
        <v>839</v>
      </c>
      <c r="E155" s="165">
        <v>802</v>
      </c>
      <c r="F155" s="165">
        <v>1392</v>
      </c>
      <c r="G155" s="166">
        <v>3374</v>
      </c>
      <c r="H155" s="167"/>
      <c r="I155" s="145"/>
      <c r="J155" s="145"/>
      <c r="K155" s="145"/>
      <c r="L155" s="168"/>
    </row>
    <row r="156" spans="1:12" ht="13">
      <c r="A156" s="145"/>
      <c r="B156" s="225" t="s">
        <v>23</v>
      </c>
      <c r="C156" s="164" cm="1">
        <f t="array" ref="C156:G156">_xlfn.XLOOKUP($B156,CFS!B:B,CFS!D:H,0)</f>
        <v>1056</v>
      </c>
      <c r="D156" s="165">
        <v>1184</v>
      </c>
      <c r="E156" s="165">
        <v>1278</v>
      </c>
      <c r="F156" s="165">
        <v>1345</v>
      </c>
      <c r="G156" s="166">
        <v>1366</v>
      </c>
      <c r="H156" s="167"/>
      <c r="I156" s="145"/>
      <c r="J156" s="145"/>
      <c r="K156" s="145"/>
      <c r="L156" s="168"/>
    </row>
    <row r="157" spans="1:12" ht="13">
      <c r="A157" s="145"/>
      <c r="B157" s="225" t="s">
        <v>145</v>
      </c>
      <c r="C157" s="164" cm="1">
        <f t="array" ref="C157:G157">_xlfn.XLOOKUP($B157,CFS!B:B,CFS!D:H,0)</f>
        <v>99</v>
      </c>
      <c r="D157" s="165">
        <v>88</v>
      </c>
      <c r="E157" s="165">
        <v>115</v>
      </c>
      <c r="F157" s="165">
        <v>103</v>
      </c>
      <c r="G157" s="166">
        <v>105</v>
      </c>
      <c r="H157" s="167"/>
      <c r="I157" s="145"/>
      <c r="J157" s="145"/>
      <c r="K157" s="145"/>
      <c r="L157" s="168"/>
    </row>
    <row r="158" spans="1:12" ht="14" thickBot="1">
      <c r="A158" s="145"/>
      <c r="B158" s="229" t="s">
        <v>64</v>
      </c>
      <c r="C158" s="230" cm="1">
        <f t="array" ref="C158:G158">_xlfn.XLOOKUP($B158,CFS!B:B,CFS!D:H,0)</f>
        <v>707</v>
      </c>
      <c r="D158" s="231">
        <v>782</v>
      </c>
      <c r="E158" s="231">
        <v>665</v>
      </c>
      <c r="F158" s="231">
        <v>484</v>
      </c>
      <c r="G158" s="232">
        <v>336</v>
      </c>
      <c r="H158" s="216"/>
      <c r="I158" s="217"/>
      <c r="J158" s="217"/>
      <c r="K158" s="217"/>
      <c r="L158" s="218"/>
    </row>
    <row r="159" spans="1:12">
      <c r="A159" s="145"/>
      <c r="B159" s="145"/>
      <c r="C159" s="145"/>
      <c r="D159" s="145"/>
      <c r="E159" s="145"/>
      <c r="F159" s="145"/>
      <c r="G159" s="145"/>
      <c r="H159" s="145"/>
      <c r="I159" s="145"/>
      <c r="J159" s="145"/>
      <c r="K159" s="145"/>
      <c r="L159" s="145"/>
    </row>
  </sheetData>
  <mergeCells count="2">
    <mergeCell ref="C2:G2"/>
    <mergeCell ref="H2:L2"/>
  </mergeCells>
  <pageMargins left="0.7" right="0.7" top="0.75" bottom="0.75" header="0.3" footer="0.3"/>
  <pageSetup scale="2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>
    <tabColor theme="7" tint="0.79998168889431442"/>
    <pageSetUpPr fitToPage="1"/>
  </sheetPr>
  <dimension ref="B1:S69"/>
  <sheetViews>
    <sheetView zoomScale="85" zoomScaleNormal="85" workbookViewId="0">
      <pane xSplit="2" ySplit="3" topLeftCell="C13" activePane="bottomRight" state="frozen"/>
      <selection activeCell="P9" sqref="P9"/>
      <selection pane="topRight" activeCell="P9" sqref="P9"/>
      <selection pane="bottomLeft" activeCell="P9" sqref="P9"/>
      <selection pane="bottomRight" activeCell="G26" sqref="G26"/>
    </sheetView>
  </sheetViews>
  <sheetFormatPr baseColWidth="10" defaultColWidth="8.83203125" defaultRowHeight="16"/>
  <cols>
    <col min="1" max="1" width="2.5" style="17" customWidth="1"/>
    <col min="2" max="2" width="46.5" style="17" bestFit="1" customWidth="1"/>
    <col min="3" max="7" width="15" style="17" customWidth="1"/>
    <col min="8" max="8" width="3.83203125" style="17" customWidth="1"/>
    <col min="9" max="12" width="8.83203125" style="17"/>
    <col min="13" max="13" width="9.83203125" style="17" bestFit="1" customWidth="1"/>
    <col min="14" max="14" width="10.1640625" style="17" bestFit="1" customWidth="1"/>
    <col min="15" max="16384" width="8.83203125" style="17"/>
  </cols>
  <sheetData>
    <row r="1" spans="2:19" ht="17" thickBot="1"/>
    <row r="2" spans="2:19" ht="17" thickBot="1">
      <c r="B2" s="45" t="s">
        <v>156</v>
      </c>
      <c r="C2" s="51" t="str">
        <f>DATA!C2</f>
        <v>MGA</v>
      </c>
    </row>
    <row r="3" spans="2:19" ht="17" thickBot="1">
      <c r="C3" s="49"/>
      <c r="D3" s="49"/>
      <c r="E3" s="49"/>
      <c r="F3" s="49"/>
      <c r="G3" s="49"/>
    </row>
    <row r="4" spans="2:19">
      <c r="B4" s="23" t="s">
        <v>157</v>
      </c>
      <c r="C4" s="11">
        <f>IS!D3</f>
        <v>42735</v>
      </c>
      <c r="D4" s="11">
        <f>IS!E3</f>
        <v>43100</v>
      </c>
      <c r="E4" s="11">
        <f>IS!F3</f>
        <v>43465</v>
      </c>
      <c r="F4" s="11">
        <f>IS!G3</f>
        <v>43830</v>
      </c>
      <c r="G4" s="11">
        <f>IS!H3</f>
        <v>44196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2:19">
      <c r="B5" s="1" t="s">
        <v>158</v>
      </c>
      <c r="C5" s="22"/>
      <c r="D5" s="78">
        <f>'Sourced From Original'!D27/'Sourced From Original'!C27-1</f>
        <v>7.0877531340405087E-2</v>
      </c>
      <c r="E5" s="78">
        <f>'Sourced From Original'!E27/'Sourced From Original'!D27-1</f>
        <v>5.4930211616389002E-2</v>
      </c>
      <c r="F5" s="78">
        <f>'Sourced From Original'!F27/'Sourced From Original'!E27-1</f>
        <v>-0.30345710627400768</v>
      </c>
      <c r="G5" s="79">
        <f>'Sourced From Original'!G27/'Sourced From Original'!F27-1</f>
        <v>-0.58517156862745101</v>
      </c>
    </row>
    <row r="6" spans="2:19">
      <c r="B6" s="1" t="s">
        <v>159</v>
      </c>
      <c r="C6" s="490" t="s">
        <v>160</v>
      </c>
      <c r="D6" s="78">
        <f>'Sourced From Original'!D17/'Sourced From Original'!C17-1</f>
        <v>7.374100719424459E-2</v>
      </c>
      <c r="E6" s="78">
        <f>'Sourced From Original'!E17/'Sourced From Original'!D17-1</f>
        <v>-1.1390284757118896E-2</v>
      </c>
      <c r="F6" s="78">
        <f>'Sourced From Original'!F17/'Sourced From Original'!E17-1</f>
        <v>-0.24669603524229078</v>
      </c>
      <c r="G6" s="79">
        <f>'Sourced From Original'!G17/'Sourced From Original'!F17-1</f>
        <v>-0.54745838956365267</v>
      </c>
    </row>
    <row r="7" spans="2:19">
      <c r="B7" s="1" t="s">
        <v>161</v>
      </c>
      <c r="C7" s="490"/>
      <c r="D7" s="78">
        <f>'Sourced From Original'!D40/'Sourced From Original'!C40-1</f>
        <v>0.12524084778420019</v>
      </c>
      <c r="E7" s="78">
        <f>'Sourced From Original'!E40/'Sourced From Original'!D40-1</f>
        <v>0.14383561643835607</v>
      </c>
      <c r="F7" s="78">
        <f>'Sourced From Original'!F40/'Sourced From Original'!E40-1</f>
        <v>-0.16017964071856283</v>
      </c>
      <c r="G7" s="79">
        <f>'Sourced From Original'!G40/'Sourced From Original'!F40-1</f>
        <v>-0.5490196078431373</v>
      </c>
    </row>
    <row r="8" spans="2:19" ht="17" thickBot="1">
      <c r="B8" s="4" t="s">
        <v>162</v>
      </c>
      <c r="C8" s="24"/>
      <c r="D8" s="81">
        <f>'Sourced From Original'!D8/'Sourced From Original'!C8-1</f>
        <v>3.9237206749898057E-3</v>
      </c>
      <c r="E8" s="81">
        <f>'Sourced From Original'!E8/'Sourced From Original'!D8-1</f>
        <v>0.11585765824860617</v>
      </c>
      <c r="F8" s="81">
        <f>'Sourced From Original'!F8/'Sourced From Original'!E8-1</f>
        <v>-3.4193058515198271E-2</v>
      </c>
      <c r="G8" s="82">
        <f>'Sourced From Original'!G8/'Sourced From Original'!F8-1</f>
        <v>-0.172047373893637</v>
      </c>
    </row>
    <row r="9" spans="2:19" ht="17" thickBot="1">
      <c r="B9" s="16"/>
      <c r="H9" s="18"/>
    </row>
    <row r="10" spans="2:19">
      <c r="B10" s="23" t="s">
        <v>163</v>
      </c>
      <c r="C10" s="11">
        <f>C4</f>
        <v>42735</v>
      </c>
      <c r="D10" s="11">
        <f>D4</f>
        <v>43100</v>
      </c>
      <c r="E10" s="11">
        <f>E4</f>
        <v>43465</v>
      </c>
      <c r="F10" s="11">
        <f>F4</f>
        <v>43830</v>
      </c>
      <c r="G10" s="12">
        <f>G4</f>
        <v>44196</v>
      </c>
    </row>
    <row r="11" spans="2:19">
      <c r="B11" s="1" t="s">
        <v>164</v>
      </c>
      <c r="C11" s="79">
        <f>'Sourced From Original'!C27/'Sourced From Original'!C102</f>
        <v>0.21232596232596232</v>
      </c>
      <c r="D11" s="79">
        <f>'Sourced From Original'!D27/'Sourced From Original'!D102</f>
        <v>0.19812667261373773</v>
      </c>
      <c r="E11" s="79">
        <f>'Sourced From Original'!E27/'Sourced From Original'!E102</f>
        <v>0.21895149985982618</v>
      </c>
      <c r="F11" s="79">
        <f>'Sourced From Original'!F27/'Sourced From Original'!F102</f>
        <v>0.15067860770012004</v>
      </c>
      <c r="G11" s="79">
        <f>'Sourced From Original'!G27/'Sourced From Original'!G102</f>
        <v>5.9542656112576954E-2</v>
      </c>
    </row>
    <row r="12" spans="2:19">
      <c r="B12" s="1" t="s">
        <v>165</v>
      </c>
      <c r="C12" s="78">
        <f>'Sourced From Original'!C17/'Sourced From Original'!C102</f>
        <v>0.2846027846027846</v>
      </c>
      <c r="D12" s="78">
        <f>'Sourced From Original'!D17/'Sourced From Original'!D102</f>
        <v>0.26628010704727922</v>
      </c>
      <c r="E12" s="78">
        <f>'Sourced From Original'!E17/'Sourced From Original'!E102</f>
        <v>0.27576861975516309</v>
      </c>
      <c r="F12" s="78">
        <f>'Sourced From Original'!F17/'Sourced From Original'!F102</f>
        <v>0.20524420644446495</v>
      </c>
      <c r="G12" s="79">
        <f>'Sourced From Original'!G17/'Sourced From Original'!G102</f>
        <v>8.8478452066842572E-2</v>
      </c>
    </row>
    <row r="13" spans="2:19">
      <c r="B13" s="1" t="s">
        <v>166</v>
      </c>
      <c r="C13" s="489" t="s">
        <v>160</v>
      </c>
      <c r="D13" s="489"/>
      <c r="E13" s="284">
        <f>AVERAGE(C11:E11)</f>
        <v>0.20980137826650877</v>
      </c>
      <c r="F13" s="284">
        <f t="shared" ref="F13" si="0">AVERAGE(D11:F11)</f>
        <v>0.18925226005789467</v>
      </c>
      <c r="G13" s="285">
        <f>AVERAGE(E11:G11)</f>
        <v>0.14305758789084105</v>
      </c>
    </row>
    <row r="14" spans="2:19">
      <c r="B14" s="1" t="s">
        <v>167</v>
      </c>
      <c r="C14" s="78">
        <f>C44/C42</f>
        <v>0.19197207678883071</v>
      </c>
      <c r="D14" s="78">
        <f t="shared" ref="D14:F14" si="1">D44/D42</f>
        <v>0.19043073842209185</v>
      </c>
      <c r="E14" s="78">
        <f t="shared" si="1"/>
        <v>0.20152685191296502</v>
      </c>
      <c r="F14" s="78">
        <f t="shared" si="1"/>
        <v>0.24900050980707827</v>
      </c>
      <c r="G14" s="79">
        <f>G44/G42</f>
        <v>0.33017090796999693</v>
      </c>
    </row>
    <row r="15" spans="2:19">
      <c r="B15" s="1" t="s">
        <v>168</v>
      </c>
      <c r="C15" s="78">
        <f>'Sourced From Original'!C113/'Sourced From Original'!C8</f>
        <v>5.6907669090410208E-2</v>
      </c>
      <c r="D15" s="78">
        <f>'Sourced From Original'!D113/'Sourced From Original'!D8</f>
        <v>6.1331584125942931E-2</v>
      </c>
      <c r="E15" s="78">
        <f>'Sourced From Original'!E113/'Sourced From Original'!E8</f>
        <v>5.711906336493007E-2</v>
      </c>
      <c r="F15" s="78">
        <f>'Sourced From Original'!F113/'Sourced From Original'!F8</f>
        <v>4.1388755040450406E-2</v>
      </c>
      <c r="G15" s="79">
        <f>'Sourced From Original'!G113/'Sourced From Original'!G8</f>
        <v>2.0736974300854596E-2</v>
      </c>
    </row>
    <row r="16" spans="2:19">
      <c r="B16" s="1" t="s">
        <v>26</v>
      </c>
      <c r="C16" s="62">
        <f>'Sourced From Original'!C76</f>
        <v>22566</v>
      </c>
      <c r="D16" s="62">
        <f>'Sourced From Original'!D76</f>
        <v>25468</v>
      </c>
      <c r="E16" s="62">
        <f>'Sourced From Original'!E76</f>
        <v>25945</v>
      </c>
      <c r="F16" s="62">
        <f>'Sourced From Original'!F76</f>
        <v>25790</v>
      </c>
      <c r="G16" s="64">
        <f>'Sourced From Original'!G76</f>
        <v>28605</v>
      </c>
    </row>
    <row r="17" spans="2:8">
      <c r="B17" s="1" t="s">
        <v>169</v>
      </c>
      <c r="C17" s="62">
        <f>'Sourced From Original'!C84</f>
        <v>8695</v>
      </c>
      <c r="D17" s="62">
        <f>'Sourced From Original'!D84</f>
        <v>9243</v>
      </c>
      <c r="E17" s="62">
        <f>'Sourced From Original'!E84</f>
        <v>10304</v>
      </c>
      <c r="F17" s="62">
        <f>'Sourced From Original'!F84</f>
        <v>8529</v>
      </c>
      <c r="G17" s="64">
        <f>'Sourced From Original'!G84</f>
        <v>9743</v>
      </c>
    </row>
    <row r="18" spans="2:8" ht="17" thickBot="1">
      <c r="B18" s="4" t="s">
        <v>170</v>
      </c>
      <c r="C18" s="65">
        <f>'Sourced From Original'!C8</f>
        <v>36445</v>
      </c>
      <c r="D18" s="65">
        <f>'Sourced From Original'!D8</f>
        <v>36588</v>
      </c>
      <c r="E18" s="65">
        <f>'Sourced From Original'!E8</f>
        <v>40827</v>
      </c>
      <c r="F18" s="65">
        <f>'Sourced From Original'!F8</f>
        <v>39431</v>
      </c>
      <c r="G18" s="66">
        <f>'Sourced From Original'!G8</f>
        <v>32647</v>
      </c>
    </row>
    <row r="19" spans="2:8" ht="17" thickBot="1">
      <c r="B19" s="16"/>
    </row>
    <row r="20" spans="2:8">
      <c r="B20" s="23" t="s">
        <v>171</v>
      </c>
      <c r="C20" s="11">
        <f>C10</f>
        <v>42735</v>
      </c>
      <c r="D20" s="11">
        <f>D10</f>
        <v>43100</v>
      </c>
      <c r="E20" s="11">
        <f>E10</f>
        <v>43465</v>
      </c>
      <c r="F20" s="11">
        <f>F10</f>
        <v>43830</v>
      </c>
      <c r="G20" s="12">
        <f>G10</f>
        <v>44196</v>
      </c>
      <c r="H20" s="18"/>
    </row>
    <row r="21" spans="2:8">
      <c r="B21" s="1" t="s">
        <v>102</v>
      </c>
      <c r="C21" s="286">
        <f>DATA!C19/'Sourced From Original'!C105</f>
        <v>1.6972563472563473</v>
      </c>
      <c r="D21" s="286">
        <f>DATA!D19/'Sourced From Original'!D105</f>
        <v>1.809800178412132</v>
      </c>
      <c r="E21" s="286">
        <f>DATA!E19/'Sourced From Original'!E105</f>
        <v>1.3888561816652651</v>
      </c>
      <c r="F21" s="286">
        <f>DATA!F19/'Sourced From Original'!F105</f>
        <v>1.5341630505031856</v>
      </c>
      <c r="G21" s="287">
        <f>DATA!G19/'Sourced From Original'!G105</f>
        <v>1.874300791556728</v>
      </c>
    </row>
    <row r="22" spans="2:8">
      <c r="B22" s="1" t="s">
        <v>172</v>
      </c>
      <c r="C22" s="286">
        <f>DATA!C19*'Sourced From Original'!C107/'Sourced From Original'!C8</f>
        <v>0.45489916312251338</v>
      </c>
      <c r="D22" s="286">
        <f>DATA!D19*'Sourced From Original'!D107/'Sourced From Original'!D8</f>
        <v>0.55449491636602166</v>
      </c>
      <c r="E22" s="286">
        <f>DATA!E19*'Sourced From Original'!E107/'Sourced From Original'!E8</f>
        <v>0.3640274818135058</v>
      </c>
      <c r="F22" s="286">
        <f>DATA!F19*'Sourced From Original'!F107/'Sourced From Original'!F8</f>
        <v>0.4214075220004565</v>
      </c>
      <c r="G22" s="287">
        <f>DATA!G19*'Sourced From Original'!G107/'Sourced From Original'!G8</f>
        <v>0.65276441939535024</v>
      </c>
    </row>
    <row r="23" spans="2:8">
      <c r="B23" s="1" t="s">
        <v>173</v>
      </c>
      <c r="C23" s="286">
        <f>DATA!C19/'Sourced From Original'!C40</f>
        <v>8.3622350674373784</v>
      </c>
      <c r="D23" s="286">
        <f>DATA!D19/'Sourced From Original'!D40</f>
        <v>9.7037671232876725</v>
      </c>
      <c r="E23" s="286">
        <f>DATA!E19/'Sourced From Original'!E40</f>
        <v>6.8038922155688626</v>
      </c>
      <c r="F23" s="286">
        <f>DATA!F19/'Sourced From Original'!F40</f>
        <v>9.7754010695187166</v>
      </c>
      <c r="G23" s="286">
        <f>DATA!G19/'Sourced From Original'!G40</f>
        <v>27.98418972332016</v>
      </c>
    </row>
    <row r="24" spans="2:8">
      <c r="B24" s="1" t="s">
        <v>108</v>
      </c>
      <c r="C24" s="288">
        <f>DATA!C19*'Sourced From Original'!C107/C47</f>
        <v>11.3631254283756</v>
      </c>
      <c r="D24" s="288">
        <f>DATA!D19*'Sourced From Original'!D107/D47</f>
        <v>13.791883072739633</v>
      </c>
      <c r="E24" s="288">
        <f>DATA!E19*'Sourced From Original'!E107/E47</f>
        <v>7.1867263056092847</v>
      </c>
      <c r="F24" s="288">
        <f>DATA!F19*'Sourced From Original'!F107/F47</f>
        <v>6.5964747915839617</v>
      </c>
      <c r="G24" s="289">
        <f>DATA!G19*'Sourced From Original'!G107/G47</f>
        <v>9.9909985935302394</v>
      </c>
    </row>
    <row r="25" spans="2:8">
      <c r="B25" s="1" t="s">
        <v>174</v>
      </c>
      <c r="C25" s="286">
        <f>DATA!C19*'Sourced From Original'!C107/'Sourced From Original'!C31</f>
        <v>4.321897810218978</v>
      </c>
      <c r="D25" s="286">
        <f>DATA!D19*'Sourced From Original'!D107/'Sourced From Original'!D31</f>
        <v>4.8663612377068839</v>
      </c>
      <c r="E25" s="286">
        <f>DATA!E19*'Sourced From Original'!E107/'Sourced From Original'!E31</f>
        <v>3.5143414518798775</v>
      </c>
      <c r="F25" s="286">
        <f>DATA!F19*'Sourced From Original'!F107/'Sourced From Original'!F31</f>
        <v>4.6570964125560543</v>
      </c>
      <c r="G25" s="287">
        <f>DATA!G19*'Sourced From Original'!G107/'Sourced From Original'!G31</f>
        <v>8.9843170320404724</v>
      </c>
    </row>
    <row r="26" spans="2:8">
      <c r="B26" s="2" t="s">
        <v>175</v>
      </c>
      <c r="C26" s="286">
        <f>'Sourced From Original'!C105</f>
        <v>25.57068062827225</v>
      </c>
      <c r="D26" s="286">
        <f>'Sourced From Original'!D105</f>
        <v>31.312849162011172</v>
      </c>
      <c r="E26" s="286">
        <f>'Sourced From Original'!E105</f>
        <v>32.724770642201833</v>
      </c>
      <c r="F26" s="286">
        <f>'Sourced From Original'!F105</f>
        <v>35.745874587458744</v>
      </c>
      <c r="G26" s="287">
        <f>'Sourced From Original'!G105</f>
        <v>37.774086378737543</v>
      </c>
    </row>
    <row r="27" spans="2:8">
      <c r="B27" s="3" t="s">
        <v>176</v>
      </c>
      <c r="C27" s="286">
        <f>'Sourced From Original'!C8/'Sourced From Original'!C107</f>
        <v>95.405759162303667</v>
      </c>
      <c r="D27" s="286">
        <f>'Sourced From Original'!D8/'Sourced From Original'!D107</f>
        <v>102.20111731843575</v>
      </c>
      <c r="E27" s="286">
        <f>'Sourced From Original'!E8/'Sourced From Original'!E107</f>
        <v>124.85321100917432</v>
      </c>
      <c r="F27" s="286">
        <f>'Sourced From Original'!F8/'Sourced From Original'!F107</f>
        <v>130.13531353135315</v>
      </c>
      <c r="G27" s="287">
        <f>'Sourced From Original'!G8/'Sourced From Original'!G107</f>
        <v>108.46179401993355</v>
      </c>
    </row>
    <row r="28" spans="2:8">
      <c r="B28" s="2" t="s">
        <v>177</v>
      </c>
      <c r="C28" s="286">
        <f>'Sourced From Original'!C17/'Sourced From Original'!C107</f>
        <v>7.2774869109947646</v>
      </c>
      <c r="D28" s="286">
        <f>'Sourced From Original'!D17/'Sourced From Original'!D107</f>
        <v>8.3379888268156428</v>
      </c>
      <c r="E28" s="286">
        <f>'Sourced From Original'!E17/'Sourced From Original'!E107</f>
        <v>9.0244648318042806</v>
      </c>
      <c r="F28" s="286">
        <f>'Sourced From Original'!F17/'Sourced From Original'!F107</f>
        <v>7.3366336633663369</v>
      </c>
      <c r="G28" s="287">
        <f>'Sourced From Original'!G17/'Sourced From Original'!G107</f>
        <v>3.3421926910299002</v>
      </c>
    </row>
    <row r="29" spans="2:8">
      <c r="B29" s="2" t="s">
        <v>178</v>
      </c>
      <c r="C29" s="286">
        <f>C47/'Sourced From Original'!C107</f>
        <v>3.8193717277486909</v>
      </c>
      <c r="D29" s="286">
        <f>D47/'Sourced From Original'!D107</f>
        <v>4.1089385474860336</v>
      </c>
      <c r="E29" s="286">
        <f>E47/'Sourced From Original'!E107</f>
        <v>6.3241590214067278</v>
      </c>
      <c r="F29" s="286">
        <f>F47/'Sourced From Original'!F107</f>
        <v>8.3135313531353141</v>
      </c>
      <c r="G29" s="287">
        <f>G47/'Sourced From Original'!G107</f>
        <v>7.0863787375415281</v>
      </c>
    </row>
    <row r="30" spans="2:8" ht="17" thickBot="1">
      <c r="B30" s="25" t="s">
        <v>179</v>
      </c>
      <c r="C30" s="290">
        <f>'Sourced From Original'!C31/'Sourced From Original'!C107</f>
        <v>10.041884816753926</v>
      </c>
      <c r="D30" s="290">
        <f>'Sourced From Original'!D31/'Sourced From Original'!D107</f>
        <v>11.645251396648044</v>
      </c>
      <c r="E30" s="290">
        <f>'Sourced From Original'!E31/'Sourced From Original'!E107</f>
        <v>12.932721712538227</v>
      </c>
      <c r="F30" s="290">
        <f>'Sourced From Original'!F31/'Sourced From Original'!F107</f>
        <v>11.775577557755776</v>
      </c>
      <c r="G30" s="291">
        <f>'Sourced From Original'!G31/'Sourced From Original'!G107</f>
        <v>7.8803986710963452</v>
      </c>
    </row>
    <row r="31" spans="2:8" ht="17" thickBot="1">
      <c r="B31" s="16"/>
      <c r="C31" s="16"/>
      <c r="D31" s="16"/>
      <c r="E31" s="16"/>
      <c r="F31" s="16"/>
    </row>
    <row r="32" spans="2:8">
      <c r="B32" s="23" t="s">
        <v>180</v>
      </c>
      <c r="C32" s="11">
        <f>C20</f>
        <v>42735</v>
      </c>
      <c r="D32" s="11">
        <f>D20</f>
        <v>43100</v>
      </c>
      <c r="E32" s="11">
        <f>E20</f>
        <v>43465</v>
      </c>
      <c r="F32" s="11">
        <f>F20</f>
        <v>43830</v>
      </c>
      <c r="G32" s="12">
        <f>G20</f>
        <v>44196</v>
      </c>
    </row>
    <row r="33" spans="2:9">
      <c r="B33" s="1" t="s">
        <v>181</v>
      </c>
      <c r="C33" s="14"/>
      <c r="D33" s="14"/>
      <c r="E33" s="14"/>
      <c r="F33" s="14"/>
      <c r="G33" s="79">
        <f>DATA!N4</f>
        <v>7.0999999999999994E-2</v>
      </c>
      <c r="I33" s="50"/>
    </row>
    <row r="34" spans="2:9">
      <c r="B34" s="1" t="s">
        <v>182</v>
      </c>
      <c r="C34" s="14"/>
      <c r="D34" s="489" t="s">
        <v>160</v>
      </c>
      <c r="E34" s="489"/>
      <c r="F34" s="14"/>
      <c r="G34" s="79">
        <f>DATA!N5</f>
        <v>1.5789999999999998E-2</v>
      </c>
      <c r="I34" s="38"/>
    </row>
    <row r="35" spans="2:9" ht="17" thickBot="1">
      <c r="B35" s="4" t="s">
        <v>183</v>
      </c>
      <c r="C35" s="26"/>
      <c r="D35" s="26"/>
      <c r="E35" s="26"/>
      <c r="F35" s="26"/>
      <c r="G35" s="292">
        <f>DATA!N3</f>
        <v>1.56</v>
      </c>
    </row>
    <row r="36" spans="2:9" ht="17" thickBot="1">
      <c r="B36" s="16"/>
      <c r="C36" s="16"/>
      <c r="D36" s="16"/>
      <c r="E36" s="16"/>
      <c r="F36" s="16"/>
    </row>
    <row r="37" spans="2:9">
      <c r="B37" s="23" t="s">
        <v>184</v>
      </c>
      <c r="C37" s="11">
        <f>C32</f>
        <v>42735</v>
      </c>
      <c r="D37" s="11">
        <f>D32</f>
        <v>43100</v>
      </c>
      <c r="E37" s="11">
        <f>E32</f>
        <v>43465</v>
      </c>
      <c r="F37" s="11">
        <f>F32</f>
        <v>43830</v>
      </c>
      <c r="G37" s="12">
        <f>G32</f>
        <v>44196</v>
      </c>
    </row>
    <row r="38" spans="2:9" ht="17" thickBot="1">
      <c r="B38" s="4" t="s">
        <v>185</v>
      </c>
      <c r="C38" s="87">
        <f>'Sourced From Original'!C49/'Sourced From Original'!C107</f>
        <v>1.0078534031413613</v>
      </c>
      <c r="D38" s="87">
        <f>'Sourced From Original'!D49/'Sourced From Original'!D107</f>
        <v>1.1368715083798884</v>
      </c>
      <c r="E38" s="87">
        <f>'Sourced From Original'!E49/'Sourced From Original'!E107</f>
        <v>1.4006116207951069</v>
      </c>
      <c r="F38" s="87">
        <f>'Sourced From Original'!F49/'Sourced From Original'!F107</f>
        <v>1.5313531353135315</v>
      </c>
      <c r="G38" s="88">
        <f>'Sourced From Original'!G49/'Sourced From Original'!G107</f>
        <v>1.6013289036544851</v>
      </c>
    </row>
    <row r="39" spans="2:9" ht="17" thickBot="1">
      <c r="B39" s="16"/>
      <c r="C39" s="16"/>
      <c r="D39" s="16"/>
      <c r="E39" s="16"/>
      <c r="F39" s="16"/>
    </row>
    <row r="40" spans="2:9">
      <c r="B40" s="23" t="s">
        <v>186</v>
      </c>
      <c r="C40" s="11">
        <f>C37</f>
        <v>42735</v>
      </c>
      <c r="D40" s="11">
        <f>D37</f>
        <v>43100</v>
      </c>
      <c r="E40" s="11">
        <f>E37</f>
        <v>43465</v>
      </c>
      <c r="F40" s="11">
        <f>F37</f>
        <v>43830</v>
      </c>
      <c r="G40" s="12">
        <f>G37</f>
        <v>44196</v>
      </c>
    </row>
    <row r="41" spans="2:9">
      <c r="B41" s="1" t="s">
        <v>175</v>
      </c>
      <c r="C41" s="293">
        <f>'Sourced From Original'!C105</f>
        <v>25.57068062827225</v>
      </c>
      <c r="D41" s="293">
        <f>'Sourced From Original'!D105</f>
        <v>31.312849162011172</v>
      </c>
      <c r="E41" s="293">
        <f>'Sourced From Original'!E105</f>
        <v>32.724770642201833</v>
      </c>
      <c r="F41" s="293">
        <f>'Sourced From Original'!F105</f>
        <v>35.745874587458744</v>
      </c>
      <c r="G41" s="294">
        <f>'Sourced From Original'!G105</f>
        <v>37.774086378737543</v>
      </c>
    </row>
    <row r="42" spans="2:9">
      <c r="B42" s="1" t="s">
        <v>187</v>
      </c>
      <c r="C42" s="293">
        <f>'Sourced From Original'!C52</f>
        <v>5.25</v>
      </c>
      <c r="D42" s="293">
        <f>'Sourced From Original'!D52</f>
        <v>5.97</v>
      </c>
      <c r="E42" s="293">
        <f>'Sourced From Original'!E52</f>
        <v>6.95</v>
      </c>
      <c r="F42" s="293">
        <f>'Sourced From Original'!F52</f>
        <v>6.15</v>
      </c>
      <c r="G42" s="294">
        <f>'Sourced From Original'!G52</f>
        <v>4.8499999999999996</v>
      </c>
    </row>
    <row r="43" spans="2:9">
      <c r="B43" s="1" t="s">
        <v>188</v>
      </c>
      <c r="C43" s="293">
        <f>'Sourced From Original'!C53</f>
        <v>5.22</v>
      </c>
      <c r="D43" s="293">
        <f>'Sourced From Original'!D53</f>
        <v>5.94</v>
      </c>
      <c r="E43" s="293">
        <f>'Sourced From Original'!E53</f>
        <v>6.91</v>
      </c>
      <c r="F43" s="293">
        <f>'Sourced From Original'!F53</f>
        <v>6.13</v>
      </c>
      <c r="G43" s="294">
        <f>'Sourced From Original'!G53</f>
        <v>4.84</v>
      </c>
    </row>
    <row r="44" spans="2:9" ht="17" thickBot="1">
      <c r="B44" s="4" t="s">
        <v>185</v>
      </c>
      <c r="C44" s="87">
        <f>'Sourced From Original'!C49/'Sourced From Original'!C107</f>
        <v>1.0078534031413613</v>
      </c>
      <c r="D44" s="87">
        <f>'Sourced From Original'!D49/'Sourced From Original'!D107</f>
        <v>1.1368715083798884</v>
      </c>
      <c r="E44" s="87">
        <f>'Sourced From Original'!E49/'Sourced From Original'!E107</f>
        <v>1.4006116207951069</v>
      </c>
      <c r="F44" s="87">
        <f>'Sourced From Original'!F49/'Sourced From Original'!F107</f>
        <v>1.5313531353135315</v>
      </c>
      <c r="G44" s="88">
        <f>'Sourced From Original'!G49/'Sourced From Original'!G107</f>
        <v>1.6013289036544851</v>
      </c>
    </row>
    <row r="45" spans="2:9" ht="17" thickBot="1">
      <c r="B45" s="16"/>
      <c r="C45" s="16"/>
      <c r="D45" s="16"/>
      <c r="E45" s="16"/>
      <c r="F45" s="16"/>
    </row>
    <row r="46" spans="2:9">
      <c r="B46" s="23" t="s">
        <v>189</v>
      </c>
      <c r="C46" s="11">
        <f>C40</f>
        <v>42735</v>
      </c>
      <c r="D46" s="11">
        <f>D40</f>
        <v>43100</v>
      </c>
      <c r="E46" s="11">
        <f>E40</f>
        <v>43465</v>
      </c>
      <c r="F46" s="11">
        <f>F40</f>
        <v>43830</v>
      </c>
      <c r="G46" s="12">
        <f>G40</f>
        <v>44196</v>
      </c>
    </row>
    <row r="47" spans="2:9">
      <c r="B47" s="1" t="s">
        <v>190</v>
      </c>
      <c r="C47" s="62">
        <f>'Sourced From Original'!C128+'Sourced From Original'!C131</f>
        <v>1459</v>
      </c>
      <c r="D47" s="62">
        <f>'Sourced From Original'!D128+'Sourced From Original'!D131</f>
        <v>1471</v>
      </c>
      <c r="E47" s="62">
        <f>'Sourced From Original'!E128+'Sourced From Original'!E131</f>
        <v>2068</v>
      </c>
      <c r="F47" s="62">
        <f>'Sourced From Original'!F128+'Sourced From Original'!F131</f>
        <v>2519</v>
      </c>
      <c r="G47" s="64">
        <f>'Sourced From Original'!G128+'Sourced From Original'!G131</f>
        <v>2133</v>
      </c>
      <c r="I47" s="43"/>
    </row>
    <row r="48" spans="2:9">
      <c r="B48" s="1" t="s">
        <v>85</v>
      </c>
      <c r="C48" s="13"/>
      <c r="D48" s="489" t="s">
        <v>160</v>
      </c>
      <c r="E48" s="489"/>
      <c r="F48" s="13"/>
      <c r="G48" s="79">
        <f>DATA!N15</f>
        <v>8.9531747530138345E-2</v>
      </c>
    </row>
    <row r="49" spans="2:19">
      <c r="B49" s="1" t="s">
        <v>191</v>
      </c>
      <c r="C49" s="61">
        <f>'Sourced From Original'!C60</f>
        <v>974</v>
      </c>
      <c r="D49" s="61">
        <f>'Sourced From Original'!D60</f>
        <v>726</v>
      </c>
      <c r="E49" s="61">
        <f>'Sourced From Original'!E60</f>
        <v>684</v>
      </c>
      <c r="F49" s="61">
        <f>'Sourced From Original'!F60</f>
        <v>1276</v>
      </c>
      <c r="G49" s="63">
        <f>'Sourced From Original'!G60</f>
        <v>3268</v>
      </c>
      <c r="I49" s="19"/>
      <c r="J49" s="19"/>
      <c r="K49" s="19"/>
      <c r="L49" s="27"/>
      <c r="M49" s="19"/>
    </row>
    <row r="50" spans="2:19">
      <c r="B50" s="1" t="s">
        <v>192</v>
      </c>
      <c r="C50" s="61">
        <f>SUM('Sourced From Original'!C60,'Sourced From Original'!C61,'Sourced From Original'!C63,'Sourced From Original'!C70,'Sourced From Original'!C71,'Sourced From Original'!C72,'Sourced From Original'!C73,'Sourced From Original'!C74)</f>
        <v>10171</v>
      </c>
      <c r="D50" s="61">
        <f>SUM('Sourced From Original'!D60,'Sourced From Original'!D61,'Sourced From Original'!D63,'Sourced From Original'!D70,'Sourced From Original'!D71,'Sourced From Original'!D72,'Sourced From Original'!D73,'Sourced From Original'!D74)</f>
        <v>10849</v>
      </c>
      <c r="E50" s="61">
        <f>SUM('Sourced From Original'!E60,'Sourced From Original'!E61,'Sourced From Original'!E63,'Sourced From Original'!E70,'Sourced From Original'!E71,'Sourced From Original'!E72,'Sourced From Original'!E73,'Sourced From Original'!E74)</f>
        <v>10519</v>
      </c>
      <c r="F50" s="61">
        <f>SUM('Sourced From Original'!F60,'Sourced From Original'!F61,'Sourced From Original'!F63,'Sourced From Original'!F70,'Sourced From Original'!F71,'Sourced From Original'!F72,'Sourced From Original'!F73,'Sourced From Original'!F74)</f>
        <v>10420</v>
      </c>
      <c r="G50" s="63">
        <f>SUM('Sourced From Original'!G60,'Sourced From Original'!G61,'Sourced From Original'!G63,'Sourced From Original'!G70,'Sourced From Original'!G71,'Sourced From Original'!G72,'Sourced From Original'!G73,'Sourced From Original'!G74)</f>
        <v>12921</v>
      </c>
      <c r="I50" s="19"/>
      <c r="J50" s="19"/>
      <c r="K50" s="19"/>
      <c r="L50" s="27"/>
      <c r="M50" s="19"/>
    </row>
    <row r="51" spans="2:19">
      <c r="B51" s="1" t="s">
        <v>193</v>
      </c>
      <c r="C51" s="62">
        <f>'Sourced From Original'!C87</f>
        <v>3156</v>
      </c>
      <c r="D51" s="62">
        <f>'Sourced From Original'!D87</f>
        <v>3562</v>
      </c>
      <c r="E51" s="62">
        <f>'Sourced From Original'!E87</f>
        <v>4383</v>
      </c>
      <c r="F51" s="62">
        <f>'Sourced From Original'!F87</f>
        <v>3168</v>
      </c>
      <c r="G51" s="64">
        <f>'Sourced From Original'!G87</f>
        <v>4102</v>
      </c>
      <c r="M51" s="19"/>
    </row>
    <row r="52" spans="2:19">
      <c r="B52" s="1" t="s">
        <v>194</v>
      </c>
      <c r="C52" s="62">
        <f>'Sourced From Original'!C89</f>
        <v>270</v>
      </c>
      <c r="D52" s="62">
        <f>'Sourced From Original'!D89</f>
        <v>292</v>
      </c>
      <c r="E52" s="62">
        <f>'Sourced From Original'!E89</f>
        <v>367</v>
      </c>
      <c r="F52" s="62">
        <f>'Sourced From Original'!F89</f>
        <v>1938</v>
      </c>
      <c r="G52" s="64">
        <f>'Sourced From Original'!G89</f>
        <v>1949</v>
      </c>
      <c r="I52" s="36"/>
      <c r="J52" s="39"/>
      <c r="L52" s="37"/>
      <c r="M52" s="40"/>
    </row>
    <row r="53" spans="2:19">
      <c r="B53" s="1" t="s">
        <v>195</v>
      </c>
      <c r="C53" s="62">
        <f>'Sourced From Original'!C90</f>
        <v>451</v>
      </c>
      <c r="D53" s="62">
        <f>'Sourced From Original'!D90</f>
        <v>502</v>
      </c>
      <c r="E53" s="62">
        <f>'Sourced From Original'!E90</f>
        <v>458</v>
      </c>
      <c r="F53" s="62">
        <f>'Sourced From Original'!F90</f>
        <v>300</v>
      </c>
      <c r="G53" s="64">
        <f>'Sourced From Original'!G90</f>
        <v>350</v>
      </c>
      <c r="I53" s="36"/>
      <c r="J53" s="39"/>
      <c r="K53" s="38"/>
      <c r="L53" s="37"/>
      <c r="M53" s="40"/>
      <c r="N53" s="41"/>
      <c r="O53" s="36"/>
      <c r="P53" s="36"/>
      <c r="Q53" s="36"/>
      <c r="R53" s="36"/>
      <c r="S53" s="36"/>
    </row>
    <row r="54" spans="2:19" ht="17" thickBot="1">
      <c r="B54" s="4" t="s">
        <v>196</v>
      </c>
      <c r="C54" s="65">
        <f>'Sourced From Original'!C107</f>
        <v>382</v>
      </c>
      <c r="D54" s="65">
        <f>'Sourced From Original'!D107</f>
        <v>358</v>
      </c>
      <c r="E54" s="65">
        <f>'Sourced From Original'!E107</f>
        <v>327</v>
      </c>
      <c r="F54" s="65">
        <f>'Sourced From Original'!F107</f>
        <v>303</v>
      </c>
      <c r="G54" s="66">
        <f>'Sourced From Original'!G107</f>
        <v>301</v>
      </c>
      <c r="M54" s="19"/>
    </row>
    <row r="55" spans="2:19" ht="17" thickBot="1">
      <c r="B55" s="16"/>
      <c r="C55" s="16"/>
      <c r="D55" s="16"/>
      <c r="E55" s="16"/>
      <c r="F55" s="16"/>
      <c r="L55" s="37"/>
    </row>
    <row r="56" spans="2:19">
      <c r="B56" s="23" t="s">
        <v>197</v>
      </c>
      <c r="C56" s="11">
        <f>C46</f>
        <v>42735</v>
      </c>
      <c r="D56" s="11">
        <f>D46</f>
        <v>43100</v>
      </c>
      <c r="E56" s="11">
        <f>E46</f>
        <v>43465</v>
      </c>
      <c r="F56" s="11">
        <f>F46</f>
        <v>43830</v>
      </c>
      <c r="G56" s="12">
        <f>G46</f>
        <v>44196</v>
      </c>
    </row>
    <row r="57" spans="2:19">
      <c r="B57" s="1" t="s">
        <v>198</v>
      </c>
      <c r="C57" s="62">
        <f>'Sourced From Original'!C17-'Sourced From Original'!C26</f>
        <v>2074</v>
      </c>
      <c r="D57" s="62">
        <f>'Sourced From Original'!D17-'Sourced From Original'!D26</f>
        <v>2221</v>
      </c>
      <c r="E57" s="62">
        <f>'Sourced From Original'!E17-'Sourced From Original'!E26</f>
        <v>2343</v>
      </c>
      <c r="F57" s="62">
        <f>'Sourced From Original'!F17-'Sourced From Original'!F26</f>
        <v>1632</v>
      </c>
      <c r="G57" s="64">
        <f>'Sourced From Original'!G17-'Sourced From Original'!G26</f>
        <v>677</v>
      </c>
    </row>
    <row r="58" spans="2:19">
      <c r="B58" s="1" t="s">
        <v>199</v>
      </c>
      <c r="C58" s="62">
        <f>'Sourced From Original'!C102+'Sourced From Original'!C87</f>
        <v>12924</v>
      </c>
      <c r="D58" s="62">
        <f>'Sourced From Original'!D102+'Sourced From Original'!D87</f>
        <v>14772</v>
      </c>
      <c r="E58" s="62">
        <f>'Sourced From Original'!E102+'Sourced From Original'!E87</f>
        <v>15084</v>
      </c>
      <c r="F58" s="62">
        <f>'Sourced From Original'!F102+'Sourced From Original'!F87</f>
        <v>13999</v>
      </c>
      <c r="G58" s="64">
        <f>'Sourced From Original'!G102+'Sourced From Original'!G87</f>
        <v>15472</v>
      </c>
    </row>
    <row r="59" spans="2:19">
      <c r="B59" s="1" t="s">
        <v>85</v>
      </c>
      <c r="C59" s="60">
        <f>C48</f>
        <v>0</v>
      </c>
      <c r="D59" s="489" t="s">
        <v>160</v>
      </c>
      <c r="E59" s="489"/>
      <c r="F59" s="60">
        <f t="shared" ref="F59" si="2">F48</f>
        <v>0</v>
      </c>
      <c r="G59" s="285">
        <f>DATA!N15</f>
        <v>8.9531747530138345E-2</v>
      </c>
    </row>
    <row r="60" spans="2:19">
      <c r="B60" s="1" t="s">
        <v>191</v>
      </c>
      <c r="C60" s="61">
        <f t="shared" ref="C60:C65" si="3">C49</f>
        <v>974</v>
      </c>
      <c r="D60" s="61">
        <f t="shared" ref="D60:G65" si="4">D49</f>
        <v>726</v>
      </c>
      <c r="E60" s="61">
        <f t="shared" si="4"/>
        <v>684</v>
      </c>
      <c r="F60" s="61">
        <f t="shared" si="4"/>
        <v>1276</v>
      </c>
      <c r="G60" s="63">
        <f t="shared" si="4"/>
        <v>3268</v>
      </c>
    </row>
    <row r="61" spans="2:19">
      <c r="B61" s="1" t="s">
        <v>192</v>
      </c>
      <c r="C61" s="61">
        <f t="shared" si="3"/>
        <v>10171</v>
      </c>
      <c r="D61" s="61">
        <f t="shared" si="4"/>
        <v>10849</v>
      </c>
      <c r="E61" s="61">
        <f t="shared" si="4"/>
        <v>10519</v>
      </c>
      <c r="F61" s="61">
        <f t="shared" si="4"/>
        <v>10420</v>
      </c>
      <c r="G61" s="63">
        <f t="shared" si="4"/>
        <v>12921</v>
      </c>
    </row>
    <row r="62" spans="2:19">
      <c r="B62" s="1" t="s">
        <v>193</v>
      </c>
      <c r="C62" s="62">
        <f t="shared" si="3"/>
        <v>3156</v>
      </c>
      <c r="D62" s="62">
        <f t="shared" si="4"/>
        <v>3562</v>
      </c>
      <c r="E62" s="62">
        <f t="shared" si="4"/>
        <v>4383</v>
      </c>
      <c r="F62" s="62">
        <f t="shared" si="4"/>
        <v>3168</v>
      </c>
      <c r="G62" s="64">
        <f t="shared" si="4"/>
        <v>4102</v>
      </c>
    </row>
    <row r="63" spans="2:19">
      <c r="B63" s="1" t="s">
        <v>194</v>
      </c>
      <c r="C63" s="62">
        <f t="shared" si="3"/>
        <v>270</v>
      </c>
      <c r="D63" s="62">
        <f t="shared" si="4"/>
        <v>292</v>
      </c>
      <c r="E63" s="62">
        <f t="shared" si="4"/>
        <v>367</v>
      </c>
      <c r="F63" s="62">
        <f t="shared" si="4"/>
        <v>1938</v>
      </c>
      <c r="G63" s="64">
        <f t="shared" si="4"/>
        <v>1949</v>
      </c>
    </row>
    <row r="64" spans="2:19">
      <c r="B64" s="1" t="s">
        <v>195</v>
      </c>
      <c r="C64" s="62">
        <f t="shared" si="3"/>
        <v>451</v>
      </c>
      <c r="D64" s="62">
        <f t="shared" si="4"/>
        <v>502</v>
      </c>
      <c r="E64" s="62">
        <f t="shared" si="4"/>
        <v>458</v>
      </c>
      <c r="F64" s="62">
        <f t="shared" si="4"/>
        <v>300</v>
      </c>
      <c r="G64" s="64">
        <f t="shared" si="4"/>
        <v>350</v>
      </c>
    </row>
    <row r="65" spans="2:7" ht="17" thickBot="1">
      <c r="B65" s="4" t="s">
        <v>196</v>
      </c>
      <c r="C65" s="65">
        <f t="shared" si="3"/>
        <v>382</v>
      </c>
      <c r="D65" s="65">
        <f t="shared" si="4"/>
        <v>358</v>
      </c>
      <c r="E65" s="65">
        <f t="shared" si="4"/>
        <v>327</v>
      </c>
      <c r="F65" s="65">
        <f t="shared" si="4"/>
        <v>303</v>
      </c>
      <c r="G65" s="66">
        <f t="shared" si="4"/>
        <v>301</v>
      </c>
    </row>
    <row r="66" spans="2:7" ht="17" thickBot="1">
      <c r="C66" s="21"/>
      <c r="D66" s="21"/>
      <c r="E66" s="21"/>
      <c r="F66" s="21"/>
      <c r="G66" s="21"/>
    </row>
    <row r="67" spans="2:7" ht="17" thickBot="1">
      <c r="B67" s="454" t="s">
        <v>311</v>
      </c>
      <c r="C67" s="455">
        <f>C58</f>
        <v>12924</v>
      </c>
      <c r="D67" s="455">
        <f>D58</f>
        <v>14772</v>
      </c>
      <c r="E67" s="455">
        <f>E58</f>
        <v>15084</v>
      </c>
      <c r="F67" s="455">
        <f>F58</f>
        <v>13999</v>
      </c>
      <c r="G67" s="456">
        <f>G58</f>
        <v>15472</v>
      </c>
    </row>
    <row r="68" spans="2:7">
      <c r="B68" s="457" t="s">
        <v>308</v>
      </c>
      <c r="C68" s="458">
        <f>'Sourced From Original'!C81+'Sourced From Original'!C82+'Sourced From Original'!C86+'Sourced From Original'!C102+'Sourced From Original'!C60</f>
        <v>13898</v>
      </c>
      <c r="D68" s="458">
        <f>'Sourced From Original'!D81+'Sourced From Original'!D82+'Sourced From Original'!D86+'Sourced From Original'!D102+'Sourced From Original'!D60</f>
        <v>15498</v>
      </c>
      <c r="E68" s="458">
        <f>'Sourced From Original'!E81+'Sourced From Original'!E82+'Sourced From Original'!E86+'Sourced From Original'!E102+'Sourced From Original'!E60</f>
        <v>15768</v>
      </c>
      <c r="F68" s="458">
        <f>'Sourced From Original'!F81+'Sourced From Original'!F82+'Sourced From Original'!F86+'Sourced From Original'!F102+'Sourced From Original'!F60</f>
        <v>15275</v>
      </c>
      <c r="G68" s="459">
        <f>'Sourced From Original'!G81+'Sourced From Original'!G82+'Sourced From Original'!G86+'Sourced From Original'!G102+'Sourced From Original'!G60</f>
        <v>18740</v>
      </c>
    </row>
    <row r="69" spans="2:7" ht="17" thickBot="1">
      <c r="B69" s="25" t="s">
        <v>309</v>
      </c>
      <c r="C69" s="460">
        <f>C57/C68</f>
        <v>0.1492301050510865</v>
      </c>
      <c r="D69" s="460">
        <f>D57/D68</f>
        <v>0.14330881404052137</v>
      </c>
      <c r="E69" s="460">
        <f>E57/E68</f>
        <v>0.14859208523592085</v>
      </c>
      <c r="F69" s="460">
        <f>F57/F68</f>
        <v>0.10684124386252046</v>
      </c>
      <c r="G69" s="461">
        <f>G57/G68</f>
        <v>3.6125933831376737E-2</v>
      </c>
    </row>
  </sheetData>
  <mergeCells count="5">
    <mergeCell ref="D34:E34"/>
    <mergeCell ref="D48:E48"/>
    <mergeCell ref="D59:E59"/>
    <mergeCell ref="C6:C7"/>
    <mergeCell ref="C13:D13"/>
  </mergeCells>
  <pageMargins left="0.75" right="0.75" top="1" bottom="1" header="0.5" footer="0.5"/>
  <pageSetup scale="64" orientation="portrait" verticalDpi="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7" tint="0.79998168889431442"/>
    <pageSetUpPr fitToPage="1"/>
  </sheetPr>
  <dimension ref="B1:O32"/>
  <sheetViews>
    <sheetView showGridLines="0" zoomScale="89" zoomScaleNormal="85" workbookViewId="0">
      <selection activeCell="J5" sqref="J5"/>
    </sheetView>
  </sheetViews>
  <sheetFormatPr baseColWidth="10" defaultColWidth="8.83203125" defaultRowHeight="16"/>
  <cols>
    <col min="1" max="1" width="2.5" style="15" customWidth="1"/>
    <col min="2" max="2" width="13.1640625" style="15" customWidth="1"/>
    <col min="3" max="3" width="14.5" style="15" customWidth="1"/>
    <col min="4" max="4" width="15.5" style="15" customWidth="1"/>
    <col min="5" max="5" width="12.83203125" style="15" customWidth="1"/>
    <col min="6" max="6" width="13.1640625" style="15" customWidth="1"/>
    <col min="7" max="7" width="14.1640625" style="15" customWidth="1"/>
    <col min="8" max="8" width="2.5" style="15" customWidth="1"/>
    <col min="9" max="9" width="15.83203125" style="15" bestFit="1" customWidth="1"/>
    <col min="10" max="14" width="11" style="15" bestFit="1" customWidth="1"/>
    <col min="15" max="16384" width="8.83203125" style="15"/>
  </cols>
  <sheetData>
    <row r="1" spans="2:15" ht="17" thickBot="1">
      <c r="I1" s="46" t="s">
        <v>96</v>
      </c>
      <c r="J1" s="100"/>
      <c r="K1" s="100"/>
      <c r="L1" s="100"/>
      <c r="M1" s="100"/>
      <c r="N1" s="100"/>
    </row>
    <row r="2" spans="2:15" ht="17" thickBot="1">
      <c r="B2" s="491" t="s">
        <v>200</v>
      </c>
      <c r="C2" s="492"/>
      <c r="D2" s="492"/>
      <c r="E2" s="492"/>
      <c r="F2" s="493"/>
      <c r="G2" s="494"/>
      <c r="I2" s="491" t="s">
        <v>92</v>
      </c>
      <c r="J2" s="492"/>
      <c r="K2" s="492"/>
      <c r="L2" s="492"/>
      <c r="M2" s="492"/>
      <c r="N2" s="496"/>
    </row>
    <row r="3" spans="2:15" ht="17" thickBot="1">
      <c r="B3" s="140" t="s">
        <v>94</v>
      </c>
      <c r="C3" s="313">
        <v>1</v>
      </c>
      <c r="D3" s="122">
        <v>2</v>
      </c>
      <c r="E3" s="122">
        <v>3</v>
      </c>
      <c r="F3" s="122">
        <v>4</v>
      </c>
      <c r="G3" s="314">
        <v>5</v>
      </c>
      <c r="I3" s="138" t="s">
        <v>94</v>
      </c>
      <c r="J3" s="313">
        <v>1</v>
      </c>
      <c r="K3" s="122">
        <v>2</v>
      </c>
      <c r="L3" s="122">
        <v>3</v>
      </c>
      <c r="M3" s="122">
        <v>4</v>
      </c>
      <c r="N3" s="314">
        <v>5</v>
      </c>
    </row>
    <row r="4" spans="2:15">
      <c r="B4" s="94" t="s">
        <v>170</v>
      </c>
      <c r="C4" s="310">
        <f>Overview!C18</f>
        <v>36445</v>
      </c>
      <c r="D4" s="311">
        <f>Overview!D18</f>
        <v>36588</v>
      </c>
      <c r="E4" s="311">
        <f>Overview!E18</f>
        <v>40827</v>
      </c>
      <c r="F4" s="311">
        <f>Overview!F18</f>
        <v>39431</v>
      </c>
      <c r="G4" s="312">
        <f>Overview!G18</f>
        <v>32647</v>
      </c>
      <c r="H4" s="74"/>
      <c r="I4" s="73" t="s">
        <v>170</v>
      </c>
      <c r="J4" s="318">
        <v>40000</v>
      </c>
      <c r="K4" s="311">
        <f>J4*(1+DATA!D8)</f>
        <v>42056.870931858692</v>
      </c>
      <c r="L4" s="311">
        <f>K4*(1+DATA!E8)</f>
        <v>43849.104111368724</v>
      </c>
      <c r="M4" s="311">
        <f>L4*(1+DATA!F8)</f>
        <v>45331.522076847534</v>
      </c>
      <c r="N4" s="311">
        <f>M4*(1+DATA!G8)</f>
        <v>46464.810128768717</v>
      </c>
    </row>
    <row r="5" spans="2:15">
      <c r="B5" s="95" t="s">
        <v>201</v>
      </c>
      <c r="C5" s="296">
        <f>Overview!C57</f>
        <v>2074</v>
      </c>
      <c r="D5" s="62">
        <f>Overview!D57</f>
        <v>2221</v>
      </c>
      <c r="E5" s="62">
        <f>Overview!E57</f>
        <v>2343</v>
      </c>
      <c r="F5" s="62">
        <f>Overview!F57</f>
        <v>1632</v>
      </c>
      <c r="G5" s="64">
        <f>Overview!G57</f>
        <v>677</v>
      </c>
      <c r="I5" s="75" t="s">
        <v>201</v>
      </c>
      <c r="J5" s="93">
        <f>J4*($I$14)</f>
        <v>1652.5839064635534</v>
      </c>
      <c r="K5" s="62">
        <f>K4*($I$14)</f>
        <v>1737.5627014551126</v>
      </c>
      <c r="L5" s="62">
        <f>L4*($I$14)</f>
        <v>1811.6080941823195</v>
      </c>
      <c r="M5" s="62">
        <f>M4*($I$14)</f>
        <v>1872.8535959923877</v>
      </c>
      <c r="N5" s="64">
        <f>N4*($I$14)</f>
        <v>1919.6749358921973</v>
      </c>
    </row>
    <row r="6" spans="2:15">
      <c r="B6" s="95" t="s">
        <v>202</v>
      </c>
      <c r="C6" s="296">
        <f>Overview!C58</f>
        <v>12924</v>
      </c>
      <c r="D6" s="62">
        <f>Overview!D58</f>
        <v>14772</v>
      </c>
      <c r="E6" s="62">
        <f>Overview!E58</f>
        <v>15084</v>
      </c>
      <c r="F6" s="62">
        <f>Overview!F58</f>
        <v>13999</v>
      </c>
      <c r="G6" s="64">
        <f>Overview!G58</f>
        <v>15472</v>
      </c>
      <c r="I6" s="75" t="s">
        <v>202</v>
      </c>
      <c r="J6" s="93">
        <f>J4*($I$15)</f>
        <v>16160.451614786769</v>
      </c>
      <c r="K6" s="62">
        <f>K4*($I$15)</f>
        <v>16991.450694090861</v>
      </c>
      <c r="L6" s="62">
        <f>L4*($I$15)</f>
        <v>17715.533133588044</v>
      </c>
      <c r="M6" s="62">
        <f>M4*($I$15)</f>
        <v>18314.446728688319</v>
      </c>
      <c r="N6" s="64">
        <f>N4*($I$15)</f>
        <v>18772.307896905524</v>
      </c>
    </row>
    <row r="7" spans="2:15">
      <c r="B7" s="95" t="s">
        <v>203</v>
      </c>
      <c r="C7" s="297">
        <f>Overview!C47</f>
        <v>1459</v>
      </c>
      <c r="D7" s="286">
        <f>Overview!D47</f>
        <v>1471</v>
      </c>
      <c r="E7" s="286">
        <f>Overview!E47</f>
        <v>2068</v>
      </c>
      <c r="F7" s="286">
        <f>Overview!F47</f>
        <v>2519</v>
      </c>
      <c r="G7" s="287">
        <f>Overview!G47</f>
        <v>2133</v>
      </c>
      <c r="I7" s="75" t="s">
        <v>203</v>
      </c>
      <c r="J7" s="93">
        <f>J4*($I$16)</f>
        <v>2278.9635091056302</v>
      </c>
      <c r="K7" s="62">
        <f>K4*($I$16)</f>
        <v>2396.1518540217817</v>
      </c>
      <c r="L7" s="62">
        <f>L4*($I$16)</f>
        <v>2498.2627044195747</v>
      </c>
      <c r="M7" s="62">
        <f>M4*($I$16)</f>
        <v>2582.7221156337951</v>
      </c>
      <c r="N7" s="64">
        <f>N4*($I$16)</f>
        <v>2647.2901685246397</v>
      </c>
    </row>
    <row r="8" spans="2:15">
      <c r="B8" s="95" t="s">
        <v>204</v>
      </c>
      <c r="C8" s="298">
        <f>Overview!C28</f>
        <v>7.2774869109947646</v>
      </c>
      <c r="D8" s="293">
        <f>Overview!D28</f>
        <v>8.3379888268156428</v>
      </c>
      <c r="E8" s="293">
        <f>Overview!E28</f>
        <v>9.0244648318042806</v>
      </c>
      <c r="F8" s="293">
        <f>Overview!F28</f>
        <v>7.3366336633663369</v>
      </c>
      <c r="G8" s="294">
        <f>Overview!G28</f>
        <v>3.3421926910299002</v>
      </c>
      <c r="I8" s="75" t="s">
        <v>204</v>
      </c>
      <c r="J8" s="83">
        <f>J4*($I$17)</f>
        <v>6.8658791824189018</v>
      </c>
      <c r="K8" s="84">
        <f>K4*($I$17)</f>
        <v>7.2189348652181806</v>
      </c>
      <c r="L8" s="84">
        <f>L4*($I$17)</f>
        <v>7.5265662771491399</v>
      </c>
      <c r="M8" s="84">
        <f>M4*($I$17)</f>
        <v>7.7810188433697585</v>
      </c>
      <c r="N8" s="85">
        <f>N4*($I$17)</f>
        <v>7.9755443144540017</v>
      </c>
    </row>
    <row r="9" spans="2:15">
      <c r="B9" s="96" t="s">
        <v>205</v>
      </c>
      <c r="C9" s="299">
        <f>Overview!C38</f>
        <v>1.0078534031413613</v>
      </c>
      <c r="D9" s="300">
        <f>Overview!D38</f>
        <v>1.1368715083798884</v>
      </c>
      <c r="E9" s="300">
        <f>Overview!E38</f>
        <v>1.4006116207951069</v>
      </c>
      <c r="F9" s="300">
        <f>Overview!F38</f>
        <v>1.5313531353135315</v>
      </c>
      <c r="G9" s="301">
        <f>Overview!G38</f>
        <v>1.6013289036544851</v>
      </c>
      <c r="I9" s="75" t="s">
        <v>205</v>
      </c>
      <c r="J9" s="83">
        <v>1.96</v>
      </c>
      <c r="K9" s="84">
        <v>2.2999999999999998</v>
      </c>
      <c r="L9" s="84">
        <v>2.59</v>
      </c>
      <c r="M9" s="84">
        <v>2.78</v>
      </c>
      <c r="N9" s="85">
        <v>2.85</v>
      </c>
      <c r="O9" s="15" t="s">
        <v>409</v>
      </c>
    </row>
    <row r="10" spans="2:15" ht="17" thickBot="1">
      <c r="B10" s="97" t="s">
        <v>206</v>
      </c>
      <c r="C10" s="302">
        <f>Overview!C26</f>
        <v>25.57068062827225</v>
      </c>
      <c r="D10" s="124">
        <f>Overview!D26</f>
        <v>31.312849162011172</v>
      </c>
      <c r="E10" s="124">
        <f>Overview!E26</f>
        <v>32.724770642201833</v>
      </c>
      <c r="F10" s="124">
        <f>Overview!F26</f>
        <v>35.745874587458744</v>
      </c>
      <c r="G10" s="303">
        <f>Overview!G26</f>
        <v>37.774086378737543</v>
      </c>
      <c r="I10" s="76" t="s">
        <v>206</v>
      </c>
      <c r="J10" s="86">
        <f>Overview!G26+J8-J9</f>
        <v>42.679965561156443</v>
      </c>
      <c r="K10" s="87">
        <f>J10+K8-K9</f>
        <v>47.598900426374627</v>
      </c>
      <c r="L10" s="87">
        <f>K10+L8-L9</f>
        <v>52.535466703523767</v>
      </c>
      <c r="M10" s="87">
        <f>L10+M8-M9</f>
        <v>57.536485546893523</v>
      </c>
      <c r="N10" s="88">
        <f>M10+N8-N9</f>
        <v>62.662029861347527</v>
      </c>
    </row>
    <row r="11" spans="2:15" ht="17" thickBot="1">
      <c r="J11" s="74"/>
    </row>
    <row r="12" spans="2:15" ht="17" thickBot="1">
      <c r="B12" s="495" t="s">
        <v>207</v>
      </c>
      <c r="C12" s="492"/>
      <c r="D12" s="492"/>
      <c r="E12" s="492"/>
      <c r="F12" s="493"/>
      <c r="G12" s="494"/>
    </row>
    <row r="13" spans="2:15" ht="17" thickBot="1">
      <c r="B13" s="140" t="str">
        <f>B3</f>
        <v>Year</v>
      </c>
      <c r="C13" s="313">
        <v>1</v>
      </c>
      <c r="D13" s="122">
        <v>2</v>
      </c>
      <c r="E13" s="122">
        <v>3</v>
      </c>
      <c r="F13" s="122">
        <v>4</v>
      </c>
      <c r="G13" s="314">
        <v>5</v>
      </c>
      <c r="I13" s="67" t="s">
        <v>208</v>
      </c>
    </row>
    <row r="14" spans="2:15">
      <c r="B14" s="73" t="str">
        <f>B5</f>
        <v>NOPAT</v>
      </c>
      <c r="C14" s="315">
        <f t="shared" ref="C14:G17" si="0">C5/C$4</f>
        <v>5.6907669090410208E-2</v>
      </c>
      <c r="D14" s="316">
        <f t="shared" si="0"/>
        <v>6.0702962720017489E-2</v>
      </c>
      <c r="E14" s="316">
        <f t="shared" si="0"/>
        <v>5.738849290910427E-2</v>
      </c>
      <c r="F14" s="316">
        <f t="shared" si="0"/>
        <v>4.1388755040450406E-2</v>
      </c>
      <c r="G14" s="317">
        <f t="shared" si="0"/>
        <v>2.0736974300854596E-2</v>
      </c>
      <c r="I14" s="321">
        <f>((C14*$C$13)+(D14*$D$13)+(E14*$E$13)+(F14*$F$13)+(G14*$G$13))/SUM($C$13:$G$13)</f>
        <v>4.1314597661588834E-2</v>
      </c>
    </row>
    <row r="15" spans="2:15">
      <c r="B15" s="75" t="str">
        <f>B6</f>
        <v>Capital</v>
      </c>
      <c r="C15" s="77">
        <f>C6/C$4</f>
        <v>0.35461654547948962</v>
      </c>
      <c r="D15" s="78">
        <f t="shared" si="0"/>
        <v>0.40373893079698264</v>
      </c>
      <c r="E15" s="78">
        <f t="shared" si="0"/>
        <v>0.36946138584760085</v>
      </c>
      <c r="F15" s="78">
        <f t="shared" si="0"/>
        <v>0.35502523395298113</v>
      </c>
      <c r="G15" s="79">
        <f t="shared" si="0"/>
        <v>0.47391797102337119</v>
      </c>
      <c r="I15" s="319">
        <f>((C15*$C$13)+(D15*$D$13)+(E15*$E$13)+(F15*$F$13)+(G15*$G$13))/SUM($C$13:$G$13)</f>
        <v>0.40401129036966921</v>
      </c>
    </row>
    <row r="16" spans="2:15">
      <c r="B16" s="75" t="str">
        <f>B7</f>
        <v>FCF</v>
      </c>
      <c r="C16" s="77">
        <f>C7/C$4</f>
        <v>4.0032926327342573E-2</v>
      </c>
      <c r="D16" s="78">
        <f t="shared" si="0"/>
        <v>4.0204438613753141E-2</v>
      </c>
      <c r="E16" s="78">
        <f t="shared" si="0"/>
        <v>5.065275430474931E-2</v>
      </c>
      <c r="F16" s="78">
        <f t="shared" si="0"/>
        <v>6.3883746290989321E-2</v>
      </c>
      <c r="G16" s="79">
        <f t="shared" si="0"/>
        <v>6.5335252856311449E-2</v>
      </c>
      <c r="I16" s="319">
        <f>((C16*$C$13)+(D16*$D$13)+(E16*$E$13)+(F16*$F$13)+(G16*$G$13))/SUM($C$13:$G$13)</f>
        <v>5.697408772764076E-2</v>
      </c>
    </row>
    <row r="17" spans="2:10">
      <c r="B17" s="75" t="s">
        <v>204</v>
      </c>
      <c r="C17" s="77">
        <f t="shared" si="0"/>
        <v>1.9968409688557456E-4</v>
      </c>
      <c r="D17" s="78">
        <f t="shared" si="0"/>
        <v>2.2788861995232432E-4</v>
      </c>
      <c r="E17" s="78">
        <f t="shared" si="0"/>
        <v>2.2104158600446471E-4</v>
      </c>
      <c r="F17" s="78">
        <f t="shared" si="0"/>
        <v>1.8606258181041153E-4</v>
      </c>
      <c r="G17" s="79">
        <f t="shared" si="0"/>
        <v>1.0237365427236501E-4</v>
      </c>
      <c r="I17" s="319">
        <f>((C17*$C$13)+(D17*$D$13)+(E17*$E$13)+(F17*$F$13)+(G17*$G$13))/SUM($C$13:$G$13)</f>
        <v>1.7164697956047255E-4</v>
      </c>
    </row>
    <row r="18" spans="2:10" ht="17" thickBot="1">
      <c r="B18" s="76" t="s">
        <v>205</v>
      </c>
      <c r="C18" s="80">
        <f>C9/C$8</f>
        <v>0.13848920863309352</v>
      </c>
      <c r="D18" s="81">
        <f>D9/D$8</f>
        <v>0.13634840871021775</v>
      </c>
      <c r="E18" s="81">
        <f>E9/E$8</f>
        <v>0.15520162656726533</v>
      </c>
      <c r="F18" s="81">
        <f>F9/F$8</f>
        <v>0.20872694556905083</v>
      </c>
      <c r="G18" s="82">
        <f>G9/G$8</f>
        <v>0.47912524850894633</v>
      </c>
      <c r="I18" s="320">
        <f>AVERAGE(C18:G18)</f>
        <v>0.22357828759771473</v>
      </c>
    </row>
    <row r="20" spans="2:10" ht="17" thickBot="1">
      <c r="B20" s="503" t="s">
        <v>209</v>
      </c>
      <c r="C20" s="504"/>
      <c r="D20" s="504"/>
      <c r="E20" s="504"/>
      <c r="F20" s="504"/>
      <c r="G20" s="504"/>
      <c r="H20" s="504"/>
      <c r="I20" s="504"/>
      <c r="J20" s="504"/>
    </row>
    <row r="21" spans="2:10">
      <c r="B21" s="322" t="s">
        <v>210</v>
      </c>
      <c r="C21" s="323"/>
      <c r="D21" s="324">
        <f>(Overview!G13)*(1-(Overview!G14))</f>
        <v>9.582413420492443E-2</v>
      </c>
      <c r="E21" s="323" t="s">
        <v>274</v>
      </c>
      <c r="F21" s="323"/>
      <c r="G21" s="325" t="s">
        <v>277</v>
      </c>
      <c r="H21" s="326" t="str">
        <f>Overview!B13</f>
        <v>3 Year Average ROE %</v>
      </c>
      <c r="I21" s="326"/>
      <c r="J21" s="327"/>
    </row>
    <row r="22" spans="2:10">
      <c r="B22" s="5"/>
      <c r="C22" s="6"/>
      <c r="D22" s="6"/>
      <c r="E22" s="6"/>
      <c r="F22" s="6"/>
      <c r="G22" s="6"/>
      <c r="H22" s="6"/>
      <c r="I22" s="6"/>
      <c r="J22" s="7"/>
    </row>
    <row r="23" spans="2:10">
      <c r="B23" s="497" t="s">
        <v>211</v>
      </c>
      <c r="C23" s="498" t="s">
        <v>212</v>
      </c>
      <c r="D23" s="498"/>
      <c r="E23" s="500" t="s">
        <v>213</v>
      </c>
      <c r="F23" s="501">
        <f>((Overview!G15)*(1-(Overview!G14))*Overview!G18)/((Overview!G16-Overview!G17-((Overview!G15)*(1-(Overview!G14))*Overview!G18)))</f>
        <v>2.4633927918988042E-2</v>
      </c>
      <c r="G23" s="6" t="s">
        <v>275</v>
      </c>
      <c r="H23" s="6"/>
      <c r="I23" s="6"/>
      <c r="J23" s="7"/>
    </row>
    <row r="24" spans="2:10">
      <c r="B24" s="497"/>
      <c r="C24" s="499" t="s">
        <v>214</v>
      </c>
      <c r="D24" s="499"/>
      <c r="E24" s="500"/>
      <c r="F24" s="502"/>
      <c r="G24" s="6" t="s">
        <v>276</v>
      </c>
      <c r="H24" s="6"/>
      <c r="I24" s="6"/>
      <c r="J24" s="7"/>
    </row>
    <row r="25" spans="2:10">
      <c r="B25" s="5"/>
      <c r="C25" s="6"/>
      <c r="D25" s="6"/>
      <c r="E25" s="6"/>
      <c r="F25" s="6"/>
      <c r="G25" s="6"/>
      <c r="H25" s="6"/>
      <c r="I25" s="6"/>
      <c r="J25" s="7"/>
    </row>
    <row r="26" spans="2:10">
      <c r="B26" s="5" t="s">
        <v>215</v>
      </c>
      <c r="C26" s="6" t="s">
        <v>216</v>
      </c>
      <c r="D26" s="6"/>
      <c r="E26" s="6"/>
      <c r="F26" s="6"/>
      <c r="G26" s="6"/>
      <c r="H26" s="6"/>
      <c r="I26" s="6"/>
      <c r="J26" s="7"/>
    </row>
    <row r="27" spans="2:10">
      <c r="B27" s="5" t="s">
        <v>217</v>
      </c>
      <c r="C27" s="6" t="s">
        <v>218</v>
      </c>
      <c r="D27" s="6"/>
      <c r="E27" s="6"/>
      <c r="F27" s="295">
        <f>AVERAGE(F23,D21)</f>
        <v>6.0229031061956234E-2</v>
      </c>
      <c r="G27" s="6" t="s">
        <v>278</v>
      </c>
      <c r="H27" s="6"/>
      <c r="I27" s="6"/>
      <c r="J27" s="7"/>
    </row>
    <row r="28" spans="2:10">
      <c r="B28" s="5" t="s">
        <v>219</v>
      </c>
      <c r="C28" s="6" t="s">
        <v>220</v>
      </c>
      <c r="D28" s="6"/>
      <c r="E28" s="6"/>
      <c r="F28" s="6"/>
      <c r="G28" s="6"/>
      <c r="H28" s="6"/>
      <c r="I28" s="6"/>
      <c r="J28" s="7"/>
    </row>
    <row r="29" spans="2:10">
      <c r="B29" s="5" t="s">
        <v>221</v>
      </c>
      <c r="C29" s="6" t="s">
        <v>222</v>
      </c>
      <c r="D29" s="6"/>
      <c r="E29" s="6"/>
      <c r="F29" s="6"/>
      <c r="G29" s="6"/>
      <c r="H29" s="6"/>
      <c r="I29" s="6"/>
      <c r="J29" s="7"/>
    </row>
    <row r="30" spans="2:10" ht="17" thickBot="1">
      <c r="B30" s="8" t="s">
        <v>223</v>
      </c>
      <c r="C30" s="9" t="s">
        <v>224</v>
      </c>
      <c r="D30" s="9"/>
      <c r="E30" s="9"/>
      <c r="F30" s="9"/>
      <c r="G30" s="9"/>
      <c r="H30" s="9"/>
      <c r="I30" s="9"/>
      <c r="J30" s="10"/>
    </row>
    <row r="31" spans="2:10" ht="17" thickBot="1"/>
    <row r="32" spans="2:10" ht="17" thickBot="1">
      <c r="B32" s="330"/>
      <c r="C32" s="328"/>
      <c r="D32" s="328"/>
      <c r="E32" s="329" t="s">
        <v>288</v>
      </c>
      <c r="F32" s="328"/>
      <c r="G32" s="328"/>
      <c r="H32" s="328" t="s">
        <v>213</v>
      </c>
      <c r="I32" s="331">
        <f>DATA!N5+DATA!N3*(DATA!N4-DATA!N5)</f>
        <v>0.1019176</v>
      </c>
      <c r="J32" s="332"/>
    </row>
  </sheetData>
  <mergeCells count="9">
    <mergeCell ref="B2:G2"/>
    <mergeCell ref="B12:G12"/>
    <mergeCell ref="I2:N2"/>
    <mergeCell ref="B23:B24"/>
    <mergeCell ref="C23:D23"/>
    <mergeCell ref="C24:D24"/>
    <mergeCell ref="E23:E24"/>
    <mergeCell ref="F23:F24"/>
    <mergeCell ref="B20:J20"/>
  </mergeCells>
  <pageMargins left="0.7" right="0.7" top="0.75" bottom="0.75" header="0.3" footer="0.3"/>
  <pageSetup scale="85" fitToHeight="0" orientation="portrait" verticalDpi="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">
    <tabColor theme="9" tint="0.59999389629810485"/>
    <pageSetUpPr fitToPage="1"/>
  </sheetPr>
  <dimension ref="B2:G13"/>
  <sheetViews>
    <sheetView showGridLines="0" zoomScale="85" zoomScaleNormal="85" workbookViewId="0">
      <selection activeCell="K29" sqref="K29"/>
    </sheetView>
  </sheetViews>
  <sheetFormatPr baseColWidth="10" defaultColWidth="8.83203125" defaultRowHeight="16"/>
  <cols>
    <col min="1" max="1" width="2.5" style="15" customWidth="1"/>
    <col min="2" max="2" width="35.6640625" style="15" bestFit="1" customWidth="1"/>
    <col min="3" max="3" width="15.1640625" style="15" customWidth="1"/>
    <col min="4" max="4" width="8.83203125" style="15"/>
    <col min="5" max="5" width="12.83203125" style="15" customWidth="1"/>
    <col min="6" max="6" width="10.1640625" style="15" bestFit="1" customWidth="1"/>
    <col min="7" max="16384" width="8.83203125" style="15"/>
  </cols>
  <sheetData>
    <row r="2" spans="2:7">
      <c r="B2" s="422" t="s">
        <v>225</v>
      </c>
    </row>
    <row r="3" spans="2:7" ht="17" thickBot="1"/>
    <row r="4" spans="2:7" ht="18" thickBot="1">
      <c r="B4" s="423"/>
      <c r="C4" s="424" t="s">
        <v>306</v>
      </c>
    </row>
    <row r="5" spans="2:7">
      <c r="B5" s="415" t="s">
        <v>102</v>
      </c>
      <c r="C5" s="427">
        <f>DATA!$C$4*DATA!I11/DATA!K11</f>
        <v>116.65743873815263</v>
      </c>
      <c r="E5" s="334" t="s">
        <v>295</v>
      </c>
      <c r="F5" s="430">
        <f>MAX(C5:C9)</f>
        <v>148.43319997487751</v>
      </c>
      <c r="G5" s="55"/>
    </row>
    <row r="6" spans="2:7">
      <c r="B6" s="425" t="s">
        <v>104</v>
      </c>
      <c r="C6" s="427">
        <f>DATA!$C$4*DATA!I12/DATA!K12</f>
        <v>148.43319997487751</v>
      </c>
      <c r="E6" s="259" t="s">
        <v>299</v>
      </c>
      <c r="F6" s="429">
        <f>_xlfn.QUARTILE.INC($C$5:$C$9,3)</f>
        <v>116.65743873815263</v>
      </c>
      <c r="G6" s="432" t="s">
        <v>291</v>
      </c>
    </row>
    <row r="7" spans="2:7">
      <c r="B7" s="425" t="s">
        <v>106</v>
      </c>
      <c r="C7" s="427">
        <f>DATA!$C$4*DATA!I13/DATA!K13</f>
        <v>105.57573939078367</v>
      </c>
      <c r="E7" s="259" t="s">
        <v>305</v>
      </c>
      <c r="F7" s="429">
        <f>MEDIAN(C5:C9)</f>
        <v>105.57573939078367</v>
      </c>
      <c r="G7" s="433" t="s">
        <v>292</v>
      </c>
    </row>
    <row r="8" spans="2:7">
      <c r="B8" s="425" t="s">
        <v>108</v>
      </c>
      <c r="C8" s="427">
        <f>DATA!$C$4*DATA!I14/DATA!K14</f>
        <v>86.412280701754383</v>
      </c>
      <c r="E8" s="259" t="s">
        <v>300</v>
      </c>
      <c r="F8" s="429">
        <f>_xlfn.QUARTILE.INC($C$5:$C$9,1)</f>
        <v>86.412280701754383</v>
      </c>
      <c r="G8" s="432" t="s">
        <v>293</v>
      </c>
    </row>
    <row r="9" spans="2:7" ht="17" thickBot="1">
      <c r="B9" s="417" t="s">
        <v>110</v>
      </c>
      <c r="C9" s="428">
        <f>DATA!$C$4*DATA!I15/DATA!K15</f>
        <v>86.255034618554461</v>
      </c>
      <c r="E9" s="368" t="s">
        <v>294</v>
      </c>
      <c r="F9" s="431">
        <f>MIN(C5:C9)</f>
        <v>86.255034618554461</v>
      </c>
      <c r="G9" s="56"/>
    </row>
    <row r="10" spans="2:7">
      <c r="C10" s="426"/>
    </row>
    <row r="13" spans="2:7">
      <c r="C13" s="17"/>
    </row>
  </sheetData>
  <pageMargins left="0.7" right="0.7" top="0.75" bottom="0.75" header="0.3" footer="0.3"/>
  <pageSetup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9" tint="0.59999389629810485"/>
    <pageSetUpPr fitToPage="1"/>
  </sheetPr>
  <dimension ref="B2:W18"/>
  <sheetViews>
    <sheetView showGridLines="0" zoomScaleNormal="100" workbookViewId="0">
      <selection activeCell="P25" sqref="P25"/>
    </sheetView>
  </sheetViews>
  <sheetFormatPr baseColWidth="10" defaultColWidth="8.83203125" defaultRowHeight="16"/>
  <cols>
    <col min="1" max="1" width="2.5" style="15" customWidth="1"/>
    <col min="2" max="2" width="17.1640625" style="15" bestFit="1" customWidth="1"/>
    <col min="3" max="3" width="13.6640625" style="15" bestFit="1" customWidth="1"/>
    <col min="4" max="4" width="9.33203125" style="15" bestFit="1" customWidth="1"/>
    <col min="5" max="5" width="8.33203125" style="15" bestFit="1" customWidth="1"/>
    <col min="6" max="6" width="8" style="15" bestFit="1" customWidth="1"/>
    <col min="7" max="7" width="9.5" style="15" customWidth="1"/>
    <col min="8" max="8" width="7.1640625" style="15" bestFit="1" customWidth="1"/>
    <col min="9" max="9" width="8.1640625" style="15" bestFit="1" customWidth="1"/>
    <col min="10" max="10" width="6.5" style="15" bestFit="1" customWidth="1"/>
    <col min="11" max="11" width="3.1640625" style="15" bestFit="1" customWidth="1"/>
    <col min="12" max="12" width="7.5" style="15" bestFit="1" customWidth="1"/>
    <col min="13" max="19" width="6.5" style="15" bestFit="1" customWidth="1"/>
    <col min="20" max="20" width="8.83203125" style="15"/>
    <col min="21" max="21" width="11.1640625" style="15" customWidth="1"/>
    <col min="22" max="22" width="6.83203125" style="15" bestFit="1" customWidth="1"/>
    <col min="23" max="23" width="7.1640625" style="15" bestFit="1" customWidth="1"/>
    <col min="24" max="16384" width="8.83203125" style="15"/>
  </cols>
  <sheetData>
    <row r="2" spans="2:23">
      <c r="B2" s="29" t="s">
        <v>184</v>
      </c>
    </row>
    <row r="3" spans="2:23" ht="17" thickBot="1">
      <c r="P3" s="347">
        <f>DATA!C23</f>
        <v>1E-3</v>
      </c>
    </row>
    <row r="4" spans="2:23" ht="17" thickBot="1">
      <c r="B4" s="401" t="str">
        <f>Forecast!I3</f>
        <v>Year</v>
      </c>
      <c r="C4" s="345">
        <v>0</v>
      </c>
      <c r="D4" s="139">
        <f>Forecast!J3</f>
        <v>1</v>
      </c>
      <c r="E4" s="139">
        <f>Forecast!K3</f>
        <v>2</v>
      </c>
      <c r="F4" s="139">
        <f>Forecast!L3</f>
        <v>3</v>
      </c>
      <c r="G4" s="139">
        <f>Forecast!M3</f>
        <v>4</v>
      </c>
      <c r="H4" s="141">
        <f>Forecast!N3</f>
        <v>5</v>
      </c>
      <c r="O4" s="505" t="s">
        <v>290</v>
      </c>
      <c r="P4" s="505"/>
      <c r="Q4" s="505"/>
      <c r="U4" s="15" t="s">
        <v>259</v>
      </c>
    </row>
    <row r="5" spans="2:23">
      <c r="B5" s="402" t="s">
        <v>226</v>
      </c>
      <c r="C5" s="434"/>
      <c r="D5" s="437">
        <f>Forecast!I18</f>
        <v>0.22357828759771473</v>
      </c>
      <c r="E5" s="436">
        <f>D5-($D$5-$H$5)/4</f>
        <v>0.17393371569828603</v>
      </c>
      <c r="F5" s="436">
        <f t="shared" ref="F5:G5" si="0">E5-($D$5-$H$5)/4</f>
        <v>0.12428914379885735</v>
      </c>
      <c r="G5" s="436">
        <f t="shared" si="0"/>
        <v>7.4644571899428663E-2</v>
      </c>
      <c r="H5" s="438">
        <f>DATA!G8</f>
        <v>2.5000000000000001E-2</v>
      </c>
      <c r="L5" s="359">
        <f>C14</f>
        <v>33.973205606182184</v>
      </c>
      <c r="M5" s="347">
        <f t="shared" ref="M5:N5" si="1">N5-$P$3</f>
        <v>2.1999999999999999E-2</v>
      </c>
      <c r="N5" s="347">
        <f t="shared" si="1"/>
        <v>2.3E-2</v>
      </c>
      <c r="O5" s="347">
        <f>P5-$P$3</f>
        <v>2.4E-2</v>
      </c>
      <c r="P5" s="347">
        <f>DATA!C27</f>
        <v>2.5000000000000001E-2</v>
      </c>
      <c r="Q5" s="347">
        <f>P5+$P$3</f>
        <v>2.6000000000000002E-2</v>
      </c>
      <c r="R5" s="347">
        <f t="shared" ref="R5:S5" si="2">Q5+$P$3</f>
        <v>2.7000000000000003E-2</v>
      </c>
      <c r="S5" s="347">
        <f t="shared" si="2"/>
        <v>2.8000000000000004E-2</v>
      </c>
      <c r="T5" s="358"/>
      <c r="U5" s="359">
        <f>DATA!C4</f>
        <v>98.51</v>
      </c>
    </row>
    <row r="6" spans="2:23" ht="17" thickBot="1">
      <c r="B6" s="403" t="str">
        <f>Forecast!I9</f>
        <v>DVD</v>
      </c>
      <c r="C6" s="404">
        <f>'Sourced From Original'!G49/DATA!G4</f>
        <v>1.6013289036544851</v>
      </c>
      <c r="D6" s="405">
        <f>DDM!C6*(1+DDM!D5)</f>
        <v>1.959351277814281</v>
      </c>
      <c r="E6" s="405">
        <f>DDM!D6*(1+DDM!E5)</f>
        <v>2.3001485259227037</v>
      </c>
      <c r="F6" s="405">
        <f>DDM!E6*(1+DDM!F5)</f>
        <v>2.5860320168198405</v>
      </c>
      <c r="G6" s="405">
        <f>DDM!F6*(1+DDM!G5)</f>
        <v>2.7790652696335734</v>
      </c>
      <c r="H6" s="435">
        <f>DDM!G6*(1+DDM!H5)</f>
        <v>2.8485419013744124</v>
      </c>
      <c r="I6" s="357"/>
      <c r="L6" s="347">
        <f>L7-$J$9</f>
        <v>9.8917599999999994E-2</v>
      </c>
      <c r="M6" s="360">
        <f t="dataTable" ref="M6:S12" dt2D="1" dtr="1" r1="H5" r2="D7"/>
        <v>34.026151634665652</v>
      </c>
      <c r="N6" s="361">
        <v>34.461506286355871</v>
      </c>
      <c r="O6" s="361">
        <v>34.908468091913946</v>
      </c>
      <c r="P6" s="361">
        <v>35.367508132075358</v>
      </c>
      <c r="Q6" s="361">
        <v>35.8391233293884</v>
      </c>
      <c r="R6" s="361">
        <v>36.32383824483987</v>
      </c>
      <c r="S6" s="362">
        <v>36.822207026486282</v>
      </c>
    </row>
    <row r="7" spans="2:23" ht="17" thickBot="1">
      <c r="B7" s="406" t="s">
        <v>227</v>
      </c>
      <c r="C7" s="407"/>
      <c r="D7" s="408">
        <f>Forecast!I32</f>
        <v>0.1019176</v>
      </c>
      <c r="E7" s="409"/>
      <c r="F7" s="409"/>
      <c r="G7" s="409"/>
      <c r="H7" s="410"/>
      <c r="L7" s="347">
        <f>L8-$J$9</f>
        <v>9.9917599999999995E-2</v>
      </c>
      <c r="M7" s="365">
        <v>33.584485342142955</v>
      </c>
      <c r="N7" s="366">
        <v>34.008460701077887</v>
      </c>
      <c r="O7" s="366">
        <v>34.443590564008112</v>
      </c>
      <c r="P7" s="366">
        <v>34.890321597782389</v>
      </c>
      <c r="Q7" s="366">
        <v>35.349124640318635</v>
      </c>
      <c r="R7" s="366">
        <v>35.820496358026716</v>
      </c>
      <c r="S7" s="367">
        <v>36.304961041509593</v>
      </c>
    </row>
    <row r="8" spans="2:23" ht="17" thickBot="1">
      <c r="B8" s="411"/>
      <c r="D8" s="412"/>
      <c r="L8" s="347">
        <f>L9-$J$9</f>
        <v>0.1009176</v>
      </c>
      <c r="M8" s="365">
        <v>33.154023318031932</v>
      </c>
      <c r="N8" s="366">
        <v>33.567055215200767</v>
      </c>
      <c r="O8" s="366">
        <v>33.990812068586052</v>
      </c>
      <c r="P8" s="366">
        <v>34.425717687232371</v>
      </c>
      <c r="Q8" s="366">
        <v>34.872218508194344</v>
      </c>
      <c r="R8" s="366">
        <v>35.330785127159899</v>
      </c>
      <c r="S8" s="367">
        <v>35.801913955021789</v>
      </c>
      <c r="U8" s="15" t="s">
        <v>291</v>
      </c>
      <c r="V8" s="421">
        <f>S6</f>
        <v>36.822207026486282</v>
      </c>
      <c r="W8" s="364">
        <f>V8/$U$5-1</f>
        <v>-0.62620843542293891</v>
      </c>
    </row>
    <row r="9" spans="2:23" ht="17" thickBot="1">
      <c r="B9" s="413" t="s">
        <v>228</v>
      </c>
      <c r="C9" s="54"/>
      <c r="D9" s="363"/>
      <c r="E9" s="363"/>
      <c r="F9" s="363"/>
      <c r="G9" s="363">
        <f>H6/(D7-H9)</f>
        <v>37.033681515991262</v>
      </c>
      <c r="H9" s="391">
        <f>(H6/G6)-1</f>
        <v>2.4999999999999911E-2</v>
      </c>
      <c r="J9" s="347">
        <f>DATA!C21</f>
        <v>1E-3</v>
      </c>
      <c r="K9" s="15" t="s">
        <v>242</v>
      </c>
      <c r="L9" s="347">
        <f>DATA!C25</f>
        <v>0.1019176</v>
      </c>
      <c r="M9" s="365">
        <v>32.734344932986644</v>
      </c>
      <c r="N9" s="366">
        <v>33.136847301734917</v>
      </c>
      <c r="O9" s="366">
        <v>33.549666729461158</v>
      </c>
      <c r="P9" s="370">
        <v>33.973205606182184</v>
      </c>
      <c r="Q9" s="366">
        <v>34.407887523323872</v>
      </c>
      <c r="R9" s="366">
        <v>34.854158688702398</v>
      </c>
      <c r="S9" s="367">
        <v>35.312489456362812</v>
      </c>
      <c r="U9" s="15" t="s">
        <v>292</v>
      </c>
      <c r="V9" s="421">
        <f>P9</f>
        <v>33.973205606182184</v>
      </c>
      <c r="W9" s="364">
        <f t="shared" ref="W9:W10" si="3">V9/$U$5-1</f>
        <v>-0.65512937157464024</v>
      </c>
    </row>
    <row r="10" spans="2:23">
      <c r="B10" s="402" t="s">
        <v>229</v>
      </c>
      <c r="C10" s="17"/>
      <c r="D10" s="276">
        <f>PV($D$7,D4,0,-D6,0)</f>
        <v>1.7781286711586066</v>
      </c>
      <c r="E10" s="276">
        <f>PV($D$7,E4,0,-E6,0)</f>
        <v>1.8943387399592122</v>
      </c>
      <c r="F10" s="276">
        <f>PV($D$7,F4,0,-F6,0)</f>
        <v>1.9327983145143965</v>
      </c>
      <c r="G10" s="276">
        <f>PV($D$7,G4,0,-(G6+G9),0)</f>
        <v>27.003848498513459</v>
      </c>
      <c r="H10" s="31"/>
      <c r="L10" s="347">
        <f>L9+$J$9</f>
        <v>0.1029176</v>
      </c>
      <c r="M10" s="365">
        <v>32.325050350783805</v>
      </c>
      <c r="N10" s="366">
        <v>32.717416583005836</v>
      </c>
      <c r="O10" s="366">
        <v>33.119712283897286</v>
      </c>
      <c r="P10" s="366">
        <v>33.532319756095561</v>
      </c>
      <c r="Q10" s="366">
        <v>33.955641183391101</v>
      </c>
      <c r="R10" s="366">
        <v>34.390099940116933</v>
      </c>
      <c r="S10" s="367">
        <v>34.836142005406003</v>
      </c>
      <c r="U10" s="15" t="s">
        <v>293</v>
      </c>
      <c r="V10" s="421">
        <f>M12</f>
        <v>31.536109692566399</v>
      </c>
      <c r="W10" s="364">
        <f t="shared" si="3"/>
        <v>-0.67986895043582996</v>
      </c>
    </row>
    <row r="11" spans="2:23" ht="17" thickBot="1">
      <c r="B11" s="414"/>
      <c r="C11" s="35"/>
      <c r="D11" s="35"/>
      <c r="E11" s="369">
        <f>PV($D$7,D4,0,-E6,0)</f>
        <v>2.0874051979228789</v>
      </c>
      <c r="F11" s="369">
        <f>PV($D$7,E4,0,-F6,0)</f>
        <v>2.1297844800137491</v>
      </c>
      <c r="G11" s="369">
        <f>PV($D$7,F4,0,-(G6+G9),0)</f>
        <v>29.756015928245553</v>
      </c>
      <c r="H11" s="56"/>
      <c r="L11" s="347">
        <f>L10+$J$9</f>
        <v>0.1039176</v>
      </c>
      <c r="M11" s="365">
        <v>31.925759259173468</v>
      </c>
      <c r="N11" s="366">
        <v>32.308363462019464</v>
      </c>
      <c r="O11" s="366">
        <v>32.700528605245722</v>
      </c>
      <c r="P11" s="366">
        <v>33.102618137812428</v>
      </c>
      <c r="Q11" s="366">
        <v>33.515014166798949</v>
      </c>
      <c r="R11" s="366">
        <v>33.938118670267244</v>
      </c>
      <c r="S11" s="367">
        <v>34.372354805983001</v>
      </c>
      <c r="V11" s="420"/>
    </row>
    <row r="12" spans="2:23" ht="17" thickBot="1">
      <c r="D12" s="347"/>
      <c r="E12" s="359"/>
      <c r="F12" s="359"/>
      <c r="G12" s="359"/>
      <c r="L12" s="347">
        <f>L11+$J$9</f>
        <v>0.1049176</v>
      </c>
      <c r="M12" s="373">
        <v>31.536109692566399</v>
      </c>
      <c r="N12" s="374">
        <v>31.909307854072129</v>
      </c>
      <c r="O12" s="374">
        <v>32.291716335127745</v>
      </c>
      <c r="P12" s="374">
        <v>32.683680875066209</v>
      </c>
      <c r="Q12" s="374">
        <v>33.085564737288053</v>
      </c>
      <c r="R12" s="374">
        <v>33.497749833786422</v>
      </c>
      <c r="S12" s="375">
        <v>33.920637937392527</v>
      </c>
    </row>
    <row r="13" spans="2:23">
      <c r="B13" s="415" t="s">
        <v>230</v>
      </c>
      <c r="C13" s="416">
        <f>SUM(D10:G10)</f>
        <v>32.609114224145678</v>
      </c>
      <c r="D13" s="357"/>
      <c r="E13" s="357"/>
      <c r="F13" s="357"/>
      <c r="G13" s="357"/>
      <c r="H13" s="357"/>
      <c r="L13" s="347"/>
    </row>
    <row r="14" spans="2:23" ht="17" thickBot="1">
      <c r="B14" s="417" t="s">
        <v>231</v>
      </c>
      <c r="C14" s="418">
        <f>SUM(E11:G11)</f>
        <v>33.973205606182184</v>
      </c>
      <c r="D14" s="357"/>
    </row>
    <row r="15" spans="2:23" ht="17" thickBot="1"/>
    <row r="16" spans="2:23" ht="17" thickBot="1">
      <c r="B16" s="393" t="s">
        <v>232</v>
      </c>
      <c r="C16" s="419"/>
    </row>
    <row r="17" spans="2:3">
      <c r="B17" s="259" t="s">
        <v>233</v>
      </c>
      <c r="C17" s="31">
        <f>D6/(D7-Forecast!D21)</f>
        <v>321.54956533894557</v>
      </c>
    </row>
    <row r="18" spans="2:3" ht="17" thickBot="1">
      <c r="B18" s="368" t="s">
        <v>234</v>
      </c>
      <c r="C18" s="56">
        <f>D6/(D7-Forecast!F23)</f>
        <v>25.352719727918821</v>
      </c>
    </row>
  </sheetData>
  <mergeCells count="1">
    <mergeCell ref="O4:Q4"/>
  </mergeCells>
  <conditionalFormatting sqref="M6:S12 U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theme="9" tint="0.59999389629810485"/>
    <pageSetUpPr fitToPage="1"/>
  </sheetPr>
  <dimension ref="B2:W23"/>
  <sheetViews>
    <sheetView showGridLines="0" zoomScale="83" workbookViewId="0">
      <selection activeCell="Z26" sqref="Z26"/>
    </sheetView>
  </sheetViews>
  <sheetFormatPr baseColWidth="10" defaultColWidth="8.83203125" defaultRowHeight="16"/>
  <cols>
    <col min="1" max="1" width="2.5" style="15" customWidth="1"/>
    <col min="2" max="2" width="8.6640625" style="15" customWidth="1"/>
    <col min="3" max="3" width="35.1640625" style="15" bestFit="1" customWidth="1"/>
    <col min="4" max="4" width="11" style="15" bestFit="1" customWidth="1"/>
    <col min="5" max="7" width="12.1640625" style="15" bestFit="1" customWidth="1"/>
    <col min="8" max="8" width="11" style="15" bestFit="1" customWidth="1"/>
    <col min="9" max="9" width="8.83203125" style="15"/>
    <col min="10" max="10" width="6.5" style="15" bestFit="1" customWidth="1"/>
    <col min="11" max="11" width="7.33203125" style="15" bestFit="1" customWidth="1"/>
    <col min="12" max="12" width="9.33203125" style="15" bestFit="1" customWidth="1"/>
    <col min="13" max="19" width="6.83203125" style="15" bestFit="1" customWidth="1"/>
    <col min="20" max="20" width="8.83203125" style="15"/>
    <col min="21" max="21" width="12.5" style="15" customWidth="1"/>
    <col min="22" max="22" width="9.33203125" style="15" bestFit="1" customWidth="1"/>
    <col min="23" max="23" width="6.5" style="15" bestFit="1" customWidth="1"/>
    <col min="24" max="16384" width="8.83203125" style="15"/>
  </cols>
  <sheetData>
    <row r="2" spans="2:23">
      <c r="B2" s="29" t="s">
        <v>203</v>
      </c>
    </row>
    <row r="3" spans="2:23" ht="17" thickBot="1"/>
    <row r="4" spans="2:23" ht="17" thickBot="1">
      <c r="B4" s="45" t="str">
        <f>Forecast!I3</f>
        <v>Year</v>
      </c>
      <c r="C4" s="139">
        <v>0</v>
      </c>
      <c r="D4" s="139">
        <f>Forecast!J3</f>
        <v>1</v>
      </c>
      <c r="E4" s="139">
        <f>Forecast!K3</f>
        <v>2</v>
      </c>
      <c r="F4" s="139">
        <f>Forecast!L3</f>
        <v>3</v>
      </c>
      <c r="G4" s="139">
        <f>Forecast!M3</f>
        <v>4</v>
      </c>
      <c r="H4" s="141">
        <f>Forecast!N3</f>
        <v>5</v>
      </c>
    </row>
    <row r="5" spans="2:23">
      <c r="B5" s="352" t="s">
        <v>271</v>
      </c>
      <c r="C5" s="19"/>
      <c r="D5" s="353">
        <f>DATA!C8</f>
        <v>6.0229031061956234E-2</v>
      </c>
      <c r="E5" s="353">
        <f>DATA!D8</f>
        <v>5.1421773296467174E-2</v>
      </c>
      <c r="F5" s="353">
        <f>DATA!E8</f>
        <v>4.2614515530978114E-2</v>
      </c>
      <c r="G5" s="353">
        <f>DATA!F8</f>
        <v>3.3807257765489054E-2</v>
      </c>
      <c r="H5" s="354">
        <f>DATA!G8</f>
        <v>2.5000000000000001E-2</v>
      </c>
      <c r="P5" s="347">
        <f>DATA!C23</f>
        <v>1E-3</v>
      </c>
    </row>
    <row r="6" spans="2:23">
      <c r="B6" s="355" t="str">
        <f>Forecast!I7</f>
        <v>FCF</v>
      </c>
      <c r="C6" s="34">
        <f>Overview!G47</f>
        <v>2133</v>
      </c>
      <c r="D6" s="34">
        <f>IF(D5=DATA!C8,Forecast!J7,FCFM!C6*(1+FCFM!D5))</f>
        <v>2278.9635091056302</v>
      </c>
      <c r="E6" s="34">
        <f>IF(E5=DATA!D8,Forecast!K7,FCFM!D6*(1+FCFM!E5))</f>
        <v>2396.1518540217817</v>
      </c>
      <c r="F6" s="34">
        <f>IF(F5=DATA!E8,Forecast!L7,FCFM!E6*(1+FCFM!F5))</f>
        <v>2498.2627044195747</v>
      </c>
      <c r="G6" s="34">
        <f>IF(G5=DATA!F8,Forecast!M7,FCFM!F6*(1+FCFM!G5))</f>
        <v>2582.7221156337951</v>
      </c>
      <c r="H6" s="134">
        <f>IF(H5=DATA!G8,Forecast!N7,FCFM!G6*(1+FCFM!H5))</f>
        <v>2647.2901685246397</v>
      </c>
      <c r="O6" s="505" t="s">
        <v>290</v>
      </c>
      <c r="P6" s="505"/>
      <c r="Q6" s="505"/>
      <c r="U6" s="15" t="s">
        <v>410</v>
      </c>
    </row>
    <row r="7" spans="2:23" ht="17" thickBot="1">
      <c r="B7" s="57" t="s">
        <v>272</v>
      </c>
      <c r="C7" s="35"/>
      <c r="D7" s="356">
        <f>Overview!G59</f>
        <v>8.9531747530138345E-2</v>
      </c>
      <c r="E7" s="35"/>
      <c r="F7" s="35"/>
      <c r="G7" s="35"/>
      <c r="H7" s="56"/>
      <c r="L7" s="357">
        <f>F22</f>
        <v>167.62756355198823</v>
      </c>
      <c r="M7" s="347">
        <f t="shared" ref="M7:N7" si="0">N7-$P$5</f>
        <v>2.1999999999999999E-2</v>
      </c>
      <c r="N7" s="347">
        <f t="shared" si="0"/>
        <v>2.3E-2</v>
      </c>
      <c r="O7" s="347">
        <f>P7-$P$5</f>
        <v>2.4E-2</v>
      </c>
      <c r="P7" s="347">
        <f>DATA!C27</f>
        <v>2.5000000000000001E-2</v>
      </c>
      <c r="Q7" s="347">
        <f>P7+$P$5</f>
        <v>2.6000000000000002E-2</v>
      </c>
      <c r="R7" s="347">
        <f t="shared" ref="R7:S7" si="1">Q7+$P$5</f>
        <v>2.7000000000000003E-2</v>
      </c>
      <c r="S7" s="347">
        <f t="shared" si="1"/>
        <v>2.8000000000000004E-2</v>
      </c>
      <c r="T7" s="358"/>
      <c r="U7" s="359">
        <f>DATA!$C$4</f>
        <v>98.51</v>
      </c>
    </row>
    <row r="8" spans="2:23" ht="17" thickBot="1">
      <c r="B8" s="48"/>
      <c r="C8" s="17"/>
      <c r="D8" s="268"/>
      <c r="E8" s="17"/>
      <c r="F8" s="17"/>
      <c r="G8" s="17"/>
      <c r="H8" s="31"/>
      <c r="L8" s="347">
        <f t="shared" ref="L8:L9" si="2">L9-$J$11</f>
        <v>8.6531747530138342E-2</v>
      </c>
      <c r="M8" s="360">
        <f t="dataTable" ref="M8:S14" dt2D="1" dtr="1" r1="H5" r2="D7"/>
        <v>168.30579321000835</v>
      </c>
      <c r="N8" s="361">
        <v>170.07860290163521</v>
      </c>
      <c r="O8" s="361">
        <v>171.90811370147188</v>
      </c>
      <c r="P8" s="361">
        <v>173.79709009015571</v>
      </c>
      <c r="Q8" s="361">
        <v>175.74847922804173</v>
      </c>
      <c r="R8" s="361">
        <v>177.76542629825272</v>
      </c>
      <c r="S8" s="362">
        <v>179.85129142252231</v>
      </c>
    </row>
    <row r="9" spans="2:23">
      <c r="B9" s="52" t="s">
        <v>273</v>
      </c>
      <c r="C9" s="54"/>
      <c r="D9" s="54"/>
      <c r="E9" s="54"/>
      <c r="F9" s="54"/>
      <c r="G9" s="363">
        <f>H6/(D7-H5)</f>
        <v>41023.066472642357</v>
      </c>
      <c r="H9" s="55"/>
      <c r="I9" s="364"/>
      <c r="L9" s="347">
        <f t="shared" si="2"/>
        <v>8.7531747530138343E-2</v>
      </c>
      <c r="M9" s="365">
        <v>166.36355407457722</v>
      </c>
      <c r="N9" s="366">
        <v>168.07909910708383</v>
      </c>
      <c r="O9" s="366">
        <v>169.84865005314393</v>
      </c>
      <c r="P9" s="366">
        <v>171.67479788049883</v>
      </c>
      <c r="Q9" s="366">
        <v>173.56030198816941</v>
      </c>
      <c r="R9" s="366">
        <v>175.50810411909563</v>
      </c>
      <c r="S9" s="367">
        <v>177.52134367498374</v>
      </c>
    </row>
    <row r="10" spans="2:23" ht="17" thickBot="1">
      <c r="B10" s="259" t="s">
        <v>229</v>
      </c>
      <c r="C10" s="17"/>
      <c r="D10" s="276">
        <f>PV($D$7,D4,0,-D6,0)</f>
        <v>2091.6907784209293</v>
      </c>
      <c r="E10" s="276">
        <f>PV($D$7,E4,0,-E6,0)</f>
        <v>2018.5269795218765</v>
      </c>
      <c r="F10" s="276">
        <f>PV($D$7,F4,0,-F6,0)</f>
        <v>1931.6055118276342</v>
      </c>
      <c r="G10" s="276">
        <f>PV($D$7,G4,0,(-(G6+G9)),0)</f>
        <v>30944.579585956701</v>
      </c>
      <c r="H10" s="31"/>
      <c r="L10" s="347">
        <f>L11-$J$11</f>
        <v>8.8531747530138344E-2</v>
      </c>
      <c r="M10" s="365">
        <v>164.47971042591098</v>
      </c>
      <c r="N10" s="366">
        <v>166.14062886150387</v>
      </c>
      <c r="O10" s="366">
        <v>167.85302330694185</v>
      </c>
      <c r="P10" s="366">
        <v>169.61932448443142</v>
      </c>
      <c r="Q10" s="366">
        <v>171.44211860341886</v>
      </c>
      <c r="R10" s="366">
        <v>173.32415999530701</v>
      </c>
      <c r="S10" s="367">
        <v>175.26838500054455</v>
      </c>
      <c r="U10" s="15" t="s">
        <v>291</v>
      </c>
      <c r="V10" s="420">
        <f>S8</f>
        <v>179.85129142252231</v>
      </c>
      <c r="W10" s="364">
        <f>V10/$U$7-1</f>
        <v>0.82571608387495998</v>
      </c>
    </row>
    <row r="11" spans="2:23" ht="17" thickBot="1">
      <c r="B11" s="368"/>
      <c r="C11" s="35"/>
      <c r="D11" s="35"/>
      <c r="E11" s="369">
        <f>PV($D$7,D4,0,-E6,0)</f>
        <v>2199.2492274352016</v>
      </c>
      <c r="F11" s="369">
        <f>PV($D$7,E4,0,-F6,0)</f>
        <v>2104.5455288404096</v>
      </c>
      <c r="G11" s="369">
        <f>PV($D$7,F4,0,(-(G6+G9)),0)</f>
        <v>33715.101872872845</v>
      </c>
      <c r="H11" s="56"/>
      <c r="J11" s="347">
        <f>DATA!C22</f>
        <v>1E-3</v>
      </c>
      <c r="K11" s="15" t="s">
        <v>85</v>
      </c>
      <c r="L11" s="347">
        <f>DATA!C26</f>
        <v>8.9531747530138345E-2</v>
      </c>
      <c r="M11" s="365">
        <v>162.6516680959065</v>
      </c>
      <c r="N11" s="366">
        <v>164.26044005430009</v>
      </c>
      <c r="O11" s="366">
        <v>165.91831102253326</v>
      </c>
      <c r="P11" s="370">
        <v>167.62756355198823</v>
      </c>
      <c r="Q11" s="366">
        <v>169.39062390496144</v>
      </c>
      <c r="R11" s="366">
        <v>171.2100735457</v>
      </c>
      <c r="S11" s="367">
        <v>173.08866175193592</v>
      </c>
      <c r="U11" s="15" t="s">
        <v>292</v>
      </c>
      <c r="V11" s="420">
        <f>P11</f>
        <v>167.62756355198823</v>
      </c>
      <c r="W11" s="364">
        <f t="shared" ref="W11:W12" si="3">V11/$U$7-1</f>
        <v>0.70162992134796687</v>
      </c>
    </row>
    <row r="12" spans="2:23">
      <c r="B12" s="259"/>
      <c r="C12" s="17"/>
      <c r="D12" s="17"/>
      <c r="E12" s="276"/>
      <c r="F12" s="276"/>
      <c r="G12" s="276"/>
      <c r="H12" s="31"/>
      <c r="L12" s="347">
        <f>L11+$J$11</f>
        <v>9.0531747530138346E-2</v>
      </c>
      <c r="M12" s="365">
        <v>160.87698433069454</v>
      </c>
      <c r="N12" s="366">
        <v>162.43594358637503</v>
      </c>
      <c r="O12" s="366">
        <v>164.04176646171246</v>
      </c>
      <c r="P12" s="366">
        <v>165.69659834217671</v>
      </c>
      <c r="Q12" s="366">
        <v>167.40271759494374</v>
      </c>
      <c r="R12" s="366">
        <v>169.16254603466356</v>
      </c>
      <c r="S12" s="367">
        <v>170.97866039343188</v>
      </c>
      <c r="U12" s="15" t="s">
        <v>293</v>
      </c>
      <c r="V12" s="420">
        <f>M14</f>
        <v>157.47861414775045</v>
      </c>
      <c r="W12" s="364">
        <f t="shared" si="3"/>
        <v>0.59860536136179521</v>
      </c>
    </row>
    <row r="13" spans="2:23" ht="17" thickBot="1">
      <c r="B13" s="259"/>
      <c r="C13" s="17" t="s">
        <v>236</v>
      </c>
      <c r="D13" s="17"/>
      <c r="E13" s="506">
        <f>SUM(D10:G10)</f>
        <v>36986.402855727138</v>
      </c>
      <c r="F13" s="276">
        <f>SUM(E11:G11)</f>
        <v>38018.896629148454</v>
      </c>
      <c r="G13" s="17"/>
      <c r="H13" s="31"/>
      <c r="L13" s="347">
        <f t="shared" ref="L13:L14" si="4">L12+$J$11</f>
        <v>9.1531747530138347E-2</v>
      </c>
      <c r="M13" s="365">
        <v>159.15335690250271</v>
      </c>
      <c r="N13" s="366">
        <v>160.66470147699087</v>
      </c>
      <c r="O13" s="366">
        <v>162.22080557954587</v>
      </c>
      <c r="P13" s="366">
        <v>163.82368747346581</v>
      </c>
      <c r="Q13" s="366">
        <v>165.47548861505825</v>
      </c>
      <c r="R13" s="366">
        <v>167.17848319878775</v>
      </c>
      <c r="S13" s="367">
        <v>168.93508860387615</v>
      </c>
    </row>
    <row r="14" spans="2:23">
      <c r="B14" s="371" t="s">
        <v>237</v>
      </c>
      <c r="C14" s="17" t="str">
        <f>Overview!B49</f>
        <v>Short-Term Investments</v>
      </c>
      <c r="D14" s="17"/>
      <c r="E14" s="34">
        <f>Overview!G49</f>
        <v>3268</v>
      </c>
      <c r="F14" s="372">
        <f>E14</f>
        <v>3268</v>
      </c>
      <c r="G14" s="17"/>
      <c r="H14" s="31"/>
      <c r="L14" s="347">
        <f t="shared" si="4"/>
        <v>9.2531747530138347E-2</v>
      </c>
      <c r="M14" s="373">
        <v>157.47861414775045</v>
      </c>
      <c r="N14" s="374">
        <v>158.94441599690796</v>
      </c>
      <c r="O14" s="374">
        <v>160.45299515445132</v>
      </c>
      <c r="P14" s="374">
        <v>162.00625194030178</v>
      </c>
      <c r="Q14" s="374">
        <v>163.60620092479471</v>
      </c>
      <c r="R14" s="374">
        <v>165.25497964585932</v>
      </c>
      <c r="S14" s="375">
        <v>166.95485813670149</v>
      </c>
    </row>
    <row r="15" spans="2:23">
      <c r="B15" s="371" t="s">
        <v>237</v>
      </c>
      <c r="C15" s="376" t="str">
        <f>Overview!B50</f>
        <v>Non-Operating Assets</v>
      </c>
      <c r="D15" s="376"/>
      <c r="E15" s="377">
        <f>Overview!G50</f>
        <v>12921</v>
      </c>
      <c r="F15" s="378">
        <f>E15</f>
        <v>12921</v>
      </c>
      <c r="G15" s="17"/>
      <c r="H15" s="31"/>
    </row>
    <row r="16" spans="2:23">
      <c r="B16" s="371"/>
      <c r="C16" s="17" t="s">
        <v>238</v>
      </c>
      <c r="D16" s="17"/>
      <c r="E16" s="34">
        <f>SUM(E13:E15)</f>
        <v>53175.402855727138</v>
      </c>
      <c r="F16" s="34">
        <f>SUM(F13:F15)</f>
        <v>54207.896629148454</v>
      </c>
      <c r="G16" s="34"/>
      <c r="H16" s="134"/>
    </row>
    <row r="17" spans="2:10">
      <c r="B17" s="371" t="s">
        <v>239</v>
      </c>
      <c r="C17" s="17" t="str">
        <f>Overview!B51</f>
        <v>Total debt</v>
      </c>
      <c r="D17" s="17"/>
      <c r="E17" s="34">
        <f>Overview!G62</f>
        <v>4102</v>
      </c>
      <c r="F17" s="372">
        <f>E17</f>
        <v>4102</v>
      </c>
      <c r="G17" s="17"/>
      <c r="H17" s="31"/>
    </row>
    <row r="18" spans="2:10">
      <c r="B18" s="371" t="s">
        <v>239</v>
      </c>
      <c r="C18" s="376" t="str">
        <f>Overview!B53</f>
        <v>Preferred Equity and Minority Interest</v>
      </c>
      <c r="D18" s="376"/>
      <c r="E18" s="377">
        <f>Overview!G53</f>
        <v>350</v>
      </c>
      <c r="F18" s="378">
        <f>E18</f>
        <v>350</v>
      </c>
      <c r="G18" s="17"/>
      <c r="H18" s="31"/>
    </row>
    <row r="19" spans="2:10">
      <c r="B19" s="371" t="s">
        <v>239</v>
      </c>
      <c r="C19" s="17" t="s">
        <v>240</v>
      </c>
      <c r="D19" s="17"/>
      <c r="E19" s="34">
        <f>E16-E17--E18</f>
        <v>49423.402855727138</v>
      </c>
      <c r="F19" s="34">
        <f>F16-F17--F18</f>
        <v>50455.896629148454</v>
      </c>
      <c r="G19" s="17"/>
      <c r="H19" s="31"/>
    </row>
    <row r="20" spans="2:10">
      <c r="B20" s="259"/>
      <c r="C20" s="17" t="str">
        <f>Overview!B54</f>
        <v>Current Shares Outstanding</v>
      </c>
      <c r="D20" s="17"/>
      <c r="E20" s="379">
        <f>Overview!G54</f>
        <v>301</v>
      </c>
      <c r="F20" s="379">
        <f>E20</f>
        <v>301</v>
      </c>
      <c r="G20" s="17"/>
      <c r="H20" s="31"/>
    </row>
    <row r="21" spans="2:10">
      <c r="B21" s="259"/>
      <c r="C21" s="28" t="s">
        <v>241</v>
      </c>
      <c r="D21" s="17"/>
      <c r="E21" s="380">
        <f>E19/E20</f>
        <v>164.1973516801566</v>
      </c>
      <c r="F21" s="17"/>
      <c r="G21" s="17"/>
      <c r="H21" s="31"/>
    </row>
    <row r="22" spans="2:10" ht="17" thickBot="1">
      <c r="B22" s="368"/>
      <c r="C22" s="381" t="s">
        <v>231</v>
      </c>
      <c r="D22" s="35"/>
      <c r="E22" s="35"/>
      <c r="F22" s="382">
        <f>F19/F20</f>
        <v>167.62756355198823</v>
      </c>
      <c r="G22" s="35"/>
      <c r="H22" s="56"/>
    </row>
    <row r="23" spans="2:10">
      <c r="J23" s="17"/>
    </row>
  </sheetData>
  <mergeCells count="1">
    <mergeCell ref="O6:Q6"/>
  </mergeCells>
  <conditionalFormatting sqref="M8:S14 U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scale="90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theme="9" tint="0.59999389629810485"/>
    <pageSetUpPr fitToPage="1"/>
  </sheetPr>
  <dimension ref="B2:W25"/>
  <sheetViews>
    <sheetView showGridLines="0" zoomScaleNormal="100" workbookViewId="0">
      <selection activeCell="L28" sqref="L28"/>
    </sheetView>
  </sheetViews>
  <sheetFormatPr baseColWidth="10" defaultColWidth="8.83203125" defaultRowHeight="16"/>
  <cols>
    <col min="1" max="1" width="2.5" style="15" customWidth="1"/>
    <col min="2" max="2" width="21.1640625" style="15" bestFit="1" customWidth="1"/>
    <col min="3" max="3" width="5.83203125" style="15" bestFit="1" customWidth="1"/>
    <col min="4" max="4" width="9.33203125" style="15" bestFit="1" customWidth="1"/>
    <col min="5" max="6" width="8.1640625" style="15" bestFit="1" customWidth="1"/>
    <col min="7" max="7" width="8.6640625" style="15" bestFit="1" customWidth="1"/>
    <col min="8" max="8" width="8.1640625" style="15" bestFit="1" customWidth="1"/>
    <col min="9" max="9" width="8.83203125" style="15"/>
    <col min="10" max="10" width="7.5" style="15" bestFit="1" customWidth="1"/>
    <col min="11" max="11" width="3.6640625" style="15" bestFit="1" customWidth="1"/>
    <col min="12" max="12" width="10.83203125" style="15" bestFit="1" customWidth="1"/>
    <col min="13" max="15" width="8" style="15" bestFit="1" customWidth="1"/>
    <col min="16" max="17" width="8.83203125" style="15" bestFit="1" customWidth="1"/>
    <col min="18" max="19" width="8" style="15" bestFit="1" customWidth="1"/>
    <col min="20" max="20" width="8.83203125" style="15"/>
    <col min="21" max="21" width="10" style="15" bestFit="1" customWidth="1"/>
    <col min="22" max="22" width="9.33203125" style="15" bestFit="1" customWidth="1"/>
    <col min="23" max="16384" width="8.83203125" style="15"/>
  </cols>
  <sheetData>
    <row r="2" spans="2:23">
      <c r="B2" s="29" t="s">
        <v>186</v>
      </c>
    </row>
    <row r="3" spans="2:23" ht="17" thickBot="1"/>
    <row r="4" spans="2:23" ht="17" thickBot="1">
      <c r="B4" s="45" t="str">
        <f>Forecast!I3</f>
        <v>Year</v>
      </c>
      <c r="C4" s="139">
        <v>0</v>
      </c>
      <c r="D4" s="139">
        <f>Forecast!J3</f>
        <v>1</v>
      </c>
      <c r="E4" s="139">
        <f>Forecast!K3</f>
        <v>2</v>
      </c>
      <c r="F4" s="139">
        <f>Forecast!L3</f>
        <v>3</v>
      </c>
      <c r="G4" s="139">
        <f>Forecast!M3</f>
        <v>4</v>
      </c>
      <c r="H4" s="141">
        <f>Forecast!N3</f>
        <v>5</v>
      </c>
    </row>
    <row r="5" spans="2:23">
      <c r="B5" s="48" t="s">
        <v>96</v>
      </c>
      <c r="C5" s="260"/>
      <c r="D5" s="261">
        <f>DATA!C8</f>
        <v>6.0229031061956234E-2</v>
      </c>
      <c r="E5" s="261">
        <f>DATA!D8</f>
        <v>5.1421773296467174E-2</v>
      </c>
      <c r="F5" s="261">
        <f>DATA!E8</f>
        <v>4.2614515530978114E-2</v>
      </c>
      <c r="G5" s="261">
        <f>DATA!F8</f>
        <v>3.3807257765489054E-2</v>
      </c>
      <c r="H5" s="351">
        <f>DATA!G8</f>
        <v>2.5000000000000001E-2</v>
      </c>
      <c r="P5" s="347">
        <v>1E-3</v>
      </c>
    </row>
    <row r="6" spans="2:23">
      <c r="B6" s="48" t="s">
        <v>204</v>
      </c>
      <c r="C6" s="262">
        <f>Forecast!G8</f>
        <v>3.3421926910299002</v>
      </c>
      <c r="D6" s="263">
        <f>IF(D5=DATA!C8,Forecast!J8,RIM!C6*(1+RIM!D5))</f>
        <v>6.8658791824189018</v>
      </c>
      <c r="E6" s="263">
        <f>IF(E5=DATA!D8,Forecast!K8,RIM!D6*(1+RIM!E5))</f>
        <v>7.2189348652181806</v>
      </c>
      <c r="F6" s="263">
        <f>IF(F5=DATA!E8,Forecast!L8,RIM!E6*(1+RIM!F5))</f>
        <v>7.5265662771491399</v>
      </c>
      <c r="G6" s="263">
        <f>IF(G5=DATA!F8,Forecast!M8,RIM!F6*(1+RIM!G5))</f>
        <v>7.7810188433697585</v>
      </c>
      <c r="H6" s="264">
        <f>IF(H5=DATA!G8,Forecast!N8,RIM!G6*(1+RIM!H5))</f>
        <v>7.9755443144540017</v>
      </c>
      <c r="O6" s="505" t="s">
        <v>290</v>
      </c>
      <c r="P6" s="505"/>
      <c r="Q6" s="505"/>
    </row>
    <row r="7" spans="2:23">
      <c r="B7" s="48" t="s">
        <v>206</v>
      </c>
      <c r="C7" s="262">
        <f>Overview!G41</f>
        <v>37.774086378737543</v>
      </c>
      <c r="D7" s="263">
        <f>C7+D6-DDM!D6</f>
        <v>42.680614283342166</v>
      </c>
      <c r="E7" s="263">
        <f>D7+E6-DDM!E6</f>
        <v>47.599400622637646</v>
      </c>
      <c r="F7" s="263">
        <f>E7+F6-DDM!F6</f>
        <v>52.539934882966946</v>
      </c>
      <c r="G7" s="263">
        <f>F7+G6-DDM!G6</f>
        <v>57.541888456703134</v>
      </c>
      <c r="H7" s="264">
        <f>G7+H6-DDM!H6</f>
        <v>62.668890869782722</v>
      </c>
      <c r="L7" s="357">
        <f>D17</f>
        <v>64.781858784403255</v>
      </c>
      <c r="M7" s="347">
        <f t="shared" ref="M7:O7" si="0">N7-$P$5</f>
        <v>2.1999999999999999E-2</v>
      </c>
      <c r="N7" s="347">
        <f t="shared" si="0"/>
        <v>2.3E-2</v>
      </c>
      <c r="O7" s="347">
        <f t="shared" si="0"/>
        <v>2.4E-2</v>
      </c>
      <c r="P7" s="347">
        <f>DATA!C27</f>
        <v>2.5000000000000001E-2</v>
      </c>
      <c r="Q7" s="347">
        <f>P7+$P$5</f>
        <v>2.6000000000000002E-2</v>
      </c>
      <c r="R7" s="347">
        <f t="shared" ref="R7:S7" si="1">Q7+$P$5</f>
        <v>2.7000000000000003E-2</v>
      </c>
      <c r="S7" s="347">
        <f t="shared" si="1"/>
        <v>2.8000000000000004E-2</v>
      </c>
      <c r="T7" s="358"/>
      <c r="U7" s="359">
        <f>DATA!$C$4</f>
        <v>98.51</v>
      </c>
    </row>
    <row r="8" spans="2:23" ht="17" thickBot="1">
      <c r="B8" s="57" t="s">
        <v>242</v>
      </c>
      <c r="C8" s="265"/>
      <c r="D8" s="266">
        <f>Forecast!I32</f>
        <v>0.1019176</v>
      </c>
      <c r="E8" s="265"/>
      <c r="F8" s="265"/>
      <c r="G8" s="265"/>
      <c r="H8" s="267"/>
      <c r="L8" s="347">
        <f t="shared" ref="L8:L9" si="2">L9-$J$11</f>
        <v>9.8917599999999994E-2</v>
      </c>
      <c r="M8" s="360">
        <f t="dataTable" ref="M8:S14" dt2D="1" dtr="1" r1="H5" r2="D8"/>
        <v>66.907145803152872</v>
      </c>
      <c r="N8" s="361">
        <v>66.966420249940313</v>
      </c>
      <c r="O8" s="361">
        <v>67.025694696727768</v>
      </c>
      <c r="P8" s="361">
        <v>67.08496914351521</v>
      </c>
      <c r="Q8" s="361">
        <v>67.144243590302665</v>
      </c>
      <c r="R8" s="361">
        <v>67.203518037090106</v>
      </c>
      <c r="S8" s="362">
        <v>67.262792483877561</v>
      </c>
    </row>
    <row r="9" spans="2:23" ht="17" thickBot="1">
      <c r="B9" s="28"/>
      <c r="C9" s="17"/>
      <c r="D9" s="268"/>
      <c r="E9" s="17"/>
      <c r="F9" s="17"/>
      <c r="G9" s="17"/>
      <c r="H9" s="17"/>
      <c r="L9" s="347">
        <f t="shared" si="2"/>
        <v>9.9917599999999995E-2</v>
      </c>
      <c r="M9" s="365">
        <v>66.1259357589243</v>
      </c>
      <c r="N9" s="366">
        <v>66.184457066225448</v>
      </c>
      <c r="O9" s="366">
        <v>66.242978373526611</v>
      </c>
      <c r="P9" s="366">
        <v>66.301499680827774</v>
      </c>
      <c r="Q9" s="366">
        <v>66.360020988128952</v>
      </c>
      <c r="R9" s="366">
        <v>66.4185422954301</v>
      </c>
      <c r="S9" s="367">
        <v>66.477063602731278</v>
      </c>
    </row>
    <row r="10" spans="2:23" ht="17" thickBot="1">
      <c r="B10" s="45" t="s">
        <v>243</v>
      </c>
      <c r="C10" s="281"/>
      <c r="D10" s="282">
        <f>D6-(C7*$D$8)</f>
        <v>3.0160349565052806</v>
      </c>
      <c r="E10" s="282">
        <f>E6-(D7*$D$8)</f>
        <v>2.8690290909342275</v>
      </c>
      <c r="F10" s="282">
        <f>F6-(E7*$D$8)</f>
        <v>2.675349604251406</v>
      </c>
      <c r="G10" s="282">
        <f>G6-(F7*$D$8)</f>
        <v>2.4262747759414864</v>
      </c>
      <c r="H10" s="283">
        <f>H6-(G7*$D$8)</f>
        <v>2.1110131434791146</v>
      </c>
      <c r="L10" s="347">
        <f>L11-$J$11</f>
        <v>0.1009176</v>
      </c>
      <c r="M10" s="365">
        <v>65.360602042626468</v>
      </c>
      <c r="N10" s="366">
        <v>65.418385710984538</v>
      </c>
      <c r="O10" s="366">
        <v>65.476169379342622</v>
      </c>
      <c r="P10" s="366">
        <v>65.533953047700692</v>
      </c>
      <c r="Q10" s="366">
        <v>65.591736716058776</v>
      </c>
      <c r="R10" s="366">
        <v>65.649520384416832</v>
      </c>
      <c r="S10" s="367">
        <v>65.707304052774916</v>
      </c>
      <c r="U10" s="15" t="s">
        <v>291</v>
      </c>
      <c r="V10" s="420">
        <f>S8</f>
        <v>67.262792483877561</v>
      </c>
      <c r="W10" s="364">
        <f>V10/$U$7-1</f>
        <v>-0.31719833028243272</v>
      </c>
    </row>
    <row r="11" spans="2:23" ht="17" thickBot="1">
      <c r="B11" s="48" t="s">
        <v>244</v>
      </c>
      <c r="C11" s="17"/>
      <c r="D11" s="269"/>
      <c r="E11" s="269"/>
      <c r="F11" s="269"/>
      <c r="G11" s="270">
        <f>H10/(1+D8-G16)</f>
        <v>20.712940095519478</v>
      </c>
      <c r="H11" s="271"/>
      <c r="J11" s="347">
        <f>DATA!C21</f>
        <v>1E-3</v>
      </c>
      <c r="K11" s="15" t="s">
        <v>242</v>
      </c>
      <c r="L11" s="347">
        <f>DATA!C25</f>
        <v>0.1019176</v>
      </c>
      <c r="M11" s="365">
        <v>64.610675571069024</v>
      </c>
      <c r="N11" s="366">
        <v>64.667736642180429</v>
      </c>
      <c r="O11" s="366">
        <v>64.724797713291849</v>
      </c>
      <c r="P11" s="370">
        <v>64.781858784403255</v>
      </c>
      <c r="Q11" s="366">
        <v>64.838919855514675</v>
      </c>
      <c r="R11" s="366">
        <v>64.895980926626066</v>
      </c>
      <c r="S11" s="367">
        <v>64.9530419977375</v>
      </c>
      <c r="U11" s="15" t="s">
        <v>292</v>
      </c>
      <c r="V11" s="420">
        <f>P11</f>
        <v>64.781858784403255</v>
      </c>
      <c r="W11" s="364">
        <f t="shared" ref="W11:W12" si="3">V11/$U$7-1</f>
        <v>-0.34238291762863415</v>
      </c>
    </row>
    <row r="12" spans="2:23">
      <c r="B12" s="48" t="s">
        <v>235</v>
      </c>
      <c r="C12" s="17"/>
      <c r="D12" s="272">
        <f>PV($D$8,D4,0,-D10,0)</f>
        <v>2.7370784861819804</v>
      </c>
      <c r="E12" s="272">
        <f>PV($D$8,E4,0,-E10,0)</f>
        <v>2.3628530469989779</v>
      </c>
      <c r="F12" s="272">
        <f>PV($D$8,F4,0,-F10,0)</f>
        <v>1.9995542097706804</v>
      </c>
      <c r="G12" s="272">
        <f>PV($D$8,G4,0,-(G10+G11),0)</f>
        <v>15.694668246027549</v>
      </c>
      <c r="H12" s="273"/>
      <c r="L12" s="347">
        <f>L11+$J$11</f>
        <v>0.1029176</v>
      </c>
      <c r="M12" s="365">
        <v>63.8757055018689</v>
      </c>
      <c r="N12" s="366">
        <v>63.932058576430734</v>
      </c>
      <c r="O12" s="366">
        <v>63.988411650992575</v>
      </c>
      <c r="P12" s="366">
        <v>64.044764725554415</v>
      </c>
      <c r="Q12" s="366">
        <v>64.101117800116256</v>
      </c>
      <c r="R12" s="366">
        <v>64.157470874678097</v>
      </c>
      <c r="S12" s="367">
        <v>64.213823949239938</v>
      </c>
      <c r="U12" s="15" t="s">
        <v>293</v>
      </c>
      <c r="V12" s="420">
        <f>M14</f>
        <v>62.448917188944982</v>
      </c>
      <c r="W12" s="364">
        <f t="shared" si="3"/>
        <v>-0.36606519958435713</v>
      </c>
    </row>
    <row r="13" spans="2:23" ht="17" thickBot="1">
      <c r="B13" s="57"/>
      <c r="C13" s="35"/>
      <c r="D13" s="274"/>
      <c r="E13" s="274">
        <f>PV($D$8,D4,0,-E10,0)</f>
        <v>2.6036693587018012</v>
      </c>
      <c r="F13" s="274">
        <f>PV($D$8,E4,0,-F10,0)</f>
        <v>2.2033439759004048</v>
      </c>
      <c r="G13" s="274">
        <f>PV($D$8,F4,0,-(G10+G11),0)</f>
        <v>17.294231166458886</v>
      </c>
      <c r="H13" s="275"/>
      <c r="L13" s="347">
        <f t="shared" ref="L13:L14" si="4">L12+$J$11</f>
        <v>0.1039176</v>
      </c>
      <c r="M13" s="365">
        <v>63.155258355734631</v>
      </c>
      <c r="N13" s="366">
        <v>63.210917610433285</v>
      </c>
      <c r="O13" s="366">
        <v>63.266576865131945</v>
      </c>
      <c r="P13" s="366">
        <v>63.322236119830599</v>
      </c>
      <c r="Q13" s="366">
        <v>63.37789537452926</v>
      </c>
      <c r="R13" s="366">
        <v>63.433554629227913</v>
      </c>
      <c r="S13" s="367">
        <v>63.489213883926581</v>
      </c>
    </row>
    <row r="14" spans="2:23" ht="17" thickBot="1">
      <c r="B14" s="28"/>
      <c r="C14" s="17"/>
      <c r="D14" s="276"/>
      <c r="E14" s="276"/>
      <c r="F14" s="276"/>
      <c r="G14" s="276"/>
      <c r="H14" s="276"/>
      <c r="L14" s="347">
        <f t="shared" si="4"/>
        <v>0.1049176</v>
      </c>
      <c r="M14" s="373">
        <v>62.448917188944982</v>
      </c>
      <c r="N14" s="374">
        <v>62.503896392635063</v>
      </c>
      <c r="O14" s="374">
        <v>62.558875596325151</v>
      </c>
      <c r="P14" s="374">
        <v>62.613854800015226</v>
      </c>
      <c r="Q14" s="374">
        <v>62.668834003705314</v>
      </c>
      <c r="R14" s="374">
        <v>62.723813207395388</v>
      </c>
      <c r="S14" s="375">
        <v>62.778792411085483</v>
      </c>
    </row>
    <row r="15" spans="2:23" ht="17" thickBot="1">
      <c r="B15" s="52" t="s">
        <v>245</v>
      </c>
      <c r="C15" s="54"/>
      <c r="D15" s="277">
        <f>SUM(D12:G12)</f>
        <v>22.79415398897919</v>
      </c>
    </row>
    <row r="16" spans="2:23" ht="17" thickBot="1">
      <c r="B16" s="48" t="s">
        <v>246</v>
      </c>
      <c r="C16" s="17"/>
      <c r="D16" s="278">
        <f>C7+D15</f>
        <v>60.568240367716733</v>
      </c>
      <c r="F16" s="45" t="s">
        <v>247</v>
      </c>
      <c r="G16" s="279">
        <v>1</v>
      </c>
    </row>
    <row r="17" spans="2:11" ht="17" thickBot="1">
      <c r="B17" s="57" t="s">
        <v>231</v>
      </c>
      <c r="C17" s="35"/>
      <c r="D17" s="280">
        <f>D7+E13+F13+G13</f>
        <v>64.781858784403255</v>
      </c>
    </row>
    <row r="25" spans="2:11">
      <c r="K25" s="15" t="s">
        <v>248</v>
      </c>
    </row>
  </sheetData>
  <mergeCells count="1">
    <mergeCell ref="O6:Q6"/>
  </mergeCells>
  <conditionalFormatting sqref="M8:S14 U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9" tint="0.59999389629810485"/>
    <pageSetUpPr fitToPage="1"/>
  </sheetPr>
  <dimension ref="B2:W27"/>
  <sheetViews>
    <sheetView showGridLines="0" zoomScale="87" zoomScaleNormal="100" workbookViewId="0">
      <selection activeCell="P34" sqref="P34"/>
    </sheetView>
  </sheetViews>
  <sheetFormatPr baseColWidth="10" defaultColWidth="8.83203125" defaultRowHeight="16"/>
  <cols>
    <col min="1" max="1" width="2.5" style="15" customWidth="1"/>
    <col min="2" max="2" width="35.1640625" style="15" bestFit="1" customWidth="1"/>
    <col min="3" max="3" width="11.5" style="15" bestFit="1" customWidth="1"/>
    <col min="4" max="4" width="11.33203125" style="15" bestFit="1" customWidth="1"/>
    <col min="5" max="6" width="11" style="15" bestFit="1" customWidth="1"/>
    <col min="7" max="7" width="12.1640625" style="15" bestFit="1" customWidth="1"/>
    <col min="8" max="8" width="11" style="15" bestFit="1" customWidth="1"/>
    <col min="9" max="9" width="10.1640625" style="15" bestFit="1" customWidth="1"/>
    <col min="10" max="10" width="7.6640625" style="15" bestFit="1" customWidth="1"/>
    <col min="11" max="11" width="8.5" style="15" bestFit="1" customWidth="1"/>
    <col min="12" max="12" width="10.83203125" style="15" bestFit="1" customWidth="1"/>
    <col min="13" max="19" width="8.1640625" style="15" bestFit="1" customWidth="1"/>
    <col min="20" max="20" width="8.83203125" style="15"/>
    <col min="21" max="21" width="10.1640625" style="15" bestFit="1" customWidth="1"/>
    <col min="22" max="22" width="9.33203125" style="15" bestFit="1" customWidth="1"/>
    <col min="23" max="23" width="8.83203125" style="15" bestFit="1" customWidth="1"/>
    <col min="24" max="16384" width="8.83203125" style="15"/>
  </cols>
  <sheetData>
    <row r="2" spans="2:23">
      <c r="B2" s="29" t="s">
        <v>249</v>
      </c>
    </row>
    <row r="3" spans="2:23" ht="17" thickBot="1"/>
    <row r="4" spans="2:23" ht="17" thickBot="1">
      <c r="B4" s="383" t="str">
        <f>FCFM!B4</f>
        <v>Year</v>
      </c>
      <c r="C4" s="139">
        <v>0</v>
      </c>
      <c r="D4" s="139">
        <f>FCFM!D4</f>
        <v>1</v>
      </c>
      <c r="E4" s="139">
        <f>FCFM!E4</f>
        <v>2</v>
      </c>
      <c r="F4" s="139">
        <f>FCFM!F4</f>
        <v>3</v>
      </c>
      <c r="G4" s="139">
        <f>FCFM!G4</f>
        <v>4</v>
      </c>
      <c r="H4" s="141">
        <f>FCFM!H4</f>
        <v>5</v>
      </c>
    </row>
    <row r="5" spans="2:23">
      <c r="B5" s="48" t="s">
        <v>96</v>
      </c>
      <c r="C5" s="17"/>
      <c r="D5" s="268">
        <f>DATA!C8</f>
        <v>6.0229031061956234E-2</v>
      </c>
      <c r="E5" s="268">
        <f>DATA!D8</f>
        <v>5.1421773296467174E-2</v>
      </c>
      <c r="F5" s="268">
        <f>DATA!E8</f>
        <v>4.2614515530978114E-2</v>
      </c>
      <c r="G5" s="268">
        <f>DATA!F8</f>
        <v>3.3807257765489054E-2</v>
      </c>
      <c r="H5" s="384">
        <f>DATA!G8</f>
        <v>2.5000000000000001E-2</v>
      </c>
      <c r="P5" s="347">
        <f>DATA!C23</f>
        <v>1E-3</v>
      </c>
    </row>
    <row r="6" spans="2:23">
      <c r="B6" s="48" t="str">
        <f>Forecast!I5</f>
        <v>NOPAT</v>
      </c>
      <c r="C6" s="385">
        <f>Overview!G57</f>
        <v>677</v>
      </c>
      <c r="D6" s="386">
        <f>IF(D5=DATA!C8,Forecast!J5,'MVA Model'!C6*(1+'MVA Model'!D5))</f>
        <v>1652.5839064635534</v>
      </c>
      <c r="E6" s="386">
        <f>IF(E5=DATA!D8,Forecast!K5,'MVA Model'!D6*(1+'MVA Model'!E5))</f>
        <v>1737.5627014551126</v>
      </c>
      <c r="F6" s="386">
        <f>IF(F5=DATA!E8,Forecast!L5,'MVA Model'!E6*(1+'MVA Model'!F5))</f>
        <v>1811.6080941823195</v>
      </c>
      <c r="G6" s="386">
        <f>IF(G5=DATA!F8,Forecast!M5,'MVA Model'!F6*(1+'MVA Model'!G5))</f>
        <v>1872.8535959923877</v>
      </c>
      <c r="H6" s="387">
        <f>IF(H5=DATA!G8,Forecast!N5,'MVA Model'!G6*(1+'MVA Model'!H5))</f>
        <v>1919.6749358921973</v>
      </c>
      <c r="I6" s="388"/>
      <c r="O6" s="505" t="s">
        <v>290</v>
      </c>
      <c r="P6" s="505"/>
      <c r="Q6" s="505"/>
    </row>
    <row r="7" spans="2:23">
      <c r="B7" s="48" t="str">
        <f>Forecast!I6</f>
        <v>Capital</v>
      </c>
      <c r="C7" s="389">
        <f>Overview!G58</f>
        <v>15472</v>
      </c>
      <c r="D7" s="386">
        <f>Forecast!J6</f>
        <v>16160.451614786769</v>
      </c>
      <c r="E7" s="386">
        <f>Forecast!K6</f>
        <v>16991.450694090861</v>
      </c>
      <c r="F7" s="386">
        <f>Forecast!L6</f>
        <v>17715.533133588044</v>
      </c>
      <c r="G7" s="386">
        <f>Forecast!M6</f>
        <v>18314.446728688319</v>
      </c>
      <c r="H7" s="387">
        <f>Forecast!N6</f>
        <v>18772.307896905524</v>
      </c>
      <c r="L7" s="357">
        <f>D27</f>
        <v>106.64527600029423</v>
      </c>
      <c r="M7" s="347">
        <f t="shared" ref="M7:N7" si="0">N7-$P$5</f>
        <v>2.1999999999999999E-2</v>
      </c>
      <c r="N7" s="347">
        <f t="shared" si="0"/>
        <v>2.3E-2</v>
      </c>
      <c r="O7" s="347">
        <f>P7-$P$5</f>
        <v>2.4E-2</v>
      </c>
      <c r="P7" s="347">
        <f>DATA!C27</f>
        <v>2.5000000000000001E-2</v>
      </c>
      <c r="Q7" s="347">
        <f>P7+$P$5</f>
        <v>2.6000000000000002E-2</v>
      </c>
      <c r="R7" s="347">
        <f t="shared" ref="R7:S7" si="1">Q7+$P$5</f>
        <v>2.7000000000000003E-2</v>
      </c>
      <c r="S7" s="347">
        <f t="shared" si="1"/>
        <v>2.8000000000000004E-2</v>
      </c>
      <c r="T7" s="358"/>
      <c r="U7" s="359">
        <f>DATA!$C$4</f>
        <v>98.51</v>
      </c>
    </row>
    <row r="8" spans="2:23" ht="17" thickBot="1">
      <c r="B8" s="57" t="str">
        <f>FCFM!B7</f>
        <v xml:space="preserve"> WACC</v>
      </c>
      <c r="C8" s="35"/>
      <c r="D8" s="356">
        <f>Overview!G48</f>
        <v>8.9531747530138345E-2</v>
      </c>
      <c r="E8" s="35"/>
      <c r="F8" s="35"/>
      <c r="G8" s="35"/>
      <c r="H8" s="56"/>
      <c r="L8" s="347">
        <f t="shared" ref="L8:L9" si="2">L9-$J$11</f>
        <v>8.6531747530138342E-2</v>
      </c>
      <c r="M8" s="360">
        <f t="dataTable" ref="M8:S14" dt2D="1" dtr="1" r1="H5" r2="D8"/>
        <v>109.2306494057831</v>
      </c>
      <c r="N8" s="361">
        <v>109.52212856976422</v>
      </c>
      <c r="O8" s="361">
        <v>109.8229303314815</v>
      </c>
      <c r="P8" s="361">
        <v>110.13350921716454</v>
      </c>
      <c r="Q8" s="361">
        <v>110.45434978860281</v>
      </c>
      <c r="R8" s="361">
        <v>110.78596916579592</v>
      </c>
      <c r="S8" s="362">
        <v>111.12891980819767</v>
      </c>
    </row>
    <row r="9" spans="2:23" ht="17" thickBot="1">
      <c r="L9" s="347">
        <f t="shared" si="2"/>
        <v>8.7531747530138343E-2</v>
      </c>
      <c r="M9" s="365">
        <v>108.09294833727921</v>
      </c>
      <c r="N9" s="366">
        <v>108.36445968851103</v>
      </c>
      <c r="O9" s="366">
        <v>108.64451830506408</v>
      </c>
      <c r="P9" s="366">
        <v>108.93353424737933</v>
      </c>
      <c r="Q9" s="366">
        <v>109.2319442327347</v>
      </c>
      <c r="R9" s="366">
        <v>109.54021383713398</v>
      </c>
      <c r="S9" s="367">
        <v>109.85883991911669</v>
      </c>
    </row>
    <row r="10" spans="2:23" ht="17" thickBot="1">
      <c r="B10" s="334" t="s">
        <v>250</v>
      </c>
      <c r="C10" s="54"/>
      <c r="D10" s="390">
        <f>D6/C7</f>
        <v>0.10681126592965055</v>
      </c>
      <c r="E10" s="390">
        <f>E6/D7</f>
        <v>0.10751943960930198</v>
      </c>
      <c r="F10" s="390">
        <f>F6/E7</f>
        <v>0.10661880064262816</v>
      </c>
      <c r="G10" s="390">
        <f>G6/F7</f>
        <v>0.10571816167595439</v>
      </c>
      <c r="H10" s="391">
        <f>H6/G7</f>
        <v>0.10481752270928058</v>
      </c>
      <c r="L10" s="347">
        <f>L11-$J$11</f>
        <v>8.8531747530138344E-2</v>
      </c>
      <c r="M10" s="365">
        <v>106.98950943448918</v>
      </c>
      <c r="N10" s="366">
        <v>107.24217751686759</v>
      </c>
      <c r="O10" s="366">
        <v>107.50267641406346</v>
      </c>
      <c r="P10" s="366">
        <v>107.77137590095893</v>
      </c>
      <c r="Q10" s="366">
        <v>108.04866940601345</v>
      </c>
      <c r="R10" s="366">
        <v>108.3349759333267</v>
      </c>
      <c r="S10" s="367">
        <v>108.63074217521932</v>
      </c>
      <c r="U10" s="15" t="s">
        <v>291</v>
      </c>
      <c r="V10" s="420">
        <f>S8</f>
        <v>111.12891980819767</v>
      </c>
      <c r="W10" s="364">
        <f>V10/$U$7-1</f>
        <v>0.12809785613843938</v>
      </c>
    </row>
    <row r="11" spans="2:23" ht="17" thickBot="1">
      <c r="B11" s="259" t="s">
        <v>251</v>
      </c>
      <c r="C11" s="17"/>
      <c r="D11" s="34">
        <f>(D7*(D10-$D$8))</f>
        <v>279.24482102213477</v>
      </c>
      <c r="E11" s="34">
        <f>(E7*(E10-$D$8))</f>
        <v>305.6369830635976</v>
      </c>
      <c r="F11" s="34">
        <f>(F7*(F10-$D$8))</f>
        <v>302.70625556969202</v>
      </c>
      <c r="G11" s="34">
        <f>(G7*(G10-$D$8))</f>
        <v>296.44521960203508</v>
      </c>
      <c r="H11" s="134">
        <f>(H7*(H10-$D$8))</f>
        <v>286.94927810573415</v>
      </c>
      <c r="J11" s="347">
        <f>DATA!C22</f>
        <v>1E-3</v>
      </c>
      <c r="K11" s="15" t="s">
        <v>85</v>
      </c>
      <c r="L11" s="347">
        <f>DATA!C26</f>
        <v>8.9531747530138345E-2</v>
      </c>
      <c r="M11" s="365">
        <v>105.91881042438742</v>
      </c>
      <c r="N11" s="366">
        <v>106.15368622866676</v>
      </c>
      <c r="O11" s="366">
        <v>106.39573033878662</v>
      </c>
      <c r="P11" s="370">
        <v>106.64527600029423</v>
      </c>
      <c r="Q11" s="366">
        <v>106.90267744009255</v>
      </c>
      <c r="R11" s="366">
        <v>107.16831154409628</v>
      </c>
      <c r="S11" s="367">
        <v>107.44257969847781</v>
      </c>
      <c r="U11" s="15" t="s">
        <v>292</v>
      </c>
      <c r="V11" s="420">
        <f>P11</f>
        <v>106.64527600029423</v>
      </c>
      <c r="W11" s="364">
        <f t="shared" ref="W11:W12" si="3">V11/$U$7-1</f>
        <v>8.2583250434415056E-2</v>
      </c>
    </row>
    <row r="12" spans="2:23">
      <c r="B12" s="259" t="s">
        <v>252</v>
      </c>
      <c r="C12" s="17"/>
      <c r="D12" s="34"/>
      <c r="E12" s="34"/>
      <c r="F12" s="34"/>
      <c r="G12" s="34">
        <f>H11/(D8-H5)</f>
        <v>4446.6373388031971</v>
      </c>
      <c r="H12" s="134"/>
      <c r="L12" s="347">
        <f>L11+$J$11</f>
        <v>9.0531747530138346E-2</v>
      </c>
      <c r="M12" s="365">
        <v>104.879417885675</v>
      </c>
      <c r="N12" s="366">
        <v>105.09748452164203</v>
      </c>
      <c r="O12" s="366">
        <v>105.32210642314962</v>
      </c>
      <c r="P12" s="366">
        <v>105.55358368591257</v>
      </c>
      <c r="Q12" s="366">
        <v>105.79223500707693</v>
      </c>
      <c r="R12" s="366">
        <v>106.03839914916756</v>
      </c>
      <c r="S12" s="367">
        <v>106.29243654450359</v>
      </c>
      <c r="U12" s="15" t="s">
        <v>293</v>
      </c>
      <c r="V12" s="420">
        <f>M14</f>
        <v>102.88922500359469</v>
      </c>
      <c r="W12" s="364">
        <f t="shared" si="3"/>
        <v>4.4454623932541626E-2</v>
      </c>
    </row>
    <row r="13" spans="2:23" ht="17" thickBot="1">
      <c r="B13" s="259" t="s">
        <v>235</v>
      </c>
      <c r="C13" s="17"/>
      <c r="D13" s="276">
        <f>PV($D$8,D4,0,-D11,0)</f>
        <v>256.29801210947312</v>
      </c>
      <c r="E13" s="276">
        <f>PV($D$8,E4,0,-E11,0)</f>
        <v>257.46969884986868</v>
      </c>
      <c r="F13" s="276">
        <f>PV($D$8,F4,0,-F11,0)</f>
        <v>234.0462717106318</v>
      </c>
      <c r="G13" s="276">
        <f>PV($D$8,G4,0,-(G11+G12),0)</f>
        <v>3365.899355637272</v>
      </c>
      <c r="H13" s="392"/>
      <c r="L13" s="347">
        <f t="shared" ref="L13:L14" si="4">L12+$J$11</f>
        <v>9.1531747530138347E-2</v>
      </c>
      <c r="M13" s="365">
        <v>103.86998085948197</v>
      </c>
      <c r="N13" s="366">
        <v>104.07215872106428</v>
      </c>
      <c r="O13" s="366">
        <v>104.28032422161574</v>
      </c>
      <c r="P13" s="366">
        <v>104.49474735129249</v>
      </c>
      <c r="Q13" s="366">
        <v>104.71571458021147</v>
      </c>
      <c r="R13" s="366">
        <v>104.94353013533812</v>
      </c>
      <c r="S13" s="367">
        <v>105.17851739796482</v>
      </c>
    </row>
    <row r="14" spans="2:23">
      <c r="B14" s="259" t="s">
        <v>253</v>
      </c>
      <c r="C14" s="17"/>
      <c r="D14" s="276">
        <f>SUM(D13:G13)</f>
        <v>4113.713338307246</v>
      </c>
      <c r="E14" s="17"/>
      <c r="F14" s="17"/>
      <c r="G14" s="17"/>
      <c r="H14" s="31"/>
      <c r="L14" s="347">
        <f t="shared" si="4"/>
        <v>9.2531747530138347E-2</v>
      </c>
      <c r="M14" s="373">
        <v>102.88922500359469</v>
      </c>
      <c r="N14" s="374">
        <v>103.07637647847582</v>
      </c>
      <c r="O14" s="374">
        <v>103.26898969865393</v>
      </c>
      <c r="P14" s="374">
        <v>103.46730729424719</v>
      </c>
      <c r="Q14" s="374">
        <v>103.67158648270271</v>
      </c>
      <c r="R14" s="374">
        <v>103.88210018179326</v>
      </c>
      <c r="S14" s="375">
        <v>104.09913822609829</v>
      </c>
    </row>
    <row r="15" spans="2:23" ht="17" thickBot="1">
      <c r="B15" s="368" t="s">
        <v>254</v>
      </c>
      <c r="C15" s="35"/>
      <c r="D15" s="369">
        <f>SUM(E15:G15)</f>
        <v>4202.7764613017971</v>
      </c>
      <c r="E15" s="369">
        <f>PV($D$8,D4,0,-E11,0)</f>
        <v>280.52141092395584</v>
      </c>
      <c r="F15" s="369">
        <f>PV($D$8,E4,0,-F11,0)</f>
        <v>255.00084341979826</v>
      </c>
      <c r="G15" s="369">
        <f>PV($D$8,F4,0,-(G11+G12),0)</f>
        <v>3667.2542069580427</v>
      </c>
      <c r="H15" s="56"/>
    </row>
    <row r="16" spans="2:23" ht="17" thickBot="1"/>
    <row r="17" spans="2:4" ht="17" thickBot="1">
      <c r="B17" s="393"/>
      <c r="C17" s="139" t="s">
        <v>255</v>
      </c>
      <c r="D17" s="141" t="s">
        <v>256</v>
      </c>
    </row>
    <row r="18" spans="2:4">
      <c r="B18" s="259" t="s">
        <v>257</v>
      </c>
      <c r="C18" s="386">
        <f>D14+C7</f>
        <v>19585.713338307247</v>
      </c>
      <c r="D18" s="387">
        <f>D15+D7</f>
        <v>20363.228076088566</v>
      </c>
    </row>
    <row r="19" spans="2:4">
      <c r="B19" s="259" t="str">
        <f>FCFM!C14</f>
        <v>Short-Term Investments</v>
      </c>
      <c r="C19" s="386">
        <f>FCFM!E14</f>
        <v>3268</v>
      </c>
      <c r="D19" s="394">
        <f>C19</f>
        <v>3268</v>
      </c>
    </row>
    <row r="20" spans="2:4">
      <c r="B20" s="259" t="str">
        <f>FCFM!C15</f>
        <v>Non-Operating Assets</v>
      </c>
      <c r="C20" s="34">
        <f>FCFM!E15</f>
        <v>12921</v>
      </c>
      <c r="D20" s="395">
        <f>C20</f>
        <v>12921</v>
      </c>
    </row>
    <row r="21" spans="2:4">
      <c r="B21" s="259" t="str">
        <f>FCFM!C16</f>
        <v>Value of Firm</v>
      </c>
      <c r="C21" s="396">
        <f>SUM(C18:C20)</f>
        <v>35774.713338307251</v>
      </c>
      <c r="D21" s="397">
        <f>SUM(D18:D20)</f>
        <v>36552.228076088562</v>
      </c>
    </row>
    <row r="22" spans="2:4">
      <c r="B22" s="259" t="str">
        <f>FCFM!C17</f>
        <v>Total debt</v>
      </c>
      <c r="C22" s="386">
        <f>FCFM!E17</f>
        <v>4102</v>
      </c>
      <c r="D22" s="394">
        <f>C22</f>
        <v>4102</v>
      </c>
    </row>
    <row r="23" spans="2:4">
      <c r="B23" s="259" t="str">
        <f>FCFM!C18</f>
        <v>Preferred Equity and Minority Interest</v>
      </c>
      <c r="C23" s="386">
        <f>FCFM!E18</f>
        <v>350</v>
      </c>
      <c r="D23" s="394">
        <f>C23</f>
        <v>350</v>
      </c>
    </row>
    <row r="24" spans="2:4">
      <c r="B24" s="259" t="str">
        <f>FCFM!C19</f>
        <v>Value of Equity</v>
      </c>
      <c r="C24" s="396">
        <f>C21-C22-C23</f>
        <v>31322.713338307251</v>
      </c>
      <c r="D24" s="397">
        <f>D21-D22-D23</f>
        <v>32100.228076088562</v>
      </c>
    </row>
    <row r="25" spans="2:4" ht="17" thickBot="1">
      <c r="B25" s="259" t="str">
        <f>FCFM!C20</f>
        <v>Current Shares Outstanding</v>
      </c>
      <c r="C25" s="398">
        <f>FCFM!E20</f>
        <v>301</v>
      </c>
      <c r="D25" s="399">
        <f>C25</f>
        <v>301</v>
      </c>
    </row>
    <row r="26" spans="2:4" ht="17" thickTop="1">
      <c r="B26" s="48" t="s">
        <v>258</v>
      </c>
      <c r="C26" s="380">
        <f>C24/C25</f>
        <v>104.06217055916031</v>
      </c>
      <c r="D26" s="31"/>
    </row>
    <row r="27" spans="2:4" ht="17" thickBot="1">
      <c r="B27" s="57" t="s">
        <v>231</v>
      </c>
      <c r="C27" s="35"/>
      <c r="D27" s="400">
        <f>D24/D25</f>
        <v>106.64527600029423</v>
      </c>
    </row>
  </sheetData>
  <mergeCells count="1">
    <mergeCell ref="O6:Q6"/>
  </mergeCells>
  <conditionalFormatting sqref="M8:S14 U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scale="83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D953-AEF8-4C0C-9B4B-991BE92EFE44}">
  <sheetPr>
    <tabColor rgb="FFFFCCFF"/>
  </sheetPr>
  <dimension ref="B1:AH26"/>
  <sheetViews>
    <sheetView showGridLines="0" tabSelected="1" zoomScale="117" zoomScaleNormal="85" workbookViewId="0">
      <selection activeCell="O25" sqref="O25"/>
    </sheetView>
  </sheetViews>
  <sheetFormatPr baseColWidth="10" defaultColWidth="9.1640625" defaultRowHeight="16"/>
  <cols>
    <col min="1" max="1" width="2.83203125" style="30" customWidth="1"/>
    <col min="2" max="2" width="14.5" style="30" bestFit="1" customWidth="1"/>
    <col min="3" max="7" width="12.1640625" style="30" customWidth="1"/>
    <col min="8" max="8" width="12.6640625" style="30" bestFit="1" customWidth="1"/>
    <col min="9" max="10" width="12.6640625" style="30" customWidth="1"/>
    <col min="11" max="11" width="21.83203125" style="30" customWidth="1"/>
    <col min="12" max="12" width="4.83203125" style="30" customWidth="1"/>
    <col min="13" max="13" width="3.1640625" style="30" customWidth="1"/>
    <col min="14" max="15" width="4.83203125" style="30" customWidth="1"/>
    <col min="16" max="16" width="20.1640625" style="101" bestFit="1" customWidth="1"/>
    <col min="17" max="21" width="9.1640625" style="127"/>
    <col min="22" max="34" width="8.83203125" style="15" customWidth="1"/>
    <col min="35" max="16384" width="9.1640625" style="30"/>
  </cols>
  <sheetData>
    <row r="1" spans="2:22" ht="17" thickBot="1"/>
    <row r="2" spans="2:22" ht="17" thickBot="1">
      <c r="B2" s="32"/>
      <c r="C2" s="71" t="s">
        <v>270</v>
      </c>
      <c r="D2" s="133" t="s">
        <v>184</v>
      </c>
      <c r="E2" s="70" t="s">
        <v>189</v>
      </c>
      <c r="F2" s="71" t="s">
        <v>186</v>
      </c>
      <c r="G2" s="70" t="s">
        <v>197</v>
      </c>
      <c r="H2" s="67" t="s">
        <v>260</v>
      </c>
      <c r="I2" s="27" t="s">
        <v>301</v>
      </c>
      <c r="K2" s="128" t="s">
        <v>259</v>
      </c>
      <c r="L2" s="103"/>
      <c r="M2" s="103"/>
    </row>
    <row r="3" spans="2:22">
      <c r="B3" s="33" t="s">
        <v>291</v>
      </c>
      <c r="C3" s="68">
        <f>IFERROR('Market Mult. '!F6,0)</f>
        <v>116.65743873815263</v>
      </c>
      <c r="D3" s="134">
        <f>IFERROR(DDM!V8,0)</f>
        <v>36.822207026486282</v>
      </c>
      <c r="E3" s="34">
        <f>IFERROR(FCFM!V10,0)</f>
        <v>179.85129142252231</v>
      </c>
      <c r="F3" s="68">
        <f>IFERROR(RIM!V10,0)</f>
        <v>67.262792483877561</v>
      </c>
      <c r="G3" s="34">
        <f>IFERROR('MVA Model'!V10,0)</f>
        <v>111.12891980819767</v>
      </c>
      <c r="H3" s="68">
        <f>E3*$E$8+C3*$C$8+D3*$D$8+F3*$F$8+$G$8*G3</f>
        <v>114.92003743101363</v>
      </c>
      <c r="I3" s="37">
        <f>H3/$K$3-1</f>
        <v>0.16658245285771622</v>
      </c>
      <c r="K3" s="129">
        <f>DATA!C4</f>
        <v>98.51</v>
      </c>
      <c r="L3" s="102"/>
      <c r="M3" s="102"/>
    </row>
    <row r="4" spans="2:22">
      <c r="B4" s="33"/>
      <c r="C4" s="68">
        <f>C3-C5</f>
        <v>11.081699347368968</v>
      </c>
      <c r="D4" s="68">
        <f t="shared" ref="D4:F4" si="0">D3-D5</f>
        <v>2.8490014203040985</v>
      </c>
      <c r="E4" s="68">
        <f t="shared" si="0"/>
        <v>12.223727870534077</v>
      </c>
      <c r="F4" s="68">
        <f t="shared" si="0"/>
        <v>2.4809336994743063</v>
      </c>
      <c r="G4" s="68">
        <f>G3-G5</f>
        <v>4.4836438079034338</v>
      </c>
      <c r="H4" s="68">
        <f>E4*$E$8+C4*$C$8+D4*$D$8+F4*$F$8+$G$8*G4</f>
        <v>7.6135096464239203</v>
      </c>
      <c r="I4" s="37"/>
      <c r="K4" s="130" t="s">
        <v>269</v>
      </c>
      <c r="L4" s="103"/>
      <c r="M4" s="103"/>
    </row>
    <row r="5" spans="2:22">
      <c r="B5" s="33" t="s">
        <v>292</v>
      </c>
      <c r="C5" s="68">
        <f>IFERROR('Market Mult. '!F7,0)</f>
        <v>105.57573939078367</v>
      </c>
      <c r="D5" s="134">
        <f>IFERROR(DDM!V9,0)</f>
        <v>33.973205606182184</v>
      </c>
      <c r="E5" s="34">
        <f>IFERROR(FCFM!V11,0)</f>
        <v>167.62756355198823</v>
      </c>
      <c r="F5" s="68">
        <f>IFERROR(RIM!V11,0)</f>
        <v>64.781858784403255</v>
      </c>
      <c r="G5" s="34">
        <f>IFERROR('MVA Model'!V11,0)</f>
        <v>106.64527600029423</v>
      </c>
      <c r="H5" s="68">
        <f>E5*$E$8+C5*$C$8+D5*$D$8+F5*$F$8+$G$8*G5</f>
        <v>107.3065277845897</v>
      </c>
      <c r="I5" s="37">
        <f>H5/$K$3-1</f>
        <v>8.9295785043038256E-2</v>
      </c>
      <c r="K5" s="349">
        <f>H5</f>
        <v>107.3065277845897</v>
      </c>
      <c r="L5" s="102"/>
      <c r="M5" s="102"/>
    </row>
    <row r="6" spans="2:22">
      <c r="B6" s="33"/>
      <c r="C6" s="68">
        <f>C5-C7</f>
        <v>19.163458689029284</v>
      </c>
      <c r="D6" s="68">
        <f t="shared" ref="D6:H6" si="1">D5-D7</f>
        <v>2.437095913615785</v>
      </c>
      <c r="E6" s="68">
        <f t="shared" si="1"/>
        <v>10.148949404237783</v>
      </c>
      <c r="F6" s="68">
        <f t="shared" si="1"/>
        <v>2.3329415954582728</v>
      </c>
      <c r="G6" s="68">
        <f t="shared" si="1"/>
        <v>3.7560509966995426</v>
      </c>
      <c r="H6" s="68">
        <f t="shared" si="1"/>
        <v>8.8633694611259131</v>
      </c>
      <c r="I6" s="37"/>
      <c r="K6" s="131" t="s">
        <v>268</v>
      </c>
      <c r="L6" s="104"/>
      <c r="M6" s="104"/>
      <c r="N6" s="108"/>
    </row>
    <row r="7" spans="2:22" ht="17" thickBot="1">
      <c r="B7" s="33" t="s">
        <v>293</v>
      </c>
      <c r="C7" s="68">
        <f>IFERROR('Market Mult. '!F8,0)</f>
        <v>86.412280701754383</v>
      </c>
      <c r="D7" s="135">
        <f>IFERROR(DDM!V10,0)</f>
        <v>31.536109692566399</v>
      </c>
      <c r="E7" s="34">
        <f>IFERROR(FCFM!V12,0)</f>
        <v>157.47861414775045</v>
      </c>
      <c r="F7" s="68">
        <f>IFERROR(RIM!V12,0)</f>
        <v>62.448917188944982</v>
      </c>
      <c r="G7" s="34">
        <f>IFERROR('MVA Model'!V12,0)</f>
        <v>102.88922500359469</v>
      </c>
      <c r="H7" s="69">
        <f>E7*$E$8+C7*$C$8+D7*$D$8+F7*$F$8+$G$8*G7</f>
        <v>98.443158323463791</v>
      </c>
      <c r="I7" s="37">
        <f>H7/$K$3-1</f>
        <v>-6.7852681490421229E-4</v>
      </c>
      <c r="K7" s="132">
        <f>K5/K3-1</f>
        <v>8.9295785043038256E-2</v>
      </c>
      <c r="L7" s="105"/>
      <c r="M7" s="105"/>
      <c r="N7" s="103"/>
      <c r="O7" s="103"/>
      <c r="P7" s="342"/>
      <c r="Q7" s="103"/>
      <c r="R7" s="103"/>
      <c r="S7" s="103"/>
      <c r="T7" s="103"/>
      <c r="U7" s="106"/>
      <c r="V7" s="17"/>
    </row>
    <row r="8" spans="2:22" ht="17" thickBot="1">
      <c r="B8" s="343" t="s">
        <v>261</v>
      </c>
      <c r="C8" s="136">
        <v>0.25</v>
      </c>
      <c r="D8" s="136">
        <v>0.125</v>
      </c>
      <c r="E8" s="136">
        <v>0.25</v>
      </c>
      <c r="F8" s="136">
        <v>0.125</v>
      </c>
      <c r="G8" s="136">
        <v>0.25</v>
      </c>
      <c r="H8" s="137">
        <f>SUM(C8:G8)</f>
        <v>1</v>
      </c>
      <c r="I8" s="109"/>
      <c r="N8" s="102"/>
      <c r="O8" s="102"/>
      <c r="P8" s="340"/>
      <c r="Q8" s="102"/>
      <c r="R8" s="102"/>
      <c r="S8" s="102"/>
      <c r="T8" s="102"/>
      <c r="U8" s="106"/>
      <c r="V8" s="17"/>
    </row>
    <row r="9" spans="2:22">
      <c r="K9" s="101"/>
      <c r="N9" s="103"/>
      <c r="O9" s="103"/>
      <c r="P9" s="342"/>
      <c r="Q9" s="103"/>
      <c r="R9" s="103"/>
      <c r="S9" s="103"/>
      <c r="T9" s="103"/>
      <c r="U9" s="106"/>
      <c r="V9" s="17"/>
    </row>
    <row r="10" spans="2:22">
      <c r="N10" s="102"/>
      <c r="O10" s="102"/>
      <c r="P10" s="340"/>
      <c r="Q10" s="102"/>
      <c r="R10" s="102"/>
      <c r="S10" s="102"/>
      <c r="T10" s="102"/>
      <c r="U10" s="106"/>
      <c r="V10" s="17"/>
    </row>
    <row r="11" spans="2:22">
      <c r="N11" s="104"/>
      <c r="O11" s="104"/>
      <c r="P11" s="344"/>
      <c r="Q11" s="104"/>
      <c r="R11" s="104"/>
      <c r="S11" s="104"/>
      <c r="T11" s="104"/>
      <c r="U11" s="106"/>
      <c r="V11" s="17"/>
    </row>
    <row r="12" spans="2:22">
      <c r="N12" s="105"/>
      <c r="O12" s="105"/>
      <c r="P12" s="107"/>
      <c r="Q12" s="105"/>
      <c r="R12" s="105"/>
      <c r="S12" s="105"/>
      <c r="T12" s="105"/>
      <c r="U12" s="106"/>
      <c r="V12" s="17"/>
    </row>
    <row r="13" spans="2:22">
      <c r="N13" s="108"/>
      <c r="O13" s="108"/>
      <c r="P13" s="341"/>
      <c r="Q13" s="106"/>
      <c r="R13" s="106"/>
      <c r="S13" s="106"/>
      <c r="T13" s="106"/>
      <c r="U13" s="106"/>
      <c r="V13" s="17"/>
    </row>
    <row r="16" spans="2:22">
      <c r="K16" s="348"/>
    </row>
    <row r="20" spans="10:10">
      <c r="J20" s="27"/>
    </row>
    <row r="21" spans="10:10">
      <c r="J21" s="34"/>
    </row>
    <row r="22" spans="10:10">
      <c r="J22" s="34"/>
    </row>
    <row r="23" spans="10:10">
      <c r="J23" s="34"/>
    </row>
    <row r="24" spans="10:10">
      <c r="J24" s="34"/>
    </row>
    <row r="25" spans="10:10">
      <c r="J25" s="34"/>
    </row>
    <row r="26" spans="10:10">
      <c r="J26" s="109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42E2810E175B469E7348B72C07B1E3" ma:contentTypeVersion="0" ma:contentTypeDescription="Create a new document." ma:contentTypeScope="" ma:versionID="24e466d24aa2d0a1a980cb96ce6b41f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7372B3-F3F0-45DE-B268-828637C6C62F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4207c607-7698-4c8b-ac57-7cfd57e2e69b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334419F-F49D-46BA-B1DE-17B43BA3DA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1035D8C-B66B-4840-8BB2-FDBF63C44D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Read First</vt:lpstr>
      <vt:lpstr>Blank</vt:lpstr>
      <vt:lpstr>IS</vt:lpstr>
      <vt:lpstr>BS</vt:lpstr>
      <vt:lpstr>CFS</vt:lpstr>
      <vt:lpstr>DATA</vt:lpstr>
      <vt:lpstr>Sourced From Original</vt:lpstr>
      <vt:lpstr>Overview</vt:lpstr>
      <vt:lpstr>Forecast</vt:lpstr>
      <vt:lpstr>Market Mult. </vt:lpstr>
      <vt:lpstr>DDM</vt:lpstr>
      <vt:lpstr>FCFM</vt:lpstr>
      <vt:lpstr>RIM</vt:lpstr>
      <vt:lpstr>MVA Model</vt:lpstr>
      <vt:lpstr>Bear Base Bull</vt:lpstr>
      <vt:lpstr>Overview!Print_Area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Shah, Manan (Student)</dc:creator>
  <cp:keywords/>
  <dc:description/>
  <cp:lastModifiedBy>Shah, Manan (Student)</cp:lastModifiedBy>
  <cp:revision/>
  <dcterms:created xsi:type="dcterms:W3CDTF">2014-07-25T18:29:55Z</dcterms:created>
  <dcterms:modified xsi:type="dcterms:W3CDTF">2021-05-12T21:29:23Z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0x0101002A42E2810E175B469E7348B72C07B1E3</vt:lpwstr>
  </property>
  <property fmtid="{D5CDD505-2E9C-101B-9397-08002B2CF9AE}" pid="3" name="Order">
    <vt:r8>2580400</vt:r8>
  </property>
  <property fmtid="{D5CDD505-2E9C-101B-9397-08002B2CF9AE}" pid="4" name="ComplianceAssetId">
    <vt:lpwstr/>
  </property>
</Properties>
</file>